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6660" tabRatio="507" activeTab="1"/>
  </bookViews>
  <sheets>
    <sheet name="Funding 2019" sheetId="7" r:id="rId1"/>
    <sheet name="PR List 2019" sheetId="16" r:id="rId2"/>
    <sheet name="Graph" sheetId="17" r:id="rId3"/>
    <sheet name="Summary" sheetId="19" r:id="rId4"/>
    <sheet name="Reminder (3)" sheetId="28" r:id="rId5"/>
    <sheet name="Reminder (2)" sheetId="25" r:id="rId6"/>
    <sheet name="IPS Project" sheetId="27" r:id="rId7"/>
    <sheet name="Pivot Product" sheetId="20" r:id="rId8"/>
    <sheet name="Product Summary" sheetId="2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_DAT10">'[1]475004-Motor Vehicle Tax'!$H$35:$H$218</definedName>
    <definedName name="__DAT2" localSheetId="5">'[2]Expat Registration'!#REF!</definedName>
    <definedName name="__DAT2" localSheetId="4">'[2]Expat Registration'!#REF!</definedName>
    <definedName name="__DAT2">'[2]Expat Registration'!#REF!</definedName>
    <definedName name="__DAT3" localSheetId="5">'[1]475004-Motor Vehicle Tax'!#REF!</definedName>
    <definedName name="__DAT3" localSheetId="4">'[1]475004-Motor Vehicle Tax'!#REF!</definedName>
    <definedName name="__DAT3">'[1]475004-Motor Vehicle Tax'!#REF!</definedName>
    <definedName name="__DAT5" localSheetId="5">'[2]Expat Registration'!#REF!</definedName>
    <definedName name="__DAT5" localSheetId="4">'[2]Expat Registration'!#REF!</definedName>
    <definedName name="__DAT5">'[2]Expat Registration'!#REF!</definedName>
    <definedName name="__DAT8" localSheetId="5">[3]Sheet1!#REF!</definedName>
    <definedName name="__DAT8" localSheetId="4">[3]Sheet1!#REF!</definedName>
    <definedName name="__DAT8">[3]Sheet1!#REF!</definedName>
    <definedName name="__DAT9" localSheetId="5">[3]Sheet1!#REF!</definedName>
    <definedName name="__DAT9" localSheetId="4">[3]Sheet1!#REF!</definedName>
    <definedName name="__DAT9">[3]Sheet1!#REF!</definedName>
    <definedName name="_1991" localSheetId="0">#REF!</definedName>
    <definedName name="_1991" localSheetId="5">#REF!</definedName>
    <definedName name="_1991" localSheetId="4">#REF!</definedName>
    <definedName name="_1991">#REF!</definedName>
    <definedName name="_CAL06" localSheetId="0">[4]ACARS!#REF!</definedName>
    <definedName name="_CAL06" localSheetId="5">[4]ACARS!#REF!</definedName>
    <definedName name="_CAL06" localSheetId="4">[4]ACARS!#REF!</definedName>
    <definedName name="_CAL06">[4]ACARS!#REF!</definedName>
    <definedName name="_CAL07" localSheetId="0">[4]ACARS!#REF!</definedName>
    <definedName name="_CAL07" localSheetId="5">[4]ACARS!#REF!</definedName>
    <definedName name="_CAL07" localSheetId="4">[4]ACARS!#REF!</definedName>
    <definedName name="_CAL07">[4]ACARS!#REF!</definedName>
    <definedName name="_CAL08" localSheetId="0">[4]ACARS!#REF!</definedName>
    <definedName name="_CAL08" localSheetId="5">[4]ACARS!#REF!</definedName>
    <definedName name="_CAL08" localSheetId="4">[4]ACARS!#REF!</definedName>
    <definedName name="_CAL08">[4]ACARS!#REF!</definedName>
    <definedName name="_CAL09" localSheetId="0">[4]ACARS!#REF!</definedName>
    <definedName name="_CAL09" localSheetId="5">[4]ACARS!#REF!</definedName>
    <definedName name="_CAL09" localSheetId="4">[4]ACARS!#REF!</definedName>
    <definedName name="_CAL09">[4]ACARS!#REF!</definedName>
    <definedName name="_CAL10" localSheetId="0">[4]ACARS!#REF!</definedName>
    <definedName name="_CAL10" localSheetId="5">[4]ACARS!#REF!</definedName>
    <definedName name="_CAL10" localSheetId="4">[4]ACARS!#REF!</definedName>
    <definedName name="_CAL10">[4]ACARS!#REF!</definedName>
    <definedName name="_CAL11" localSheetId="0">[4]ACARS!#REF!</definedName>
    <definedName name="_CAL11" localSheetId="5">[4]ACARS!#REF!</definedName>
    <definedName name="_CAL11" localSheetId="4">[4]ACARS!#REF!</definedName>
    <definedName name="_CAL11">[4]ACARS!#REF!</definedName>
    <definedName name="_CAL12" localSheetId="0">[4]ACARS!#REF!</definedName>
    <definedName name="_CAL12" localSheetId="5">[4]ACARS!#REF!</definedName>
    <definedName name="_CAL12" localSheetId="4">[4]ACARS!#REF!</definedName>
    <definedName name="_CAL12">[4]ACARS!#REF!</definedName>
    <definedName name="_CAL88" localSheetId="0">[5]ATRUCK!#REF!</definedName>
    <definedName name="_CAL88" localSheetId="5">[5]ATRUCK!#REF!</definedName>
    <definedName name="_CAL88" localSheetId="4">[5]ATRUCK!#REF!</definedName>
    <definedName name="_CAL88">[5]ATRUCK!#REF!</definedName>
    <definedName name="_DAT1" localSheetId="5">'[2]Expat Registration'!#REF!</definedName>
    <definedName name="_DAT1" localSheetId="4">'[2]Expat Registration'!#REF!</definedName>
    <definedName name="_DAT1">'[2]Expat Registration'!#REF!</definedName>
    <definedName name="_DAT10" localSheetId="5">[6]MEAL_ALL!#REF!</definedName>
    <definedName name="_DAT10" localSheetId="4">[6]MEAL_ALL!#REF!</definedName>
    <definedName name="_DAT10">[6]MEAL_ALL!#REF!</definedName>
    <definedName name="_DAT11">'[1]475004-Motor Vehicle Tax'!$I$35:$I$218</definedName>
    <definedName name="_DAT12" localSheetId="5">'[1]475004-Motor Vehicle Tax'!#REF!</definedName>
    <definedName name="_DAT12" localSheetId="4">'[1]475004-Motor Vehicle Tax'!#REF!</definedName>
    <definedName name="_DAT12">'[1]475004-Motor Vehicle Tax'!#REF!</definedName>
    <definedName name="_DAT13" localSheetId="5">#REF!</definedName>
    <definedName name="_DAT13" localSheetId="4">#REF!</definedName>
    <definedName name="_DAT13">#REF!</definedName>
    <definedName name="_DAT14" localSheetId="5">#REF!</definedName>
    <definedName name="_DAT14" localSheetId="4">#REF!</definedName>
    <definedName name="_DAT14">#REF!</definedName>
    <definedName name="_DAT15" localSheetId="5">#REF!</definedName>
    <definedName name="_DAT15" localSheetId="4">#REF!</definedName>
    <definedName name="_DAT15">#REF!</definedName>
    <definedName name="_DAT16" localSheetId="5">#REF!</definedName>
    <definedName name="_DAT16" localSheetId="4">#REF!</definedName>
    <definedName name="_DAT16">#REF!</definedName>
    <definedName name="_DAT2" localSheetId="5">'[7]Employ-list'!#REF!</definedName>
    <definedName name="_DAT2" localSheetId="4">'[7]Employ-list'!#REF!</definedName>
    <definedName name="_DAT2">'[7]Employ-list'!#REF!</definedName>
    <definedName name="_DAT3" localSheetId="5">'[7]Employ-list'!#REF!</definedName>
    <definedName name="_DAT3" localSheetId="4">'[7]Employ-list'!#REF!</definedName>
    <definedName name="_DAT3">'[7]Employ-list'!#REF!</definedName>
    <definedName name="_DAT4">'[1]475004-Motor Vehicle Tax'!$C$35:$C$218</definedName>
    <definedName name="_DAT5" localSheetId="5">'[7]Employ-list'!#REF!</definedName>
    <definedName name="_DAT5" localSheetId="4">'[7]Employ-list'!#REF!</definedName>
    <definedName name="_DAT5">'[7]Employ-list'!#REF!</definedName>
    <definedName name="_DAT6">'[1]475004-Motor Vehicle Tax'!$D$35:$D$218</definedName>
    <definedName name="_DAT7" localSheetId="5">[3]Sheet1!#REF!</definedName>
    <definedName name="_DAT7" localSheetId="4">[3]Sheet1!#REF!</definedName>
    <definedName name="_DAT7">[3]Sheet1!#REF!</definedName>
    <definedName name="_DAT8" localSheetId="5">[6]MEAL_ALL!#REF!</definedName>
    <definedName name="_DAT8" localSheetId="4">[6]MEAL_ALL!#REF!</definedName>
    <definedName name="_DAT8">[6]MEAL_ALL!#REF!</definedName>
    <definedName name="_DAT9" localSheetId="5">[6]MEAL_ALL!#REF!</definedName>
    <definedName name="_DAT9" localSheetId="4">[6]MEAL_ALL!#REF!</definedName>
    <definedName name="_DAT9">[6]MEAL_ALL!#REF!</definedName>
    <definedName name="_Data2013_">[8]Data_2013!$A$1:$I$3388</definedName>
    <definedName name="_DataInput_">[8]dtInput!$A$1:$I$3726</definedName>
    <definedName name="_dtCOM_">[9]Commercial!$A$1:$AJ$1</definedName>
    <definedName name="_dtDAG_" localSheetId="0">#REF!</definedName>
    <definedName name="_dtDAG_" localSheetId="5">#REF!</definedName>
    <definedName name="_dtDAG_" localSheetId="4">#REF!</definedName>
    <definedName name="_dtDAG_">#REF!</definedName>
    <definedName name="_dtFIS_">[9]Fiscal!$A$1:$AJ$1</definedName>
    <definedName name="_ECO4" localSheetId="0">[4]ACARS!#REF!</definedName>
    <definedName name="_ECO4" localSheetId="5">[4]ACARS!#REF!</definedName>
    <definedName name="_ECO4" localSheetId="4">[4]ACARS!#REF!</definedName>
    <definedName name="_ECO4">[4]ACARS!#REF!</definedName>
    <definedName name="_exr01" localSheetId="0">#REF!</definedName>
    <definedName name="_exr01" localSheetId="5">#REF!</definedName>
    <definedName name="_exr01" localSheetId="4">#REF!</definedName>
    <definedName name="_exr01">#REF!</definedName>
    <definedName name="_exr02" localSheetId="0">#REF!</definedName>
    <definedName name="_exr02" localSheetId="5">#REF!</definedName>
    <definedName name="_exr02" localSheetId="4">#REF!</definedName>
    <definedName name="_exr02">#REF!</definedName>
    <definedName name="_exr03" localSheetId="0">#REF!</definedName>
    <definedName name="_exr03" localSheetId="5">#REF!</definedName>
    <definedName name="_exr03" localSheetId="4">#REF!</definedName>
    <definedName name="_exr03">#REF!</definedName>
    <definedName name="_exr99" localSheetId="0">#REF!</definedName>
    <definedName name="_exr99" localSheetId="5">#REF!</definedName>
    <definedName name="_exr99" localSheetId="4">#REF!</definedName>
    <definedName name="_exr99">#REF!</definedName>
    <definedName name="_FDU204">[5]ATRUCK!$F$138:$V$138</definedName>
    <definedName name="_FDU207">[5]ATRUCK!$F$118:$V$118</definedName>
    <definedName name="_FDU2214">[5]ATRUCK!$F$172:$V$172</definedName>
    <definedName name="_Fill" localSheetId="0" hidden="1">#REF!</definedName>
    <definedName name="_Fill" localSheetId="5" hidden="1">#REF!</definedName>
    <definedName name="_Fill" localSheetId="4" hidden="1">#REF!</definedName>
    <definedName name="_Fill" hidden="1">#REF!</definedName>
    <definedName name="_xlnm._FilterDatabase" localSheetId="0" hidden="1">'Funding 2019'!#REF!</definedName>
    <definedName name="_xlnm._FilterDatabase" localSheetId="6" hidden="1">'IPS Project'!$A$1:$J$580</definedName>
    <definedName name="_xlnm._FilterDatabase" localSheetId="1" hidden="1">'PR List 2019'!$N$3:$Y$793</definedName>
    <definedName name="_xlnm._FilterDatabase" localSheetId="5" hidden="1">'Reminder (2)'!$B$2:$O$68</definedName>
    <definedName name="_fte2006">[10]act2006!$B$55:$AG$56</definedName>
    <definedName name="_gna2006">[10]act2006!$C$4:$AG$54</definedName>
    <definedName name="_Key1" localSheetId="0" hidden="1">#REF!</definedName>
    <definedName name="_Key1" localSheetId="5" hidden="1">#REF!</definedName>
    <definedName name="_Key1" localSheetId="4" hidden="1">#REF!</definedName>
    <definedName name="_Key1" hidden="1">#REF!</definedName>
    <definedName name="_LC2" localSheetId="0">[4]ACARS!#REF!</definedName>
    <definedName name="_LC2" localSheetId="5">[4]ACARS!#REF!</definedName>
    <definedName name="_LC2" localSheetId="4">[4]ACARS!#REF!</definedName>
    <definedName name="_LC2">[4]ACARS!#REF!</definedName>
    <definedName name="_LC4" localSheetId="0">[4]ACARS!#REF!</definedName>
    <definedName name="_LC4" localSheetId="5">[4]ACARS!#REF!</definedName>
    <definedName name="_LC4" localSheetId="4">[4]ACARS!#REF!</definedName>
    <definedName name="_LC4">[4]ACARS!#REF!</definedName>
    <definedName name="_LH2" localSheetId="0">[4]ACARS!#REF!</definedName>
    <definedName name="_LH2" localSheetId="5">[4]ACARS!#REF!</definedName>
    <definedName name="_LH2" localSheetId="4">[4]ACARS!#REF!</definedName>
    <definedName name="_LH2">[4]ACARS!#REF!</definedName>
    <definedName name="_LH4" localSheetId="0">[4]ACARS!#REF!</definedName>
    <definedName name="_LH4" localSheetId="5">[4]ACARS!#REF!</definedName>
    <definedName name="_LH4" localSheetId="4">[4]ACARS!#REF!</definedName>
    <definedName name="_LH4">[4]ACARS!#REF!</definedName>
    <definedName name="_LL2" localSheetId="0">[4]ACARS!#REF!</definedName>
    <definedName name="_LL2" localSheetId="5">[4]ACARS!#REF!</definedName>
    <definedName name="_LL2" localSheetId="4">[4]ACARS!#REF!</definedName>
    <definedName name="_LL2">[4]ACARS!#REF!</definedName>
    <definedName name="_LL4" localSheetId="0">[4]ACARS!#REF!</definedName>
    <definedName name="_LL4" localSheetId="5">[4]ACARS!#REF!</definedName>
    <definedName name="_LL4" localSheetId="4">[4]ACARS!#REF!</definedName>
    <definedName name="_LL4">[4]ACARS!#REF!</definedName>
    <definedName name="_LL5" localSheetId="0">[4]ACARS!#REF!</definedName>
    <definedName name="_LL5" localSheetId="5">[4]ACARS!#REF!</definedName>
    <definedName name="_LL5" localSheetId="4">[4]ACARS!#REF!</definedName>
    <definedName name="_LL5">[4]ACARS!#REF!</definedName>
    <definedName name="_LM2" localSheetId="0">[4]ACARS!#REF!</definedName>
    <definedName name="_LM2" localSheetId="5">[4]ACARS!#REF!</definedName>
    <definedName name="_LM2" localSheetId="4">[4]ACARS!#REF!</definedName>
    <definedName name="_LM2">[4]ACARS!#REF!</definedName>
    <definedName name="_LM4" localSheetId="0">[4]ACARS!#REF!</definedName>
    <definedName name="_LM4" localSheetId="5">[4]ACARS!#REF!</definedName>
    <definedName name="_LM4" localSheetId="4">[4]ACARS!#REF!</definedName>
    <definedName name="_LM4">[4]ACARS!#REF!</definedName>
    <definedName name="_LS2" localSheetId="0">[4]ACARS!#REF!</definedName>
    <definedName name="_LS2" localSheetId="5">[4]ACARS!#REF!</definedName>
    <definedName name="_LS2" localSheetId="4">[4]ACARS!#REF!</definedName>
    <definedName name="_LS2">[4]ACARS!#REF!</definedName>
    <definedName name="_LS3" localSheetId="0">[4]ACARS!#REF!</definedName>
    <definedName name="_LS3" localSheetId="5">[4]ACARS!#REF!</definedName>
    <definedName name="_LS3" localSheetId="4">[4]ACARS!#REF!</definedName>
    <definedName name="_LS3">[4]ACARS!#REF!</definedName>
    <definedName name="_LT4" localSheetId="0">[4]ACARS!#REF!</definedName>
    <definedName name="_LT4" localSheetId="5">[4]ACARS!#REF!</definedName>
    <definedName name="_LT4" localSheetId="4">[4]ACARS!#REF!</definedName>
    <definedName name="_LT4">[4]ACARS!#REF!</definedName>
    <definedName name="_MH3" localSheetId="0">[4]ACARS!#REF!</definedName>
    <definedName name="_MH3" localSheetId="5">[4]ACARS!#REF!</definedName>
    <definedName name="_MH3" localSheetId="4">[4]ACARS!#REF!</definedName>
    <definedName name="_MH3">[4]ACARS!#REF!</definedName>
    <definedName name="_MH4" localSheetId="0">[4]ACARS!#REF!</definedName>
    <definedName name="_MH4" localSheetId="5">[4]ACARS!#REF!</definedName>
    <definedName name="_MH4" localSheetId="4">[4]ACARS!#REF!</definedName>
    <definedName name="_MH4">[4]ACARS!#REF!</definedName>
    <definedName name="_ML3" localSheetId="0">[4]ACARS!#REF!</definedName>
    <definedName name="_ML3" localSheetId="5">[4]ACARS!#REF!</definedName>
    <definedName name="_ML3" localSheetId="4">[4]ACARS!#REF!</definedName>
    <definedName name="_ML3">[4]ACARS!#REF!</definedName>
    <definedName name="_ML4" localSheetId="0">[4]ACARS!#REF!</definedName>
    <definedName name="_ML4" localSheetId="5">[4]ACARS!#REF!</definedName>
    <definedName name="_ML4" localSheetId="4">[4]ACARS!#REF!</definedName>
    <definedName name="_ML4">[4]ACARS!#REF!</definedName>
    <definedName name="_ML5" localSheetId="0">[4]ACARS!#REF!</definedName>
    <definedName name="_ML5" localSheetId="5">[4]ACARS!#REF!</definedName>
    <definedName name="_ML5" localSheetId="4">[4]ACARS!#REF!</definedName>
    <definedName name="_ML5">[4]ACARS!#REF!</definedName>
    <definedName name="_MZU204">[5]ATRUCK!$F$144:$V$144</definedName>
    <definedName name="_NL2" localSheetId="0">[4]ACARS!#REF!</definedName>
    <definedName name="_NL2" localSheetId="5">[4]ACARS!#REF!</definedName>
    <definedName name="_NL2" localSheetId="4">[4]ACARS!#REF!</definedName>
    <definedName name="_NL2">[4]ACARS!#REF!</definedName>
    <definedName name="_NL4" localSheetId="0">[4]ACARS!#REF!</definedName>
    <definedName name="_NL4" localSheetId="5">[4]ACARS!#REF!</definedName>
    <definedName name="_NL4" localSheetId="4">[4]ACARS!#REF!</definedName>
    <definedName name="_NL4">[4]ACARS!#REF!</definedName>
    <definedName name="_NL5" localSheetId="0">[4]ACARS!#REF!</definedName>
    <definedName name="_NL5" localSheetId="5">[4]ACARS!#REF!</definedName>
    <definedName name="_NL5" localSheetId="4">[4]ACARS!#REF!</definedName>
    <definedName name="_NL5">[4]ACARS!#REF!</definedName>
    <definedName name="_OLD315">[5]ATRUCK!$F$177:$V$177</definedName>
    <definedName name="_Order1" hidden="1">0</definedName>
    <definedName name="_PLC2" localSheetId="0">[4]ACARS!#REF!</definedName>
    <definedName name="_PLC2" localSheetId="5">[4]ACARS!#REF!</definedName>
    <definedName name="_PLC2" localSheetId="4">[4]ACARS!#REF!</definedName>
    <definedName name="_PLC2">[4]ACARS!#REF!</definedName>
    <definedName name="_PLC4" localSheetId="0">[4]ACARS!#REF!</definedName>
    <definedName name="_PLC4" localSheetId="5">[4]ACARS!#REF!</definedName>
    <definedName name="_PLC4" localSheetId="4">[4]ACARS!#REF!</definedName>
    <definedName name="_PLC4">[4]ACARS!#REF!</definedName>
    <definedName name="_PLH2" localSheetId="0">[4]ACARS!#REF!</definedName>
    <definedName name="_PLH2" localSheetId="5">[4]ACARS!#REF!</definedName>
    <definedName name="_PLH2" localSheetId="4">[4]ACARS!#REF!</definedName>
    <definedName name="_PLH2">[4]ACARS!#REF!</definedName>
    <definedName name="_PLH4" localSheetId="0">[4]ACARS!#REF!</definedName>
    <definedName name="_PLH4" localSheetId="5">[4]ACARS!#REF!</definedName>
    <definedName name="_PLH4" localSheetId="4">[4]ACARS!#REF!</definedName>
    <definedName name="_PLH4">[4]ACARS!#REF!</definedName>
    <definedName name="_PLL2" localSheetId="0">[4]ACARS!#REF!</definedName>
    <definedName name="_PLL2" localSheetId="5">[4]ACARS!#REF!</definedName>
    <definedName name="_PLL2" localSheetId="4">[4]ACARS!#REF!</definedName>
    <definedName name="_PLL2">[4]ACARS!#REF!</definedName>
    <definedName name="_PLL4" localSheetId="0">[4]ACARS!#REF!</definedName>
    <definedName name="_PLL4" localSheetId="5">[4]ACARS!#REF!</definedName>
    <definedName name="_PLL4" localSheetId="4">[4]ACARS!#REF!</definedName>
    <definedName name="_PLL4">[4]ACARS!#REF!</definedName>
    <definedName name="_PLL5" localSheetId="0">[4]ACARS!#REF!</definedName>
    <definedName name="_PLL5" localSheetId="5">[4]ACARS!#REF!</definedName>
    <definedName name="_PLL5" localSheetId="4">[4]ACARS!#REF!</definedName>
    <definedName name="_PLL5">[4]ACARS!#REF!</definedName>
    <definedName name="_PLM2" localSheetId="0">[4]ACARS!#REF!</definedName>
    <definedName name="_PLM2" localSheetId="5">[4]ACARS!#REF!</definedName>
    <definedName name="_PLM2" localSheetId="4">[4]ACARS!#REF!</definedName>
    <definedName name="_PLM2">[4]ACARS!#REF!</definedName>
    <definedName name="_PLM4" localSheetId="0">[4]ACARS!#REF!</definedName>
    <definedName name="_PLM4" localSheetId="5">[4]ACARS!#REF!</definedName>
    <definedName name="_PLM4" localSheetId="4">[4]ACARS!#REF!</definedName>
    <definedName name="_PLM4">[4]ACARS!#REF!</definedName>
    <definedName name="_PLS2" localSheetId="0">[4]ACARS!#REF!</definedName>
    <definedName name="_PLS2" localSheetId="5">[4]ACARS!#REF!</definedName>
    <definedName name="_PLS2" localSheetId="4">[4]ACARS!#REF!</definedName>
    <definedName name="_PLS2">[4]ACARS!#REF!</definedName>
    <definedName name="_PLS3" localSheetId="0">[4]ACARS!#REF!</definedName>
    <definedName name="_PLS3" localSheetId="5">[4]ACARS!#REF!</definedName>
    <definedName name="_PLS3" localSheetId="4">[4]ACARS!#REF!</definedName>
    <definedName name="_PLS3">[4]ACARS!#REF!</definedName>
    <definedName name="_PLT4" localSheetId="0">[4]ACARS!#REF!</definedName>
    <definedName name="_PLT4" localSheetId="5">[4]ACARS!#REF!</definedName>
    <definedName name="_PLT4" localSheetId="4">[4]ACARS!#REF!</definedName>
    <definedName name="_PLT4">[4]ACARS!#REF!</definedName>
    <definedName name="_PMH3" localSheetId="0">[4]ACARS!#REF!</definedName>
    <definedName name="_PMH3" localSheetId="5">[4]ACARS!#REF!</definedName>
    <definedName name="_PMH3" localSheetId="4">[4]ACARS!#REF!</definedName>
    <definedName name="_PMH3">[4]ACARS!#REF!</definedName>
    <definedName name="_PMH4" localSheetId="0">[4]ACARS!#REF!</definedName>
    <definedName name="_PMH4" localSheetId="5">[4]ACARS!#REF!</definedName>
    <definedName name="_PMH4" localSheetId="4">[4]ACARS!#REF!</definedName>
    <definedName name="_PMH4">[4]ACARS!#REF!</definedName>
    <definedName name="_PML3" localSheetId="0">[4]ACARS!#REF!</definedName>
    <definedName name="_PML3" localSheetId="5">[4]ACARS!#REF!</definedName>
    <definedName name="_PML3" localSheetId="4">[4]ACARS!#REF!</definedName>
    <definedName name="_PML3">[4]ACARS!#REF!</definedName>
    <definedName name="_PML4" localSheetId="0">[4]ACARS!#REF!</definedName>
    <definedName name="_PML4" localSheetId="5">[4]ACARS!#REF!</definedName>
    <definedName name="_PML4" localSheetId="4">[4]ACARS!#REF!</definedName>
    <definedName name="_PML4">[4]ACARS!#REF!</definedName>
    <definedName name="_PML5" localSheetId="0">[4]ACARS!#REF!</definedName>
    <definedName name="_PML5" localSheetId="5">[4]ACARS!#REF!</definedName>
    <definedName name="_PML5" localSheetId="4">[4]ACARS!#REF!</definedName>
    <definedName name="_PML5">[4]ACARS!#REF!</definedName>
    <definedName name="_PNL4" localSheetId="0">[4]ACARS!#REF!</definedName>
    <definedName name="_PNL4" localSheetId="5">[4]ACARS!#REF!</definedName>
    <definedName name="_PNL4" localSheetId="4">[4]ACARS!#REF!</definedName>
    <definedName name="_PNL4">[4]ACARS!#REF!</definedName>
    <definedName name="_PNL5" localSheetId="0">[4]ACARS!#REF!</definedName>
    <definedName name="_PNL5" localSheetId="5">[4]ACARS!#REF!</definedName>
    <definedName name="_PNL5" localSheetId="4">[4]ACARS!#REF!</definedName>
    <definedName name="_PNL5">[4]ACARS!#REF!</definedName>
    <definedName name="_POR9010">[5]ATRUCK!$F$114:$V$114</definedName>
    <definedName name="_PS41">[11]内容詳細!$J$7</definedName>
    <definedName name="_PSH4" localSheetId="0">[4]ACARS!#REF!</definedName>
    <definedName name="_PSH4" localSheetId="5">[4]ACARS!#REF!</definedName>
    <definedName name="_PSH4" localSheetId="4">[4]ACARS!#REF!</definedName>
    <definedName name="_PSH4">[4]ACARS!#REF!</definedName>
    <definedName name="_PSL3" localSheetId="0">[4]ACARS!#REF!</definedName>
    <definedName name="_PSL3" localSheetId="5">[4]ACARS!#REF!</definedName>
    <definedName name="_PSL3" localSheetId="4">[4]ACARS!#REF!</definedName>
    <definedName name="_PSL3">[4]ACARS!#REF!</definedName>
    <definedName name="_PSL4" localSheetId="0">[4]ACARS!#REF!</definedName>
    <definedName name="_PSL4" localSheetId="5">[4]ACARS!#REF!</definedName>
    <definedName name="_PSL4" localSheetId="4">[4]ACARS!#REF!</definedName>
    <definedName name="_PSL4">[4]ACARS!#REF!</definedName>
    <definedName name="_PSL5" localSheetId="0">[4]ACARS!#REF!</definedName>
    <definedName name="_PSL5" localSheetId="5">[4]ACARS!#REF!</definedName>
    <definedName name="_PSL5" localSheetId="4">[4]ACARS!#REF!</definedName>
    <definedName name="_PSL5">[4]ACARS!#REF!</definedName>
    <definedName name="_refSAPGrup_">[9]refRaw!$A$1:$C$4</definedName>
    <definedName name="_ROV4">[5]ATRUCK!$F$107:$V$107</definedName>
    <definedName name="_SCL2" localSheetId="0">[4]ACARS!#REF!</definedName>
    <definedName name="_SCL2" localSheetId="5">[4]ACARS!#REF!</definedName>
    <definedName name="_SCL2" localSheetId="4">[4]ACARS!#REF!</definedName>
    <definedName name="_SCL2">[4]ACARS!#REF!</definedName>
    <definedName name="_SH4" localSheetId="0">[4]ACARS!#REF!</definedName>
    <definedName name="_SH4" localSheetId="5">[4]ACARS!#REF!</definedName>
    <definedName name="_SH4" localSheetId="4">[4]ACARS!#REF!</definedName>
    <definedName name="_SH4">[4]ACARS!#REF!</definedName>
    <definedName name="_SH5" localSheetId="0">[4]ACARS!#REF!</definedName>
    <definedName name="_SH5" localSheetId="5">[4]ACARS!#REF!</definedName>
    <definedName name="_SH5" localSheetId="4">[4]ACARS!#REF!</definedName>
    <definedName name="_SH5">[4]ACARS!#REF!</definedName>
    <definedName name="_SL3" localSheetId="0">[4]ACARS!#REF!</definedName>
    <definedName name="_SL3" localSheetId="5">[4]ACARS!#REF!</definedName>
    <definedName name="_SL3" localSheetId="4">[4]ACARS!#REF!</definedName>
    <definedName name="_SL3">[4]ACARS!#REF!</definedName>
    <definedName name="_SL4" localSheetId="0">[4]ACARS!#REF!</definedName>
    <definedName name="_SL4" localSheetId="5">[4]ACARS!#REF!</definedName>
    <definedName name="_SL4" localSheetId="4">[4]ACARS!#REF!</definedName>
    <definedName name="_SL4">[4]ACARS!#REF!</definedName>
    <definedName name="_SL5" localSheetId="0">[4]ACARS!#REF!</definedName>
    <definedName name="_SL5" localSheetId="5">[4]ACARS!#REF!</definedName>
    <definedName name="_SL5" localSheetId="4">[4]ACARS!#REF!</definedName>
    <definedName name="_SL5">[4]ACARS!#REF!</definedName>
    <definedName name="_Sort" localSheetId="0" hidden="1">#REF!</definedName>
    <definedName name="_Sort" localSheetId="5" hidden="1">#REF!</definedName>
    <definedName name="_Sort" localSheetId="4" hidden="1">#REF!</definedName>
    <definedName name="_Sort" hidden="1">#REF!</definedName>
    <definedName name="_SZX90">[5]ATRUCK!$F$186:$V$186</definedName>
    <definedName name="_Yr01" localSheetId="0">#REF!</definedName>
    <definedName name="_Yr01" localSheetId="5">#REF!</definedName>
    <definedName name="_Yr01" localSheetId="4">#REF!</definedName>
    <definedName name="_Yr01">#REF!</definedName>
    <definedName name="_Yr02" localSheetId="0">#REF!</definedName>
    <definedName name="_Yr02" localSheetId="5">#REF!</definedName>
    <definedName name="_Yr02" localSheetId="4">#REF!</definedName>
    <definedName name="_Yr02">#REF!</definedName>
    <definedName name="_Yr03" localSheetId="0">#REF!</definedName>
    <definedName name="_Yr03" localSheetId="5">#REF!</definedName>
    <definedName name="_Yr03" localSheetId="4">#REF!</definedName>
    <definedName name="_Yr03">#REF!</definedName>
    <definedName name="_Yr04" localSheetId="0">#REF!</definedName>
    <definedName name="_Yr04" localSheetId="5">#REF!</definedName>
    <definedName name="_Yr04" localSheetId="4">#REF!</definedName>
    <definedName name="_Yr04">#REF!</definedName>
    <definedName name="_Yr05" localSheetId="0">#REF!</definedName>
    <definedName name="_Yr05" localSheetId="5">#REF!</definedName>
    <definedName name="_Yr05" localSheetId="4">#REF!</definedName>
    <definedName name="_Yr05">#REF!</definedName>
    <definedName name="_Yr06" localSheetId="0">#REF!</definedName>
    <definedName name="_Yr06" localSheetId="5">#REF!</definedName>
    <definedName name="_Yr06" localSheetId="4">#REF!</definedName>
    <definedName name="_Yr06">#REF!</definedName>
    <definedName name="_Yr07" localSheetId="0">#REF!</definedName>
    <definedName name="_Yr07" localSheetId="5">#REF!</definedName>
    <definedName name="_Yr07" localSheetId="4">#REF!</definedName>
    <definedName name="_Yr07">#REF!</definedName>
    <definedName name="_Yr08" localSheetId="0">#REF!</definedName>
    <definedName name="_Yr08" localSheetId="5">#REF!</definedName>
    <definedName name="_Yr08" localSheetId="4">#REF!</definedName>
    <definedName name="_Yr08">#REF!</definedName>
    <definedName name="_Yr09" localSheetId="0">#REF!</definedName>
    <definedName name="_Yr09" localSheetId="5">#REF!</definedName>
    <definedName name="_Yr09" localSheetId="4">#REF!</definedName>
    <definedName name="_Yr09">#REF!</definedName>
    <definedName name="_Yr10" localSheetId="0">#REF!</definedName>
    <definedName name="_Yr10" localSheetId="5">#REF!</definedName>
    <definedName name="_Yr10" localSheetId="4">#REF!</definedName>
    <definedName name="_Yr10">#REF!</definedName>
    <definedName name="_Yr11" localSheetId="0">#REF!</definedName>
    <definedName name="_Yr11" localSheetId="5">#REF!</definedName>
    <definedName name="_Yr11" localSheetId="4">#REF!</definedName>
    <definedName name="_Yr11">#REF!</definedName>
    <definedName name="_Yr12" localSheetId="0">#REF!</definedName>
    <definedName name="_Yr12" localSheetId="5">#REF!</definedName>
    <definedName name="_Yr12" localSheetId="4">#REF!</definedName>
    <definedName name="_Yr12">#REF!</definedName>
    <definedName name="_Yr89" localSheetId="0">#REF!</definedName>
    <definedName name="_Yr89" localSheetId="5">#REF!</definedName>
    <definedName name="_Yr89" localSheetId="4">#REF!</definedName>
    <definedName name="_Yr89">#REF!</definedName>
    <definedName name="_Yr90" localSheetId="0">#REF!</definedName>
    <definedName name="_Yr90" localSheetId="5">#REF!</definedName>
    <definedName name="_Yr90" localSheetId="4">#REF!</definedName>
    <definedName name="_Yr90">#REF!</definedName>
    <definedName name="_Yr91" localSheetId="0">#REF!</definedName>
    <definedName name="_Yr91" localSheetId="5">#REF!</definedName>
    <definedName name="_Yr91" localSheetId="4">#REF!</definedName>
    <definedName name="_Yr91">#REF!</definedName>
    <definedName name="_Yr92" localSheetId="0">#REF!</definedName>
    <definedName name="_Yr92" localSheetId="5">#REF!</definedName>
    <definedName name="_Yr92" localSheetId="4">#REF!</definedName>
    <definedName name="_Yr92">#REF!</definedName>
    <definedName name="_Yr93" localSheetId="0">#REF!</definedName>
    <definedName name="_Yr93" localSheetId="5">#REF!</definedName>
    <definedName name="_Yr93" localSheetId="4">#REF!</definedName>
    <definedName name="_Yr93">#REF!</definedName>
    <definedName name="_Yr94" localSheetId="0">#REF!</definedName>
    <definedName name="_Yr94" localSheetId="5">#REF!</definedName>
    <definedName name="_Yr94" localSheetId="4">#REF!</definedName>
    <definedName name="_Yr94">#REF!</definedName>
    <definedName name="_Yr95" localSheetId="0">#REF!</definedName>
    <definedName name="_Yr95" localSheetId="5">#REF!</definedName>
    <definedName name="_Yr95" localSheetId="4">#REF!</definedName>
    <definedName name="_Yr95">#REF!</definedName>
    <definedName name="_Yr96" localSheetId="0">#REF!</definedName>
    <definedName name="_Yr96" localSheetId="5">#REF!</definedName>
    <definedName name="_Yr96" localSheetId="4">#REF!</definedName>
    <definedName name="_Yr96">#REF!</definedName>
    <definedName name="_Yr97" localSheetId="0">#REF!</definedName>
    <definedName name="_Yr97" localSheetId="5">#REF!</definedName>
    <definedName name="_Yr97" localSheetId="4">#REF!</definedName>
    <definedName name="_Yr97">#REF!</definedName>
    <definedName name="_Yr98" localSheetId="0">#REF!</definedName>
    <definedName name="_Yr98" localSheetId="5">#REF!</definedName>
    <definedName name="_Yr98" localSheetId="4">#REF!</definedName>
    <definedName name="_Yr98">#REF!</definedName>
    <definedName name="_Yr99" localSheetId="0">#REF!</definedName>
    <definedName name="_Yr99" localSheetId="5">#REF!</definedName>
    <definedName name="_Yr99" localSheetId="4">#REF!</definedName>
    <definedName name="_Yr99">#REF!</definedName>
    <definedName name="A" localSheetId="0">#REF!</definedName>
    <definedName name="A" localSheetId="5">#REF!</definedName>
    <definedName name="A" localSheetId="4">#REF!</definedName>
    <definedName name="A">#REF!</definedName>
    <definedName name="AA" localSheetId="0">#REF!</definedName>
    <definedName name="AA" localSheetId="5">#REF!</definedName>
    <definedName name="AA" localSheetId="4">#REF!</definedName>
    <definedName name="AA">#REF!</definedName>
    <definedName name="ACAL00" localSheetId="0">#REF!</definedName>
    <definedName name="ACAL00" localSheetId="5">#REF!</definedName>
    <definedName name="ACAL00" localSheetId="4">#REF!</definedName>
    <definedName name="ACAL00">#REF!</definedName>
    <definedName name="ACAL01" localSheetId="0">#REF!</definedName>
    <definedName name="ACAL01" localSheetId="5">#REF!</definedName>
    <definedName name="ACAL01" localSheetId="4">#REF!</definedName>
    <definedName name="ACAL01">#REF!</definedName>
    <definedName name="ACAL02" localSheetId="0">#REF!</definedName>
    <definedName name="ACAL02" localSheetId="5">#REF!</definedName>
    <definedName name="ACAL02" localSheetId="4">#REF!</definedName>
    <definedName name="ACAL02">#REF!</definedName>
    <definedName name="ACAL03" localSheetId="0">#REF!</definedName>
    <definedName name="ACAL03" localSheetId="5">#REF!</definedName>
    <definedName name="ACAL03" localSheetId="4">#REF!</definedName>
    <definedName name="ACAL03">#REF!</definedName>
    <definedName name="ACAL04" localSheetId="0">#REF!</definedName>
    <definedName name="ACAL04" localSheetId="5">#REF!</definedName>
    <definedName name="ACAL04" localSheetId="4">#REF!</definedName>
    <definedName name="ACAL04">#REF!</definedName>
    <definedName name="ACAL05" localSheetId="0">#REF!</definedName>
    <definedName name="ACAL05" localSheetId="5">#REF!</definedName>
    <definedName name="ACAL05" localSheetId="4">#REF!</definedName>
    <definedName name="ACAL05">#REF!</definedName>
    <definedName name="ACAL06" localSheetId="0">#REF!</definedName>
    <definedName name="ACAL06" localSheetId="5">#REF!</definedName>
    <definedName name="ACAL06" localSheetId="4">#REF!</definedName>
    <definedName name="ACAL06">#REF!</definedName>
    <definedName name="ACAL07" localSheetId="0">#REF!</definedName>
    <definedName name="ACAL07" localSheetId="5">#REF!</definedName>
    <definedName name="ACAL07" localSheetId="4">#REF!</definedName>
    <definedName name="ACAL07">#REF!</definedName>
    <definedName name="ACAL08" localSheetId="0">#REF!</definedName>
    <definedName name="ACAL08" localSheetId="5">#REF!</definedName>
    <definedName name="ACAL08" localSheetId="4">#REF!</definedName>
    <definedName name="ACAL08">#REF!</definedName>
    <definedName name="ACAL09" localSheetId="0">#REF!</definedName>
    <definedName name="ACAL09" localSheetId="5">#REF!</definedName>
    <definedName name="ACAL09" localSheetId="4">#REF!</definedName>
    <definedName name="ACAL09">#REF!</definedName>
    <definedName name="ACAL10" localSheetId="0">#REF!</definedName>
    <definedName name="ACAL10" localSheetId="5">#REF!</definedName>
    <definedName name="ACAL10" localSheetId="4">#REF!</definedName>
    <definedName name="ACAL10">#REF!</definedName>
    <definedName name="ACAL11" localSheetId="0">#REF!</definedName>
    <definedName name="ACAL11" localSheetId="5">#REF!</definedName>
    <definedName name="ACAL11" localSheetId="4">#REF!</definedName>
    <definedName name="ACAL11">#REF!</definedName>
    <definedName name="ACAL88" localSheetId="0">#REF!</definedName>
    <definedName name="ACAL88" localSheetId="5">#REF!</definedName>
    <definedName name="ACAL88" localSheetId="4">#REF!</definedName>
    <definedName name="ACAL88">#REF!</definedName>
    <definedName name="ACAL89" localSheetId="0">#REF!</definedName>
    <definedName name="ACAL89" localSheetId="5">#REF!</definedName>
    <definedName name="ACAL89" localSheetId="4">#REF!</definedName>
    <definedName name="ACAL89">#REF!</definedName>
    <definedName name="ACAL90" localSheetId="0">#REF!</definedName>
    <definedName name="ACAL90" localSheetId="5">#REF!</definedName>
    <definedName name="ACAL90" localSheetId="4">#REF!</definedName>
    <definedName name="ACAL90">#REF!</definedName>
    <definedName name="ACAL91" localSheetId="0">#REF!</definedName>
    <definedName name="ACAL91" localSheetId="5">#REF!</definedName>
    <definedName name="ACAL91" localSheetId="4">#REF!</definedName>
    <definedName name="ACAL91">#REF!</definedName>
    <definedName name="ACAL92" localSheetId="0">#REF!</definedName>
    <definedName name="ACAL92" localSheetId="5">#REF!</definedName>
    <definedName name="ACAL92" localSheetId="4">#REF!</definedName>
    <definedName name="ACAL92">#REF!</definedName>
    <definedName name="ACAL93" localSheetId="0">#REF!</definedName>
    <definedName name="ACAL93" localSheetId="5">#REF!</definedName>
    <definedName name="ACAL93" localSheetId="4">#REF!</definedName>
    <definedName name="ACAL93">#REF!</definedName>
    <definedName name="ACAL94" localSheetId="0">#REF!</definedName>
    <definedName name="ACAL94" localSheetId="5">#REF!</definedName>
    <definedName name="ACAL94" localSheetId="4">#REF!</definedName>
    <definedName name="ACAL94">#REF!</definedName>
    <definedName name="ACAL95" localSheetId="0">#REF!</definedName>
    <definedName name="ACAL95" localSheetId="5">#REF!</definedName>
    <definedName name="ACAL95" localSheetId="4">#REF!</definedName>
    <definedName name="ACAL95">#REF!</definedName>
    <definedName name="ACAL96" localSheetId="0">#REF!</definedName>
    <definedName name="ACAL96" localSheetId="5">#REF!</definedName>
    <definedName name="ACAL96" localSheetId="4">#REF!</definedName>
    <definedName name="ACAL96">#REF!</definedName>
    <definedName name="ACAL97" localSheetId="0">#REF!</definedName>
    <definedName name="ACAL97" localSheetId="5">#REF!</definedName>
    <definedName name="ACAL97" localSheetId="4">#REF!</definedName>
    <definedName name="ACAL97">#REF!</definedName>
    <definedName name="ACAL98" localSheetId="0">#REF!</definedName>
    <definedName name="ACAL98" localSheetId="5">#REF!</definedName>
    <definedName name="ACAL98" localSheetId="4">#REF!</definedName>
    <definedName name="ACAL98">#REF!</definedName>
    <definedName name="ACAL99" localSheetId="0">#REF!</definedName>
    <definedName name="ACAL99" localSheetId="5">#REF!</definedName>
    <definedName name="ACAL99" localSheetId="4">#REF!</definedName>
    <definedName name="ACAL99">#REF!</definedName>
    <definedName name="acctmkt" localSheetId="5">#REF!</definedName>
    <definedName name="acctmkt" localSheetId="4">#REF!</definedName>
    <definedName name="acctmkt">#REF!</definedName>
    <definedName name="ACINTEG_18AALL" localSheetId="0">#REF!</definedName>
    <definedName name="ACINTEG_18AALL" localSheetId="5">#REF!</definedName>
    <definedName name="ACINTEG_18AALL" localSheetId="4">#REF!</definedName>
    <definedName name="ACINTEG_18AALL">#REF!</definedName>
    <definedName name="ACSLX">[5]ATRUCK!$F$100:$V$100</definedName>
    <definedName name="ACURALEGALL" localSheetId="0">#REF!</definedName>
    <definedName name="ACURALEGALL" localSheetId="5">#REF!</definedName>
    <definedName name="ACURALEGALL" localSheetId="4">#REF!</definedName>
    <definedName name="ACURALEGALL">#REF!</definedName>
    <definedName name="ACURATLALL" localSheetId="0">#REF!</definedName>
    <definedName name="ACURATLALL" localSheetId="5">#REF!</definedName>
    <definedName name="ACURATLALL" localSheetId="4">#REF!</definedName>
    <definedName name="ACURATLALL">#REF!</definedName>
    <definedName name="ACURATLS" localSheetId="0">#REF!</definedName>
    <definedName name="ACURATLS" localSheetId="5">#REF!</definedName>
    <definedName name="ACURATLS" localSheetId="4">#REF!</definedName>
    <definedName name="ACURATLS">#REF!</definedName>
    <definedName name="ACURATOTAL" localSheetId="0">#REF!</definedName>
    <definedName name="ACURATOTAL" localSheetId="5">#REF!</definedName>
    <definedName name="ACURATOTAL" localSheetId="4">#REF!</definedName>
    <definedName name="ACURATOTAL">#REF!</definedName>
    <definedName name="ADD_TO_ABOVE" localSheetId="0">#REF!</definedName>
    <definedName name="ADD_TO_ABOVE" localSheetId="5">#REF!</definedName>
    <definedName name="ADD_TO_ABOVE" localSheetId="4">#REF!</definedName>
    <definedName name="ADD_TO_ABOVE">#REF!</definedName>
    <definedName name="Address" localSheetId="5">#REF!</definedName>
    <definedName name="Address" localSheetId="4">#REF!</definedName>
    <definedName name="Address">#REF!</definedName>
    <definedName name="ALFAROMEOTOTAL" localSheetId="0">#REF!</definedName>
    <definedName name="ALFAROMEOTOTAL" localSheetId="5">#REF!</definedName>
    <definedName name="ALFAROMEOTOTAL" localSheetId="4">#REF!</definedName>
    <definedName name="ALFAROMEOTOTAL">#REF!</definedName>
    <definedName name="Appln">'[12]ESM ver2'!$C$8</definedName>
    <definedName name="as_of_XY">"as of March 26, 2004 - Fiscal Year Volumes"</definedName>
    <definedName name="AS2DocOpenMode" hidden="1">"AS2DocumentEdit"</definedName>
    <definedName name="ASIANTOTE" localSheetId="0">#REF!</definedName>
    <definedName name="ASIANTOTE" localSheetId="5">#REF!</definedName>
    <definedName name="ASIANTOTE" localSheetId="4">#REF!</definedName>
    <definedName name="ASIANTOTE">#REF!</definedName>
    <definedName name="AUDI6ALL" localSheetId="0">#REF!</definedName>
    <definedName name="AUDI6ALL" localSheetId="5">#REF!</definedName>
    <definedName name="AUDI6ALL" localSheetId="4">#REF!</definedName>
    <definedName name="AUDI6ALL">#REF!</definedName>
    <definedName name="AUDIA4ALL" localSheetId="0">#REF!</definedName>
    <definedName name="AUDIA4ALL" localSheetId="5">#REF!</definedName>
    <definedName name="AUDIA4ALL" localSheetId="4">#REF!</definedName>
    <definedName name="AUDIA4ALL">#REF!</definedName>
    <definedName name="AUDIO200ALL" localSheetId="0">#REF!</definedName>
    <definedName name="AUDIO200ALL" localSheetId="5">#REF!</definedName>
    <definedName name="AUDIO200ALL" localSheetId="4">#REF!</definedName>
    <definedName name="AUDIO200ALL">#REF!</definedName>
    <definedName name="AUDISUV" localSheetId="0">[5]ATRUCK!#REF!</definedName>
    <definedName name="AUDISUV" localSheetId="5">[5]ATRUCK!#REF!</definedName>
    <definedName name="AUDISUV" localSheetId="4">[5]ATRUCK!#REF!</definedName>
    <definedName name="AUDISUV">[5]ATRUCK!#REF!</definedName>
    <definedName name="AUDITOTAL" localSheetId="0">#REF!</definedName>
    <definedName name="AUDITOTAL" localSheetId="5">#REF!</definedName>
    <definedName name="AUDITOTAL" localSheetId="4">#REF!</definedName>
    <definedName name="AUDITOTAL">#REF!</definedName>
    <definedName name="AUDITTSALL" localSheetId="0">#REF!</definedName>
    <definedName name="AUDITTSALL" localSheetId="5">#REF!</definedName>
    <definedName name="AUDITTSALL" localSheetId="4">#REF!</definedName>
    <definedName name="AUDITTSALL">#REF!</definedName>
    <definedName name="B" localSheetId="0">#REF!</definedName>
    <definedName name="B" localSheetId="5">#REF!</definedName>
    <definedName name="B" localSheetId="4">#REF!</definedName>
    <definedName name="B">#REF!</definedName>
    <definedName name="BB" localSheetId="0">#REF!</definedName>
    <definedName name="BB" localSheetId="5">#REF!</definedName>
    <definedName name="BB" localSheetId="4">#REF!</definedName>
    <definedName name="BB">#REF!</definedName>
    <definedName name="BEx1RKAJG3AW4SPX80KBZ3JKBOH3" localSheetId="5" hidden="1">'[13]Investplaning 2016'!#REF!</definedName>
    <definedName name="BEx1RKAJG3AW4SPX80KBZ3JKBOH3" localSheetId="4" hidden="1">'[13]Investplaning 2016'!#REF!</definedName>
    <definedName name="BEx1RKAJG3AW4SPX80KBZ3JKBOH3" hidden="1">'[13]Investplaning 2016'!#REF!</definedName>
    <definedName name="BEx3FJV6TRNYW2AWJOTPO7GYKZ1I" localSheetId="5" hidden="1">#REF!</definedName>
    <definedName name="BEx3FJV6TRNYW2AWJOTPO7GYKZ1I" localSheetId="4" hidden="1">#REF!</definedName>
    <definedName name="BEx3FJV6TRNYW2AWJOTPO7GYKZ1I" hidden="1">#REF!</definedName>
    <definedName name="BEx3ICV4TW44A8Z9BHQ88CMN0Z44" localSheetId="5" hidden="1">#REF!</definedName>
    <definedName name="BEx3ICV4TW44A8Z9BHQ88CMN0Z44" localSheetId="4" hidden="1">#REF!</definedName>
    <definedName name="BEx3ICV4TW44A8Z9BHQ88CMN0Z44" hidden="1">#REF!</definedName>
    <definedName name="BEx3LVC6K6JGX7XBW2R1QX2PN33L" localSheetId="5" hidden="1">#REF!</definedName>
    <definedName name="BEx3LVC6K6JGX7XBW2R1QX2PN33L" localSheetId="4" hidden="1">#REF!</definedName>
    <definedName name="BEx3LVC6K6JGX7XBW2R1QX2PN33L" hidden="1">#REF!</definedName>
    <definedName name="BEx3NBHFS2SWRT7A0JOMH8FOZVZ3" localSheetId="5" hidden="1">#REF!</definedName>
    <definedName name="BEx3NBHFS2SWRT7A0JOMH8FOZVZ3" localSheetId="4" hidden="1">#REF!</definedName>
    <definedName name="BEx3NBHFS2SWRT7A0JOMH8FOZVZ3" hidden="1">#REF!</definedName>
    <definedName name="BEx3T3XF28K09C01YN3ZB1FLOEH8" localSheetId="5" hidden="1">'[13]Investplaning 2016'!#REF!</definedName>
    <definedName name="BEx3T3XF28K09C01YN3ZB1FLOEH8" localSheetId="4" hidden="1">'[13]Investplaning 2016'!#REF!</definedName>
    <definedName name="BEx3T3XF28K09C01YN3ZB1FLOEH8" hidden="1">'[13]Investplaning 2016'!#REF!</definedName>
    <definedName name="BEx5D4OUVHIEAD2JLMA0JLK7HVIT" localSheetId="5" hidden="1">'[13]Investplaning 2016'!#REF!</definedName>
    <definedName name="BEx5D4OUVHIEAD2JLMA0JLK7HVIT" localSheetId="4" hidden="1">'[13]Investplaning 2016'!#REF!</definedName>
    <definedName name="BEx5D4OUVHIEAD2JLMA0JLK7HVIT" hidden="1">'[13]Investplaning 2016'!#REF!</definedName>
    <definedName name="BExD0C1UC2H0NARJL837F1W7LH03" localSheetId="5" hidden="1">#REF!</definedName>
    <definedName name="BExD0C1UC2H0NARJL837F1W7LH03" localSheetId="4" hidden="1">#REF!</definedName>
    <definedName name="BExD0C1UC2H0NARJL837F1W7LH03" hidden="1">#REF!</definedName>
    <definedName name="BExD2235KK6MYB5G5REEGGMOW1OC" localSheetId="5" hidden="1">'[13]Investplaning 2016'!#REF!</definedName>
    <definedName name="BExD2235KK6MYB5G5REEGGMOW1OC" localSheetId="4" hidden="1">'[13]Investplaning 2016'!#REF!</definedName>
    <definedName name="BExD2235KK6MYB5G5REEGGMOW1OC" hidden="1">'[13]Investplaning 2016'!#REF!</definedName>
    <definedName name="BExGQZK8GOJA8F7TLGBFG2YPU0VV" localSheetId="5" hidden="1">'[13]Investplaning 2016'!#REF!</definedName>
    <definedName name="BExGQZK8GOJA8F7TLGBFG2YPU0VV" localSheetId="4" hidden="1">'[13]Investplaning 2016'!#REF!</definedName>
    <definedName name="BExGQZK8GOJA8F7TLGBFG2YPU0VV" hidden="1">'[13]Investplaning 2016'!#REF!</definedName>
    <definedName name="BExGVB3RJX05Y9VJJEJABOS1V5X5" localSheetId="5" hidden="1">#REF!</definedName>
    <definedName name="BExGVB3RJX05Y9VJJEJABOS1V5X5" localSheetId="4" hidden="1">#REF!</definedName>
    <definedName name="BExGVB3RJX05Y9VJJEJABOS1V5X5" hidden="1">#REF!</definedName>
    <definedName name="BExIN9HE37FEC2AF3KZICQ3F9V0Q" localSheetId="5" hidden="1">'[13]Investplaning 2016'!#REF!</definedName>
    <definedName name="BExIN9HE37FEC2AF3KZICQ3F9V0Q" localSheetId="4" hidden="1">'[13]Investplaning 2016'!#REF!</definedName>
    <definedName name="BExIN9HE37FEC2AF3KZICQ3F9V0Q" hidden="1">'[13]Investplaning 2016'!#REF!</definedName>
    <definedName name="BExIRY2CU4352KQ2SBSBM1Y7WNZ7" localSheetId="5" hidden="1">'[13]Investplaning 2016'!#REF!</definedName>
    <definedName name="BExIRY2CU4352KQ2SBSBM1Y7WNZ7" localSheetId="4" hidden="1">'[13]Investplaning 2016'!#REF!</definedName>
    <definedName name="BExIRY2CU4352KQ2SBSBM1Y7WNZ7" hidden="1">'[13]Investplaning 2016'!#REF!</definedName>
    <definedName name="BExKV2HJCHCJIX6QJXQ1RRHNO68T" localSheetId="5" hidden="1">'[13]Investplaning 2016'!#REF!</definedName>
    <definedName name="BExKV2HJCHCJIX6QJXQ1RRHNO68T" localSheetId="4" hidden="1">'[13]Investplaning 2016'!#REF!</definedName>
    <definedName name="BExKV2HJCHCJIX6QJXQ1RRHNO68T" hidden="1">'[13]Investplaning 2016'!#REF!</definedName>
    <definedName name="BExOCPQ2P0DR0GZOSUAKLGNYGCF9" localSheetId="5" hidden="1">'[13]Investplaning 2016'!#REF!</definedName>
    <definedName name="BExOCPQ2P0DR0GZOSUAKLGNYGCF9" localSheetId="4" hidden="1">'[13]Investplaning 2016'!#REF!</definedName>
    <definedName name="BExOCPQ2P0DR0GZOSUAKLGNYGCF9" hidden="1">'[13]Investplaning 2016'!#REF!</definedName>
    <definedName name="BExQ4ECXUDY5EU9EOEGZR2WI1U29" localSheetId="5" hidden="1">'[13]Investplaning 2016'!#REF!</definedName>
    <definedName name="BExQ4ECXUDY5EU9EOEGZR2WI1U29" localSheetId="4" hidden="1">'[13]Investplaning 2016'!#REF!</definedName>
    <definedName name="BExQ4ECXUDY5EU9EOEGZR2WI1U29" hidden="1">'[13]Investplaning 2016'!#REF!</definedName>
    <definedName name="BExQ8GWWXGNYMNNCM4C0I1D9U4SB" localSheetId="5" hidden="1">'[13]Investplaning 2016'!#REF!</definedName>
    <definedName name="BExQ8GWWXGNYMNNCM4C0I1D9U4SB" localSheetId="4" hidden="1">'[13]Investplaning 2016'!#REF!</definedName>
    <definedName name="BExQ8GWWXGNYMNNCM4C0I1D9U4SB" hidden="1">'[13]Investplaning 2016'!#REF!</definedName>
    <definedName name="BExQGW7JU2EJG82SQEPMEZUC972X" localSheetId="5" hidden="1">'[13]Investplaning 2016'!#REF!</definedName>
    <definedName name="BExQGW7JU2EJG82SQEPMEZUC972X" localSheetId="4" hidden="1">'[13]Investplaning 2016'!#REF!</definedName>
    <definedName name="BExQGW7JU2EJG82SQEPMEZUC972X" hidden="1">'[13]Investplaning 2016'!#REF!</definedName>
    <definedName name="BExS8FR1K03N08D84H5IKSC37Z19" localSheetId="5" hidden="1">'[13]Investplaning 2016'!#REF!</definedName>
    <definedName name="BExS8FR1K03N08D84H5IKSC37Z19" localSheetId="4" hidden="1">'[13]Investplaning 2016'!#REF!</definedName>
    <definedName name="BExS8FR1K03N08D84H5IKSC37Z19" hidden="1">'[13]Investplaning 2016'!#REF!</definedName>
    <definedName name="BExSDGX3FAXY4KRV70BFXW9CPWDQ" localSheetId="5" hidden="1">'[13]Investplaning 2016'!#REF!</definedName>
    <definedName name="BExSDGX3FAXY4KRV70BFXW9CPWDQ" localSheetId="4" hidden="1">'[13]Investplaning 2016'!#REF!</definedName>
    <definedName name="BExSDGX3FAXY4KRV70BFXW9CPWDQ" hidden="1">'[13]Investplaning 2016'!#REF!</definedName>
    <definedName name="BExU5V155OTTCDOA7TOO8GB68OI7" localSheetId="5" hidden="1">#REF!</definedName>
    <definedName name="BExU5V155OTTCDOA7TOO8GB68OI7" localSheetId="4" hidden="1">#REF!</definedName>
    <definedName name="BExU5V155OTTCDOA7TOO8GB68OI7" hidden="1">#REF!</definedName>
    <definedName name="BExVSPUC1499ADTEBGQK9TG9JPHB" localSheetId="5" hidden="1">'[13]Investplaning 2016'!#REF!</definedName>
    <definedName name="BExVSPUC1499ADTEBGQK9TG9JPHB" localSheetId="4" hidden="1">'[13]Investplaning 2016'!#REF!</definedName>
    <definedName name="BExVSPUC1499ADTEBGQK9TG9JPHB" hidden="1">'[13]Investplaning 2016'!#REF!</definedName>
    <definedName name="BExVY290145J9MRLQQVK5Z2RHA1Z" localSheetId="5" hidden="1">'[13]Investplaning 2016'!#REF!</definedName>
    <definedName name="BExVY290145J9MRLQQVK5Z2RHA1Z" localSheetId="4" hidden="1">'[13]Investplaning 2016'!#REF!</definedName>
    <definedName name="BExVY290145J9MRLQQVK5Z2RHA1Z" hidden="1">'[13]Investplaning 2016'!#REF!</definedName>
    <definedName name="BExW265GDVFWBN2IX8JYG0XP5T91" localSheetId="5" hidden="1">'[13]Investplaning 2016'!#REF!</definedName>
    <definedName name="BExW265GDVFWBN2IX8JYG0XP5T91" localSheetId="4" hidden="1">'[13]Investplaning 2016'!#REF!</definedName>
    <definedName name="BExW265GDVFWBN2IX8JYG0XP5T91" hidden="1">'[13]Investplaning 2016'!#REF!</definedName>
    <definedName name="BExXSDLFTR6R985A810H652Y3JS1" localSheetId="5" hidden="1">'[13]Investplaning 2016'!#REF!</definedName>
    <definedName name="BExXSDLFTR6R985A810H652Y3JS1" localSheetId="4" hidden="1">'[13]Investplaning 2016'!#REF!</definedName>
    <definedName name="BExXSDLFTR6R985A810H652Y3JS1" hidden="1">'[13]Investplaning 2016'!#REF!</definedName>
    <definedName name="BExY1O21O59ZE3A8LVPN22PITK0Y" localSheetId="5" hidden="1">'[13]Investplaning 2016'!#REF!</definedName>
    <definedName name="BExY1O21O59ZE3A8LVPN22PITK0Y" localSheetId="4" hidden="1">'[13]Investplaning 2016'!#REF!</definedName>
    <definedName name="BExY1O21O59ZE3A8LVPN22PITK0Y" hidden="1">'[13]Investplaning 2016'!#REF!</definedName>
    <definedName name="BExZNG2257M5L7LEI9SIN6G734HJ" localSheetId="5" hidden="1">'[13]Investplaning 2016'!#REF!</definedName>
    <definedName name="BExZNG2257M5L7LEI9SIN6G734HJ" localSheetId="4" hidden="1">'[13]Investplaning 2016'!#REF!</definedName>
    <definedName name="BExZNG2257M5L7LEI9SIN6G734HJ" hidden="1">'[13]Investplaning 2016'!#REF!</definedName>
    <definedName name="BKSUV">[5]ATRUCK!$F$157:$V$157</definedName>
    <definedName name="BLK低減" localSheetId="0">#REF!</definedName>
    <definedName name="BLK低減" localSheetId="5">#REF!</definedName>
    <definedName name="BLK低減" localSheetId="4">#REF!</definedName>
    <definedName name="BLK低減">#REF!</definedName>
    <definedName name="BMW3ALL" localSheetId="0">#REF!</definedName>
    <definedName name="BMW3ALL" localSheetId="5">#REF!</definedName>
    <definedName name="BMW3ALL" localSheetId="4">#REF!</definedName>
    <definedName name="BMW3ALL">#REF!</definedName>
    <definedName name="BMW3HBALL" localSheetId="0">#REF!</definedName>
    <definedName name="BMW3HBALL" localSheetId="5">#REF!</definedName>
    <definedName name="BMW3HBALL" localSheetId="4">#REF!</definedName>
    <definedName name="BMW3HBALL">#REF!</definedName>
    <definedName name="BMW3NO2002" localSheetId="0">#REF!</definedName>
    <definedName name="BMW3NO2002" localSheetId="5">#REF!</definedName>
    <definedName name="BMW3NO2002" localSheetId="4">#REF!</definedName>
    <definedName name="BMW3NO2002">#REF!</definedName>
    <definedName name="BMW5ALL" localSheetId="0">#REF!</definedName>
    <definedName name="BMW5ALL" localSheetId="5">#REF!</definedName>
    <definedName name="BMW5ALL" localSheetId="4">#REF!</definedName>
    <definedName name="BMW5ALL">#REF!</definedName>
    <definedName name="BMW7ALL" localSheetId="0">#REF!</definedName>
    <definedName name="BMW7ALL" localSheetId="5">#REF!</definedName>
    <definedName name="BMW7ALL" localSheetId="4">#REF!</definedName>
    <definedName name="BMW7ALL">#REF!</definedName>
    <definedName name="BMWE63" localSheetId="0">#REF!</definedName>
    <definedName name="BMWE63" localSheetId="5">#REF!</definedName>
    <definedName name="BMWE63" localSheetId="4">#REF!</definedName>
    <definedName name="BMWE63">#REF!</definedName>
    <definedName name="BMWE63ALL" localSheetId="0">#REF!</definedName>
    <definedName name="BMWE63ALL" localSheetId="5">#REF!</definedName>
    <definedName name="BMWE63ALL" localSheetId="4">#REF!</definedName>
    <definedName name="BMWE63ALL">#REF!</definedName>
    <definedName name="BMWEMV">[5]ATRUCK!$F$101:$V$101</definedName>
    <definedName name="BMWTOTAL" localSheetId="0">#REF!</definedName>
    <definedName name="BMWTOTAL" localSheetId="5">#REF!</definedName>
    <definedName name="BMWTOTAL" localSheetId="4">#REF!</definedName>
    <definedName name="BMWTOTAL">#REF!</definedName>
    <definedName name="BMWZ3ALL" localSheetId="0">#REF!</definedName>
    <definedName name="BMWZ3ALL" localSheetId="5">#REF!</definedName>
    <definedName name="BMWZ3ALL" localSheetId="4">#REF!</definedName>
    <definedName name="BMWZ3ALL">#REF!</definedName>
    <definedName name="BMWZ7ALL" localSheetId="0">#REF!</definedName>
    <definedName name="BMWZ7ALL" localSheetId="5">#REF!</definedName>
    <definedName name="BMWZ7ALL" localSheetId="4">#REF!</definedName>
    <definedName name="BMWZ7ALL">#REF!</definedName>
    <definedName name="BUICKCENTALL" localSheetId="0">#REF!</definedName>
    <definedName name="BUICKCENTALL" localSheetId="5">#REF!</definedName>
    <definedName name="BUICKCENTALL" localSheetId="4">#REF!</definedName>
    <definedName name="BUICKCENTALL">#REF!</definedName>
    <definedName name="BUICKCENTSEDANALL" localSheetId="0">#REF!</definedName>
    <definedName name="BUICKCENTSEDANALL" localSheetId="5">#REF!</definedName>
    <definedName name="BUICKCENTSEDANALL" localSheetId="4">#REF!</definedName>
    <definedName name="BUICKCENTSEDANALL">#REF!</definedName>
    <definedName name="BUICKHAWKALL" localSheetId="0">#REF!</definedName>
    <definedName name="BUICKHAWKALL" localSheetId="5">#REF!</definedName>
    <definedName name="BUICKHAWKALL" localSheetId="4">#REF!</definedName>
    <definedName name="BUICKHAWKALL">#REF!</definedName>
    <definedName name="BUICKLESALL" localSheetId="0">#REF!</definedName>
    <definedName name="BUICKLESALL" localSheetId="5">#REF!</definedName>
    <definedName name="BUICKLESALL" localSheetId="4">#REF!</definedName>
    <definedName name="BUICKLESALL">#REF!</definedName>
    <definedName name="BUICKPARKALL" localSheetId="0">#REF!</definedName>
    <definedName name="BUICKPARKALL" localSheetId="5">#REF!</definedName>
    <definedName name="BUICKPARKALL" localSheetId="4">#REF!</definedName>
    <definedName name="BUICKPARKALL">#REF!</definedName>
    <definedName name="BUICKREATTAALL" localSheetId="0">#REF!</definedName>
    <definedName name="BUICKREATTAALL" localSheetId="5">#REF!</definedName>
    <definedName name="BUICKREATTAALL" localSheetId="4">#REF!</definedName>
    <definedName name="BUICKREATTAALL">#REF!</definedName>
    <definedName name="BUICKREGALALL" localSheetId="0">#REF!</definedName>
    <definedName name="BUICKREGALALL" localSheetId="5">#REF!</definedName>
    <definedName name="BUICKREGALALL" localSheetId="4">#REF!</definedName>
    <definedName name="BUICKREGALALL">#REF!</definedName>
    <definedName name="BUICKROADALL" localSheetId="0">#REF!</definedName>
    <definedName name="BUICKROADALL" localSheetId="5">#REF!</definedName>
    <definedName name="BUICKROADALL" localSheetId="4">#REF!</definedName>
    <definedName name="BUICKROADALL">#REF!</definedName>
    <definedName name="BUICKSKYLARKALL" localSheetId="0">#REF!</definedName>
    <definedName name="BUICKSKYLARKALL" localSheetId="5">#REF!</definedName>
    <definedName name="BUICKSKYLARKALL" localSheetId="4">#REF!</definedName>
    <definedName name="BUICKSKYLARKALL">#REF!</definedName>
    <definedName name="BUICKTOTAL" localSheetId="0">#REF!</definedName>
    <definedName name="BUICKTOTAL" localSheetId="5">#REF!</definedName>
    <definedName name="BUICKTOTAL" localSheetId="4">#REF!</definedName>
    <definedName name="BUICKTOTAL">#REF!</definedName>
    <definedName name="Business___Product_Development" localSheetId="0">#REF!</definedName>
    <definedName name="Business___Product_Development" localSheetId="5">#REF!</definedName>
    <definedName name="Business___Product_Development" localSheetId="4">#REF!</definedName>
    <definedName name="Business___Product_Development">#REF!</definedName>
    <definedName name="BV" localSheetId="5">'[14]Additional GMM'!#REF!</definedName>
    <definedName name="BV" localSheetId="4">'[14]Additional GMM'!#REF!</definedName>
    <definedName name="BV">'[14]Additional GMM'!#REF!</definedName>
    <definedName name="CADDILACDEVILLEALL" localSheetId="0">#REF!</definedName>
    <definedName name="CADDILACDEVILLEALL" localSheetId="5">#REF!</definedName>
    <definedName name="CADDILACDEVILLEALL" localSheetId="4">#REF!</definedName>
    <definedName name="CADDILACDEVILLEALL">#REF!</definedName>
    <definedName name="CADELDORADOALL" localSheetId="0">#REF!</definedName>
    <definedName name="CADELDORADOALL" localSheetId="5">#REF!</definedName>
    <definedName name="CADELDORADOALL" localSheetId="4">#REF!</definedName>
    <definedName name="CADELDORADOALL">#REF!</definedName>
    <definedName name="CADESCL">[5]ATRUCK!$F$102:$V$102</definedName>
    <definedName name="CADILLAC_TOTAL" localSheetId="0">#REF!</definedName>
    <definedName name="CADILLAC_TOTAL" localSheetId="5">#REF!</definedName>
    <definedName name="CADILLAC_TOTAL" localSheetId="4">#REF!</definedName>
    <definedName name="CADILLAC_TOTAL">#REF!</definedName>
    <definedName name="CADLAV">[5]ATRUCK!$F$104:$V$104</definedName>
    <definedName name="CADPU">[5]ATRUCK!$F$71:$V$71</definedName>
    <definedName name="CAL04P" localSheetId="0">[5]ATRUCK!#REF!</definedName>
    <definedName name="CAL04P" localSheetId="5">[5]ATRUCK!#REF!</definedName>
    <definedName name="CAL04P" localSheetId="4">[5]ATRUCK!#REF!</definedName>
    <definedName name="CAL04P">[5]ATRUCK!#REF!</definedName>
    <definedName name="Category">'[12]ESM ver2'!$C$5</definedName>
    <definedName name="CC" localSheetId="0">[15]KD化損失!#REF!</definedName>
    <definedName name="CC" localSheetId="5">[15]KD化損失!#REF!</definedName>
    <definedName name="CC" localSheetId="4">[15]KD化損失!#REF!</definedName>
    <definedName name="CC">[15]KD化損失!#REF!</definedName>
    <definedName name="CCVA">[5]ATRUCK!$F$436:$V$436</definedName>
    <definedName name="CCVDO">[5]ATRUCK!$F$434:$V$434</definedName>
    <definedName name="CCVE">[5]ATRUCK!$F$435:$V$435</definedName>
    <definedName name="CHASTROALL" localSheetId="0">#REF!</definedName>
    <definedName name="CHASTROALL" localSheetId="5">#REF!</definedName>
    <definedName name="CHASTROALL" localSheetId="4">#REF!</definedName>
    <definedName name="CHASTROALL">#REF!</definedName>
    <definedName name="CHASTROC">[5]ATRUCK!$F$36:$V$36</definedName>
    <definedName name="CHASTROP">[5]ATRUCK!$F$44:$V$44</definedName>
    <definedName name="CHAVA">[5]ATRUCK!$F$72:$V$72</definedName>
    <definedName name="CHBLAZ4">[5]ATRUCK!$F$124:$V$124</definedName>
    <definedName name="CHBLAZERALL" localSheetId="0">#REF!</definedName>
    <definedName name="CHBLAZERALL" localSheetId="5">#REF!</definedName>
    <definedName name="CHBLAZERALL" localSheetId="4">#REF!</definedName>
    <definedName name="CHBLAZERALL">#REF!</definedName>
    <definedName name="CHBLAZP4">[5]ATRUCK!$F$28:$V$28</definedName>
    <definedName name="CHCAMAROALL" localSheetId="0">#REF!</definedName>
    <definedName name="CHCAMAROALL" localSheetId="5">#REF!</definedName>
    <definedName name="CHCAMAROALL" localSheetId="4">#REF!</definedName>
    <definedName name="CHCAMAROALL">#REF!</definedName>
    <definedName name="CHCAPRICALL" localSheetId="0">#REF!</definedName>
    <definedName name="CHCAPRICALL" localSheetId="5">#REF!</definedName>
    <definedName name="CHCAPRICALL" localSheetId="4">#REF!</definedName>
    <definedName name="CHCAPRICALL">#REF!</definedName>
    <definedName name="CHCAVALIERALL" localSheetId="0">#REF!</definedName>
    <definedName name="CHCAVALIERALL" localSheetId="5">#REF!</definedName>
    <definedName name="CHCAVALIERALL" localSheetId="4">#REF!</definedName>
    <definedName name="CHCAVALIERALL">#REF!</definedName>
    <definedName name="CHCELEBALL" localSheetId="0">#REF!</definedName>
    <definedName name="CHCELEBALL" localSheetId="5">#REF!</definedName>
    <definedName name="CHCELEBALL" localSheetId="4">#REF!</definedName>
    <definedName name="CHCELEBALL">#REF!</definedName>
    <definedName name="CHCHEVETTEALL" localSheetId="0">#REF!</definedName>
    <definedName name="CHCHEVETTEALL" localSheetId="5">#REF!</definedName>
    <definedName name="CHCHEVETTEALL" localSheetId="4">#REF!</definedName>
    <definedName name="CHCHEVETTEALL">#REF!</definedName>
    <definedName name="CHCKR">[5]ATRUCK!$F$83:$V$83</definedName>
    <definedName name="CHCKSERIESALL" localSheetId="0">#REF!</definedName>
    <definedName name="CHCKSERIESALL" localSheetId="5">#REF!</definedName>
    <definedName name="CHCKSERIESALL" localSheetId="4">#REF!</definedName>
    <definedName name="CHCKSERIESALL">#REF!</definedName>
    <definedName name="CHCKX">[5]ATRUCK!$F$77:$V$77</definedName>
    <definedName name="CHCORS_MALIBUALL" localSheetId="0">#REF!</definedName>
    <definedName name="CHCORS_MALIBUALL" localSheetId="5">#REF!</definedName>
    <definedName name="CHCORS_MALIBUALL" localSheetId="4">#REF!</definedName>
    <definedName name="CHCORS_MALIBUALL">#REF!</definedName>
    <definedName name="CHCORSICAALL" localSheetId="0">#REF!</definedName>
    <definedName name="CHCORSICAALL" localSheetId="5">#REF!</definedName>
    <definedName name="CHCORSICAALL" localSheetId="4">#REF!</definedName>
    <definedName name="CHCORSICAALL">#REF!</definedName>
    <definedName name="CHCORVETTEALL" localSheetId="0">#REF!</definedName>
    <definedName name="CHCORVETTEALL" localSheetId="5">#REF!</definedName>
    <definedName name="CHCORVETTEALL" localSheetId="4">#REF!</definedName>
    <definedName name="CHCORVETTEALL">#REF!</definedName>
    <definedName name="CHELCAM">[5]ATRUCK!$F$84:$V$84</definedName>
    <definedName name="CHEVLUMINAALL" localSheetId="0">#REF!</definedName>
    <definedName name="CHEVLUMINAALL" localSheetId="5">#REF!</definedName>
    <definedName name="CHEVLUMINAALL" localSheetId="4">#REF!</definedName>
    <definedName name="CHEVLUMINAALL">#REF!</definedName>
    <definedName name="CHEVNOVPRIZM4" localSheetId="0">#REF!</definedName>
    <definedName name="CHEVNOVPRIZM4" localSheetId="5">#REF!</definedName>
    <definedName name="CHEVNOVPRIZM4" localSheetId="4">#REF!</definedName>
    <definedName name="CHEVNOVPRIZM4">#REF!</definedName>
    <definedName name="CHEVNOVPRIZM5" localSheetId="0">#REF!</definedName>
    <definedName name="CHEVNOVPRIZM5" localSheetId="5">#REF!</definedName>
    <definedName name="CHEVNOVPRIZM5" localSheetId="4">#REF!</definedName>
    <definedName name="CHEVNOVPRIZM5">#REF!</definedName>
    <definedName name="CHEVPRIZMALL" localSheetId="0">#REF!</definedName>
    <definedName name="CHEVPRIZMALL" localSheetId="5">#REF!</definedName>
    <definedName name="CHEVPRIZMALL" localSheetId="4">#REF!</definedName>
    <definedName name="CHEVPRIZMALL">#REF!</definedName>
    <definedName name="Chevrolet_Car" localSheetId="0">#REF!</definedName>
    <definedName name="Chevrolet_Car" localSheetId="5">#REF!</definedName>
    <definedName name="Chevrolet_Car" localSheetId="4">#REF!</definedName>
    <definedName name="Chevrolet_Car">#REF!</definedName>
    <definedName name="Chevrolet_Truck" localSheetId="0">#REF!</definedName>
    <definedName name="Chevrolet_Truck" localSheetId="5">#REF!</definedName>
    <definedName name="Chevrolet_Truck" localSheetId="4">#REF!</definedName>
    <definedName name="Chevrolet_Truck">#REF!</definedName>
    <definedName name="ChevroletCarTotal" localSheetId="0">#REF!</definedName>
    <definedName name="ChevroletCarTotal" localSheetId="5">#REF!</definedName>
    <definedName name="ChevroletCarTotal" localSheetId="4">#REF!</definedName>
    <definedName name="ChevroletCarTotal">#REF!</definedName>
    <definedName name="CHEVROLETTOTAL" localSheetId="0">#REF!</definedName>
    <definedName name="CHEVROLETTOTAL" localSheetId="5">#REF!</definedName>
    <definedName name="CHEVROLETTOTAL" localSheetId="4">#REF!</definedName>
    <definedName name="CHEVROLETTOTAL">#REF!</definedName>
    <definedName name="ChevroletTruckTotal" localSheetId="0">#REF!</definedName>
    <definedName name="ChevroletTruckTotal" localSheetId="5">#REF!</definedName>
    <definedName name="ChevroletTruckTotal" localSheetId="4">#REF!</definedName>
    <definedName name="ChevroletTruckTotal">#REF!</definedName>
    <definedName name="CHEXPC">[5]ATRUCK!$F$91:$V$91</definedName>
    <definedName name="CHEXPP">[5]ATRUCK!$F$95:$V$95</definedName>
    <definedName name="CHEXPRESSALL" localSheetId="0">#REF!</definedName>
    <definedName name="CHEXPRESSALL" localSheetId="5">#REF!</definedName>
    <definedName name="CHEXPRESSALL" localSheetId="4">#REF!</definedName>
    <definedName name="CHEXPRESSALL">#REF!</definedName>
    <definedName name="CHLHS" localSheetId="0">#REF!</definedName>
    <definedName name="CHLHS" localSheetId="5">#REF!</definedName>
    <definedName name="CHLHS" localSheetId="4">#REF!</definedName>
    <definedName name="CHLHS">#REF!</definedName>
    <definedName name="CHLUMINAALL" localSheetId="0">#REF!</definedName>
    <definedName name="CHLUMINAALL" localSheetId="5">#REF!</definedName>
    <definedName name="CHLUMINAALL" localSheetId="4">#REF!</definedName>
    <definedName name="CHLUMINAALL">#REF!</definedName>
    <definedName name="CHLUMINAC">[5]ATRUCK!$F$37:$V$37</definedName>
    <definedName name="CHMETROALL" localSheetId="0">#REF!</definedName>
    <definedName name="CHMETROALL" localSheetId="5">#REF!</definedName>
    <definedName name="CHMETROALL" localSheetId="4">#REF!</definedName>
    <definedName name="CHMETROALL">#REF!</definedName>
    <definedName name="CHRLEBA_SEBALL" localSheetId="0">#REF!</definedName>
    <definedName name="CHRLEBA_SEBALL" localSheetId="5">#REF!</definedName>
    <definedName name="CHRLEBA_SEBALL" localSheetId="4">#REF!</definedName>
    <definedName name="CHRLEBA_SEBALL">#REF!</definedName>
    <definedName name="CHRLEBSEBJXALL" localSheetId="0">#REF!</definedName>
    <definedName name="CHRLEBSEBJXALL" localSheetId="5">#REF!</definedName>
    <definedName name="CHRLEBSEBJXALL" localSheetId="4">#REF!</definedName>
    <definedName name="CHRLEBSEBJXALL">#REF!</definedName>
    <definedName name="CHRNYLHSALL" localSheetId="0">#REF!</definedName>
    <definedName name="CHRNYLHSALL" localSheetId="5">#REF!</definedName>
    <definedName name="CHRNYLHSALL" localSheetId="4">#REF!</definedName>
    <definedName name="CHRNYLHSALL">#REF!</definedName>
    <definedName name="CHRPT">[5]ATRUCK!$F$171:$V$171</definedName>
    <definedName name="CHRSEBJXALL" localSheetId="0">#REF!</definedName>
    <definedName name="CHRSEBJXALL" localSheetId="5">#REF!</definedName>
    <definedName name="CHRSEBJXALL" localSheetId="4">#REF!</definedName>
    <definedName name="CHRSEBJXALL">#REF!</definedName>
    <definedName name="CHRYSEB_JXALL" localSheetId="0">#REF!</definedName>
    <definedName name="CHRYSEB_JXALL" localSheetId="5">#REF!</definedName>
    <definedName name="CHRYSEB_JXALL" localSheetId="4">#REF!</definedName>
    <definedName name="CHRYSEB_JXALL">#REF!</definedName>
    <definedName name="CHRYSEBJXonly" localSheetId="0">#REF!</definedName>
    <definedName name="CHRYSEBJXonly" localSheetId="5">#REF!</definedName>
    <definedName name="CHRYSEBJXonly" localSheetId="4">#REF!</definedName>
    <definedName name="CHRYSEBJXonly">#REF!</definedName>
    <definedName name="CHRYSEBLEBCPS" localSheetId="0">#REF!</definedName>
    <definedName name="CHRYSEBLEBCPS" localSheetId="5">#REF!</definedName>
    <definedName name="CHRYSEBLEBCPS" localSheetId="4">#REF!</definedName>
    <definedName name="CHRYSEBLEBCPS">#REF!</definedName>
    <definedName name="CHRYSEBLEBJXALL" localSheetId="0">#REF!</definedName>
    <definedName name="CHRYSEBLEBJXALL" localSheetId="5">#REF!</definedName>
    <definedName name="CHRYSEBLEBJXALL" localSheetId="4">#REF!</definedName>
    <definedName name="CHRYSEBLEBJXALL">#REF!</definedName>
    <definedName name="CHRYSLEBA_CIRRALL" localSheetId="0">#REF!</definedName>
    <definedName name="CHRYSLEBA_CIRRALL" localSheetId="5">#REF!</definedName>
    <definedName name="CHRYSLEBA_CIRRALL" localSheetId="4">#REF!</definedName>
    <definedName name="CHRYSLEBA_CIRRALL">#REF!</definedName>
    <definedName name="CHRYSLERGRANDTOTAL" localSheetId="0">#REF!</definedName>
    <definedName name="CHRYSLERGRANDTOTAL" localSheetId="5">#REF!</definedName>
    <definedName name="CHRYSLERGRANDTOTAL" localSheetId="4">#REF!</definedName>
    <definedName name="CHRYSLERGRANDTOTAL">#REF!</definedName>
    <definedName name="CHRYSLERTOTAL" localSheetId="0">#REF!</definedName>
    <definedName name="CHRYSLERTOTAL" localSheetId="5">#REF!</definedName>
    <definedName name="CHRYSLERTOTAL" localSheetId="4">#REF!</definedName>
    <definedName name="CHRYSLERTOTAL">#REF!</definedName>
    <definedName name="CHS10PUALL" localSheetId="0">#REF!</definedName>
    <definedName name="CHS10PUALL" localSheetId="5">#REF!</definedName>
    <definedName name="CHS10PUALL" localSheetId="4">#REF!</definedName>
    <definedName name="CHS10PUALL">#REF!</definedName>
    <definedName name="CHS10R">[5]ATRUCK!$F$16:$V$16</definedName>
    <definedName name="CHS10X">[5]ATRUCK!$F$5:$V$5</definedName>
    <definedName name="CHSUBURB">[5]ATRUCK!$F$196:$V$196</definedName>
    <definedName name="CHTAHOE">[5]ATRUCK!$F$192:$V$192</definedName>
    <definedName name="CHTAHOE4">[5]ATRUCK!$F$197:$V$197</definedName>
    <definedName name="CHTAHOEALL" localSheetId="0">#REF!</definedName>
    <definedName name="CHTAHOEALL" localSheetId="5">#REF!</definedName>
    <definedName name="CHTAHOEALL" localSheetId="4">#REF!</definedName>
    <definedName name="CHTAHOEALL">#REF!</definedName>
    <definedName name="CHTRACK">[5]ATRUCK!$F$181:$V$181</definedName>
    <definedName name="CHTRACK4">[5]ATRUCK!$F$187:$V$187</definedName>
    <definedName name="CHTRACKALL" localSheetId="0">#REF!</definedName>
    <definedName name="CHTRACKALL" localSheetId="5">#REF!</definedName>
    <definedName name="CHTRACKALL" localSheetId="4">#REF!</definedName>
    <definedName name="CHTRACKALL">#REF!</definedName>
    <definedName name="CHVENTP">[5]ATRUCK!$F$45:$V$45</definedName>
    <definedName name="CHVMONTEALL" localSheetId="0">#REF!</definedName>
    <definedName name="CHVMONTEALL" localSheetId="5">#REF!</definedName>
    <definedName name="CHVMONTEALL" localSheetId="4">#REF!</definedName>
    <definedName name="CHVMONTEALL">#REF!</definedName>
    <definedName name="CHVNOVAALL" localSheetId="0">#REF!</definedName>
    <definedName name="CHVNOVAALL" localSheetId="5">#REF!</definedName>
    <definedName name="CHVNOVAALL" localSheetId="4">#REF!</definedName>
    <definedName name="CHVNOVAALL">#REF!</definedName>
    <definedName name="CHVSPECTRUMALL" localSheetId="0">#REF!</definedName>
    <definedName name="CHVSPECTRUMALL" localSheetId="5">#REF!</definedName>
    <definedName name="CHVSPECTRUMALL" localSheetId="4">#REF!</definedName>
    <definedName name="CHVSPECTRUMALL">#REF!</definedName>
    <definedName name="CHVSPRINTALL" localSheetId="0">#REF!</definedName>
    <definedName name="CHVSPRINTALL" localSheetId="5">#REF!</definedName>
    <definedName name="CHVSPRINTALL" localSheetId="4">#REF!</definedName>
    <definedName name="CHVSPRINTALL">#REF!</definedName>
    <definedName name="CHVSTORMALL" localSheetId="0">#REF!</definedName>
    <definedName name="CHVSTORMALL" localSheetId="5">#REF!</definedName>
    <definedName name="CHVSTORMALL" localSheetId="4">#REF!</definedName>
    <definedName name="CHVSTORMALL">#REF!</definedName>
    <definedName name="City" localSheetId="5">#REF!</definedName>
    <definedName name="City" localSheetId="4">#REF!</definedName>
    <definedName name="City">#REF!</definedName>
    <definedName name="Cluster">[16]Zuordnung!$A$1:$D$998</definedName>
    <definedName name="Code" localSheetId="5" hidden="1">#REF!</definedName>
    <definedName name="Code" localSheetId="4" hidden="1">#REF!</definedName>
    <definedName name="Code" hidden="1">#REF!</definedName>
    <definedName name="Company" localSheetId="5">#REF!</definedName>
    <definedName name="Company" localSheetId="4">#REF!</definedName>
    <definedName name="Company">#REF!</definedName>
    <definedName name="Country" localSheetId="5">#REF!</definedName>
    <definedName name="Country" localSheetId="4">#REF!</definedName>
    <definedName name="Country">#REF!</definedName>
    <definedName name="CPU4DR" localSheetId="0">[5]ATRUCK!#REF!</definedName>
    <definedName name="CPU4DR" localSheetId="5">[5]ATRUCK!#REF!</definedName>
    <definedName name="CPU4DR" localSheetId="4">[5]ATRUCK!#REF!</definedName>
    <definedName name="CPU4DR">[5]ATRUCK!#REF!</definedName>
    <definedName name="CPUA">[5]ATRUCK!$F$359:$V$359</definedName>
    <definedName name="CPUDO">[5]ATRUCK!$F$357:$V$357</definedName>
    <definedName name="CPUE">[5]ATRUCK!$F$358:$V$358</definedName>
    <definedName name="CPUEC" localSheetId="0">[5]ATRUCK!#REF!</definedName>
    <definedName name="CPUEC" localSheetId="5">[5]ATRUCK!#REF!</definedName>
    <definedName name="CPUEC" localSheetId="4">[5]ATRUCK!#REF!</definedName>
    <definedName name="CPUEC">[5]ATRUCK!#REF!</definedName>
    <definedName name="CPURC" localSheetId="0">[5]ATRUCK!#REF!</definedName>
    <definedName name="CPURC" localSheetId="5">[5]ATRUCK!#REF!</definedName>
    <definedName name="CPURC" localSheetId="4">[5]ATRUCK!#REF!</definedName>
    <definedName name="CPURC">[5]ATRUCK!#REF!</definedName>
    <definedName name="CPUTOTAL" localSheetId="0">[5]ATRUCK!#REF!</definedName>
    <definedName name="CPUTOTAL" localSheetId="5">[5]ATRUCK!#REF!</definedName>
    <definedName name="CPUTOTAL" localSheetId="4">[5]ATRUCK!#REF!</definedName>
    <definedName name="CPUTOTAL">[5]ATRUCK!#REF!</definedName>
    <definedName name="CPVA">[5]ATRUCK!$F$443:$V$443</definedName>
    <definedName name="CPVDO">[5]ATRUCK!$F$441:$V$441</definedName>
    <definedName name="CPVE">[5]ATRUCK!$F$442:$V$442</definedName>
    <definedName name="CRYTC">[5]ATRUCK!$F$46:$V$46</definedName>
    <definedName name="CRYVOY">[5]ATRUCK!$F$47:$V$47</definedName>
    <definedName name="CV" localSheetId="0">[5]ATRUCK!#REF!</definedName>
    <definedName name="CV" localSheetId="5">[5]ATRUCK!#REF!</definedName>
    <definedName name="CV" localSheetId="4">[5]ATRUCK!#REF!</definedName>
    <definedName name="CV">[5]ATRUCK!#REF!</definedName>
    <definedName name="CVBLAZ">[5]ATRUCK!$F$117:$V$117</definedName>
    <definedName name="CVFSPUALL" localSheetId="0">#REF!</definedName>
    <definedName name="CVFSPUALL" localSheetId="5">#REF!</definedName>
    <definedName name="CVFSPUALL" localSheetId="4">#REF!</definedName>
    <definedName name="CVFSPUALL">#REF!</definedName>
    <definedName name="CVNOVPRIZALL" localSheetId="0">#REF!</definedName>
    <definedName name="CVNOVPRIZALL" localSheetId="5">#REF!</definedName>
    <definedName name="CVNOVPRIZALL" localSheetId="4">#REF!</definedName>
    <definedName name="CVNOVPRIZALL">#REF!</definedName>
    <definedName name="CVTOTAL" localSheetId="0">[5]ATRUCK!#REF!</definedName>
    <definedName name="CVTOTAL" localSheetId="5">[5]ATRUCK!#REF!</definedName>
    <definedName name="CVTOTAL" localSheetId="4">[5]ATRUCK!#REF!</definedName>
    <definedName name="CVTOTAL">[5]ATRUCK!#REF!</definedName>
    <definedName name="DAEKORAN">[5]ATRUCK!$F$165:$V$165</definedName>
    <definedName name="DAELANOSALL" localSheetId="0">#REF!</definedName>
    <definedName name="DAELANOSALL" localSheetId="5">#REF!</definedName>
    <definedName name="DAELANOSALL" localSheetId="4">#REF!</definedName>
    <definedName name="DAELANOSALL">#REF!</definedName>
    <definedName name="DAEWOOTOTAL" localSheetId="0">#REF!</definedName>
    <definedName name="DAEWOOTOTAL" localSheetId="5">#REF!</definedName>
    <definedName name="DAEWOOTOTAL" localSheetId="4">#REF!</definedName>
    <definedName name="DAEWOOTOTAL">#REF!</definedName>
    <definedName name="DAICHARADEALL" localSheetId="0">#REF!</definedName>
    <definedName name="DAICHARADEALL" localSheetId="5">#REF!</definedName>
    <definedName name="DAICHARADEALL" localSheetId="4">#REF!</definedName>
    <definedName name="DAICHARADEALL">#REF!</definedName>
    <definedName name="DAIHATSUTOTAL" localSheetId="0">#REF!</definedName>
    <definedName name="DAIHATSUTOTAL" localSheetId="5">#REF!</definedName>
    <definedName name="DAIHATSUTOTAL" localSheetId="4">#REF!</definedName>
    <definedName name="DAIHATSUTOTAL">#REF!</definedName>
    <definedName name="DAIROCKY">[5]ATRUCK!$F$182:$V$182</definedName>
    <definedName name="Data_Area" localSheetId="0">#REF!</definedName>
    <definedName name="Data_Area" localSheetId="5">#REF!</definedName>
    <definedName name="Data_Area" localSheetId="4">#REF!</definedName>
    <definedName name="Data_Area">#REF!</definedName>
    <definedName name="DATA1" localSheetId="5">[17]Saving_Fund!#REF!</definedName>
    <definedName name="DATA1" localSheetId="4">[17]Saving_Fund!#REF!</definedName>
    <definedName name="DATA1">[17]Saving_Fund!#REF!</definedName>
    <definedName name="DATA10" localSheetId="5">#REF!</definedName>
    <definedName name="DATA10" localSheetId="4">#REF!</definedName>
    <definedName name="DATA10">#REF!</definedName>
    <definedName name="DATA11" localSheetId="5">#REF!</definedName>
    <definedName name="DATA11" localSheetId="4">#REF!</definedName>
    <definedName name="DATA11">#REF!</definedName>
    <definedName name="DATA12" localSheetId="5">#REF!</definedName>
    <definedName name="DATA12" localSheetId="4">#REF!</definedName>
    <definedName name="DATA12">#REF!</definedName>
    <definedName name="DATA13" localSheetId="5">[17]Saving_Fund!#REF!</definedName>
    <definedName name="DATA13" localSheetId="4">[17]Saving_Fund!#REF!</definedName>
    <definedName name="DATA13">[17]Saving_Fund!#REF!</definedName>
    <definedName name="DATA2" localSheetId="5">[17]Saving_Fund!#REF!</definedName>
    <definedName name="DATA2" localSheetId="4">[17]Saving_Fund!#REF!</definedName>
    <definedName name="DATA2">[17]Saving_Fund!#REF!</definedName>
    <definedName name="DATA3" localSheetId="5">[17]Saving_Fund!#REF!</definedName>
    <definedName name="DATA3" localSheetId="4">[17]Saving_Fund!#REF!</definedName>
    <definedName name="DATA3">[17]Saving_Fund!#REF!</definedName>
    <definedName name="DATA4" localSheetId="5">#REF!</definedName>
    <definedName name="DATA4" localSheetId="4">#REF!</definedName>
    <definedName name="DATA4">#REF!</definedName>
    <definedName name="DATA5" localSheetId="5">[17]Saving_Fund!#REF!</definedName>
    <definedName name="DATA5" localSheetId="4">[17]Saving_Fund!#REF!</definedName>
    <definedName name="DATA5">[17]Saving_Fund!#REF!</definedName>
    <definedName name="DATA6" localSheetId="5">#REF!</definedName>
    <definedName name="DATA6" localSheetId="4">#REF!</definedName>
    <definedName name="DATA6">#REF!</definedName>
    <definedName name="DATA7" localSheetId="5">#REF!</definedName>
    <definedName name="DATA7" localSheetId="4">#REF!</definedName>
    <definedName name="DATA7">#REF!</definedName>
    <definedName name="DATA8" localSheetId="5">#REF!</definedName>
    <definedName name="DATA8" localSheetId="4">#REF!</definedName>
    <definedName name="DATA8">#REF!</definedName>
    <definedName name="DATA9" localSheetId="5">#REF!</definedName>
    <definedName name="DATA9" localSheetId="4">#REF!</definedName>
    <definedName name="DATA9">#REF!</definedName>
    <definedName name="_xlnm.Database" localSheetId="0">#REF!</definedName>
    <definedName name="_xlnm.Database" localSheetId="5">#REF!</definedName>
    <definedName name="_xlnm.Database" localSheetId="4">#REF!</definedName>
    <definedName name="_xlnm.Database">#REF!</definedName>
    <definedName name="DBUICKTOTAL" localSheetId="0">#REF!</definedName>
    <definedName name="DBUICKTOTAL" localSheetId="5">#REF!</definedName>
    <definedName name="DBUICKTOTAL" localSheetId="4">#REF!</definedName>
    <definedName name="DBUICKTOTAL">#REF!</definedName>
    <definedName name="DCADILLACTOTAL" localSheetId="0">#REF!</definedName>
    <definedName name="DCADILLACTOTAL" localSheetId="5">#REF!</definedName>
    <definedName name="DCADILLACTOTAL" localSheetId="4">#REF!</definedName>
    <definedName name="DCADILLACTOTAL">#REF!</definedName>
    <definedName name="DChevroletCarTotal" localSheetId="0">#REF!</definedName>
    <definedName name="DChevroletCarTotal" localSheetId="5">#REF!</definedName>
    <definedName name="DChevroletCarTotal" localSheetId="4">#REF!</definedName>
    <definedName name="DChevroletCarTotal">#REF!</definedName>
    <definedName name="DCHEVROLETTOTAL" localSheetId="0">#REF!</definedName>
    <definedName name="DCHEVROLETTOTAL" localSheetId="5">#REF!</definedName>
    <definedName name="DCHEVROLETTOTAL" localSheetId="4">#REF!</definedName>
    <definedName name="DCHEVROLETTOTAL">#REF!</definedName>
    <definedName name="DChevroletTruckTotal" localSheetId="0">#REF!</definedName>
    <definedName name="DChevroletTruckTotal" localSheetId="5">#REF!</definedName>
    <definedName name="DChevroletTruckTotal" localSheetId="4">#REF!</definedName>
    <definedName name="DChevroletTruckTotal">#REF!</definedName>
    <definedName name="DCHRYSLERGRANDTOTAL" localSheetId="0">#REF!</definedName>
    <definedName name="DCHRYSLERGRANDTOTAL" localSheetId="5">#REF!</definedName>
    <definedName name="DCHRYSLERGRANDTOTAL" localSheetId="4">#REF!</definedName>
    <definedName name="DCHRYSLERGRANDTOTAL">#REF!</definedName>
    <definedName name="DCHRYSLERTOTAL" localSheetId="0">#REF!</definedName>
    <definedName name="DCHRYSLERTOTAL" localSheetId="5">#REF!</definedName>
    <definedName name="DCHRYSLERTOTAL" localSheetId="4">#REF!</definedName>
    <definedName name="DCHRYSLERTOTAL">#REF!</definedName>
    <definedName name="dd">[18]Assumptions!$F$1143:$M$1143,[18]Assumptions!$E$1144:$E$1161,[18]Assumptions!$F$1168:$M$1168,[18]Assumptions!$E$1169:$E$1210,[18]Assumptions!$F$1216:$N$1216,[18]Assumptions!$E$1217:$E$1258</definedName>
    <definedName name="DDodgeCarTotal" localSheetId="0">#REF!</definedName>
    <definedName name="DDodgeCarTotal" localSheetId="5">#REF!</definedName>
    <definedName name="DDodgeCarTotal" localSheetId="4">#REF!</definedName>
    <definedName name="DDodgeCarTotal">#REF!</definedName>
    <definedName name="DDODGETOTAL" localSheetId="0">#REF!</definedName>
    <definedName name="DDODGETOTAL" localSheetId="5">#REF!</definedName>
    <definedName name="DDODGETOTAL" localSheetId="4">#REF!</definedName>
    <definedName name="DDODGETOTAL">#REF!</definedName>
    <definedName name="DDodgeTruckTotal" localSheetId="0">#REF!</definedName>
    <definedName name="DDodgeTruckTotal" localSheetId="5">#REF!</definedName>
    <definedName name="DDodgeTruckTotal" localSheetId="4">#REF!</definedName>
    <definedName name="DDodgeTruckTotal">#REF!</definedName>
    <definedName name="DEAGLETOTAL" localSheetId="0">#REF!</definedName>
    <definedName name="DEAGLETOTAL" localSheetId="5">#REF!</definedName>
    <definedName name="DEAGLETOTAL" localSheetId="4">#REF!</definedName>
    <definedName name="DEAGLETOTAL">#REF!</definedName>
    <definedName name="DEL_MMPT" localSheetId="0">#REF!</definedName>
    <definedName name="DEL_MMPT" localSheetId="5">#REF!</definedName>
    <definedName name="DEL_MMPT" localSheetId="4">#REF!</definedName>
    <definedName name="DEL_MMPT">#REF!</definedName>
    <definedName name="del_ren_sales" localSheetId="0">#REF!</definedName>
    <definedName name="del_ren_sales" localSheetId="5">#REF!</definedName>
    <definedName name="del_ren_sales" localSheetId="4">#REF!</definedName>
    <definedName name="del_ren_sales">#REF!</definedName>
    <definedName name="DFordCarTotal" localSheetId="0">#REF!</definedName>
    <definedName name="DFordCarTotal" localSheetId="5">#REF!</definedName>
    <definedName name="DFordCarTotal" localSheetId="4">#REF!</definedName>
    <definedName name="DFordCarTotal">#REF!</definedName>
    <definedName name="DFORDGRANDTOTAL" localSheetId="0">#REF!</definedName>
    <definedName name="DFORDGRANDTOTAL" localSheetId="5">#REF!</definedName>
    <definedName name="DFORDGRANDTOTAL" localSheetId="4">#REF!</definedName>
    <definedName name="DFORDGRANDTOTAL">#REF!</definedName>
    <definedName name="DFORDTOTAL" localSheetId="0">#REF!</definedName>
    <definedName name="DFORDTOTAL" localSheetId="5">#REF!</definedName>
    <definedName name="DFORDTOTAL" localSheetId="4">#REF!</definedName>
    <definedName name="DFORDTOTAL">#REF!</definedName>
    <definedName name="DFordTruckTotal" localSheetId="0">#REF!</definedName>
    <definedName name="DFordTruckTotal" localSheetId="5">#REF!</definedName>
    <definedName name="DFordTruckTotal" localSheetId="4">#REF!</definedName>
    <definedName name="DFordTruckTotal">#REF!</definedName>
    <definedName name="DG50ALL" localSheetId="0">#REF!</definedName>
    <definedName name="DG50ALL" localSheetId="5">#REF!</definedName>
    <definedName name="DG50ALL" localSheetId="4">#REF!</definedName>
    <definedName name="DG50ALL">#REF!</definedName>
    <definedName name="DG50R">[5]ATRUCK!$F$19:$V$19</definedName>
    <definedName name="DG50X">[5]ATRUCK!$F$7:$V$7</definedName>
    <definedName name="DGCARAVALL" localSheetId="0">#REF!</definedName>
    <definedName name="DGCARAVALL" localSheetId="5">#REF!</definedName>
    <definedName name="DGCARAVALL" localSheetId="4">#REF!</definedName>
    <definedName name="DGCARAVALL">#REF!</definedName>
    <definedName name="DGCARAVANC">[5]ATRUCK!$F$38:$V$38</definedName>
    <definedName name="DGCARAVANP">[5]ATRUCK!$F$49:$V$49</definedName>
    <definedName name="DGDAKOTA4NU">[5]ATRUCK!$F$29:$V$29</definedName>
    <definedName name="DGDAKOTAALL" localSheetId="0">#REF!</definedName>
    <definedName name="DGDAKOTAALL" localSheetId="5">#REF!</definedName>
    <definedName name="DGDAKOTAALL" localSheetId="4">#REF!</definedName>
    <definedName name="DGDAKOTAALL">#REF!</definedName>
    <definedName name="DGDAKOTANUALL" localSheetId="0">#REF!</definedName>
    <definedName name="DGDAKOTANUALL" localSheetId="5">#REF!</definedName>
    <definedName name="DGDAKOTANUALL" localSheetId="4">#REF!</definedName>
    <definedName name="DGDAKOTANUALL">#REF!</definedName>
    <definedName name="DGDAKOTAR">[5]ATRUCK!$F$151:$V$151</definedName>
    <definedName name="DGDAKOTARNU">[5]ATRUCK!$F$17:$V$17</definedName>
    <definedName name="DGDAKOTARPLUSNU" localSheetId="0">#REF!</definedName>
    <definedName name="DGDAKOTARPLUSNU" localSheetId="5">#REF!</definedName>
    <definedName name="DGDAKOTARPLUSNU" localSheetId="4">#REF!</definedName>
    <definedName name="DGDAKOTARPLUSNU">#REF!</definedName>
    <definedName name="DGDAKOTAX">[5]ATRUCK!$F$82:$V$82</definedName>
    <definedName name="DGDAKOTAXNU">[5]ATRUCK!$F$6:$V$6</definedName>
    <definedName name="DGDAKOTAXPLUSNU" localSheetId="0">#REF!</definedName>
    <definedName name="DGDAKOTAXPLUSNU" localSheetId="5">#REF!</definedName>
    <definedName name="DGDAKOTAXPLUSNU" localSheetId="4">#REF!</definedName>
    <definedName name="DGDAKOTAXPLUSNU">#REF!</definedName>
    <definedName name="DGDURANGO">[5]ATRUCK!$F$125:$V$125</definedName>
    <definedName name="DGMCTOTAL" localSheetId="0">#REF!</definedName>
    <definedName name="DGMCTOTAL" localSheetId="5">#REF!</definedName>
    <definedName name="DGMCTOTAL" localSheetId="4">#REF!</definedName>
    <definedName name="DGMCTOTAL">#REF!</definedName>
    <definedName name="DGMTOTAL" localSheetId="0">#REF!</definedName>
    <definedName name="DGMTOTAL" localSheetId="5">#REF!</definedName>
    <definedName name="DGMTOTAL" localSheetId="4">#REF!</definedName>
    <definedName name="DGMTOTAL">#REF!</definedName>
    <definedName name="DGRAID">[5]ATRUCK!$F$135:$V$135</definedName>
    <definedName name="DGRAMALL" localSheetId="0">#REF!</definedName>
    <definedName name="DGRAMALL" localSheetId="5">#REF!</definedName>
    <definedName name="DGRAMALL" localSheetId="4">#REF!</definedName>
    <definedName name="DGRAMALL">#REF!</definedName>
    <definedName name="DGRAMC">[5]ATRUCK!$F$92:$V$92</definedName>
    <definedName name="DGRAMCHARG">[5]ATRUCK!$F$193:$V$193</definedName>
    <definedName name="DGRAMP">[5]ATRUCK!$F$96:$V$96</definedName>
    <definedName name="DGRAMR">[5]ATRUCK!$F$85:$V$85</definedName>
    <definedName name="DGRAMVAN" localSheetId="0">#REF!</definedName>
    <definedName name="DGRAMVAN" localSheetId="5">#REF!</definedName>
    <definedName name="DGRAMVAN" localSheetId="4">#REF!</definedName>
    <definedName name="DGRAMVAN">#REF!</definedName>
    <definedName name="DGRAMX">[5]ATRUCK!$F$78:$V$78</definedName>
    <definedName name="DIRECT_WORKR">[19]STAFF!$C$2:$C$67</definedName>
    <definedName name="Discount" localSheetId="5" hidden="1">#REF!</definedName>
    <definedName name="Discount" localSheetId="4" hidden="1">#REF!</definedName>
    <definedName name="Discount" hidden="1">#REF!</definedName>
    <definedName name="display_area_2" localSheetId="5" hidden="1">#REF!</definedName>
    <definedName name="display_area_2" localSheetId="4" hidden="1">#REF!</definedName>
    <definedName name="display_area_2" hidden="1">#REF!</definedName>
    <definedName name="DJEEPTOTAL" localSheetId="0">#REF!</definedName>
    <definedName name="DJEEPTOTAL" localSheetId="5">#REF!</definedName>
    <definedName name="DJEEPTOTAL" localSheetId="4">#REF!</definedName>
    <definedName name="DJEEPTOTAL">#REF!</definedName>
    <definedName name="DLINCOLNTOTAL" localSheetId="0">#REF!</definedName>
    <definedName name="DLINCOLNTOTAL" localSheetId="5">#REF!</definedName>
    <definedName name="DLINCOLNTOTAL" localSheetId="4">#REF!</definedName>
    <definedName name="DLINCOLNTOTAL">#REF!</definedName>
    <definedName name="DMERCURYTOTAL" localSheetId="0">#REF!</definedName>
    <definedName name="DMERCURYTOTAL" localSheetId="5">#REF!</definedName>
    <definedName name="DMERCURYTOTAL" localSheetId="4">#REF!</definedName>
    <definedName name="DMERCURYTOTAL">#REF!</definedName>
    <definedName name="DMERKURTOTAL" localSheetId="0">#REF!</definedName>
    <definedName name="DMERKURTOTAL" localSheetId="5">#REF!</definedName>
    <definedName name="DMERKURTOTAL" localSheetId="4">#REF!</definedName>
    <definedName name="DMERKURTOTAL">#REF!</definedName>
    <definedName name="DODCOLTALL" localSheetId="0">#REF!</definedName>
    <definedName name="DODCOLTALL" localSheetId="5">#REF!</definedName>
    <definedName name="DODCOLTALL" localSheetId="4">#REF!</definedName>
    <definedName name="DODCOLTALL">#REF!</definedName>
    <definedName name="Dodge____Car" localSheetId="0">#REF!</definedName>
    <definedName name="Dodge____Car" localSheetId="5">#REF!</definedName>
    <definedName name="Dodge____Car" localSheetId="4">#REF!</definedName>
    <definedName name="Dodge____Car">#REF!</definedName>
    <definedName name="Dodge_Truck" localSheetId="0">#REF!</definedName>
    <definedName name="Dodge_Truck" localSheetId="5">#REF!</definedName>
    <definedName name="Dodge_Truck" localSheetId="4">#REF!</definedName>
    <definedName name="Dodge_Truck">#REF!</definedName>
    <definedName name="DodgeCarTotal" localSheetId="0">#REF!</definedName>
    <definedName name="DodgeCarTotal" localSheetId="5">#REF!</definedName>
    <definedName name="DodgeCarTotal" localSheetId="4">#REF!</definedName>
    <definedName name="DodgeCarTotal">#REF!</definedName>
    <definedName name="DODGETOTAL" localSheetId="0">#REF!</definedName>
    <definedName name="DODGETOTAL" localSheetId="5">#REF!</definedName>
    <definedName name="DODGETOTAL" localSheetId="4">#REF!</definedName>
    <definedName name="DODGETOTAL">#REF!</definedName>
    <definedName name="DodgeTruckTotal" localSheetId="0">#REF!</definedName>
    <definedName name="DodgeTruckTotal" localSheetId="5">#REF!</definedName>
    <definedName name="DodgeTruckTotal" localSheetId="4">#REF!</definedName>
    <definedName name="DodgeTruckTotal">#REF!</definedName>
    <definedName name="DODINTRALL" localSheetId="0">#REF!</definedName>
    <definedName name="DODINTRALL" localSheetId="5">#REF!</definedName>
    <definedName name="DODINTRALL" localSheetId="4">#REF!</definedName>
    <definedName name="DODINTRALL">#REF!</definedName>
    <definedName name="DODNEON_SHADALL" localSheetId="0">#REF!</definedName>
    <definedName name="DODNEON_SHADALL" localSheetId="5">#REF!</definedName>
    <definedName name="DODNEON_SHADALL" localSheetId="4">#REF!</definedName>
    <definedName name="DODNEON_SHADALL">#REF!</definedName>
    <definedName name="DODSPIRIT_STRATALL" localSheetId="0">#REF!</definedName>
    <definedName name="DODSPIRIT_STRATALL" localSheetId="5">#REF!</definedName>
    <definedName name="DODSPIRIT_STRATALL" localSheetId="4">#REF!</definedName>
    <definedName name="DODSPIRIT_STRATALL">#REF!</definedName>
    <definedName name="DODVIPERALL" localSheetId="0">#REF!</definedName>
    <definedName name="DODVIPERALL" localSheetId="5">#REF!</definedName>
    <definedName name="DODVIPERALL" localSheetId="4">#REF!</definedName>
    <definedName name="DODVIPERALL">#REF!</definedName>
    <definedName name="DOGSEQ" localSheetId="0">[5]ATRUCK!#REF!</definedName>
    <definedName name="DOGSEQ" localSheetId="5">[5]ATRUCK!#REF!</definedName>
    <definedName name="DOGSEQ" localSheetId="4">[5]ATRUCK!#REF!</definedName>
    <definedName name="DOGSEQ">[5]ATRUCK!#REF!</definedName>
    <definedName name="DOGSPIRIT_STRAT4" localSheetId="0">#REF!</definedName>
    <definedName name="DOGSPIRIT_STRAT4" localSheetId="5">#REF!</definedName>
    <definedName name="DOGSPIRIT_STRAT4" localSheetId="4">#REF!</definedName>
    <definedName name="DOGSPIRIT_STRAT4">#REF!</definedName>
    <definedName name="DOLDSMOBILETOTAL" localSheetId="0">#REF!</definedName>
    <definedName name="DOLDSMOBILETOTAL" localSheetId="5">#REF!</definedName>
    <definedName name="DOLDSMOBILETOTAL" localSheetId="4">#REF!</definedName>
    <definedName name="DOLDSMOBILETOTAL">#REF!</definedName>
    <definedName name="DOMESTIC_TOTAL" localSheetId="0">#REF!</definedName>
    <definedName name="DOMESTIC_TOTAL" localSheetId="5">#REF!</definedName>
    <definedName name="DOMESTIC_TOTAL" localSheetId="4">#REF!</definedName>
    <definedName name="DOMESTIC_TOTAL">#REF!</definedName>
    <definedName name="DOMESTOT" localSheetId="0">#REF!</definedName>
    <definedName name="DOMESTOT" localSheetId="5">#REF!</definedName>
    <definedName name="DOMESTOT" localSheetId="4">#REF!</definedName>
    <definedName name="DOMESTOT">#REF!</definedName>
    <definedName name="DOMESTOTE" localSheetId="0">#REF!</definedName>
    <definedName name="DOMESTOTE" localSheetId="5">#REF!</definedName>
    <definedName name="DOMESTOTE" localSheetId="4">#REF!</definedName>
    <definedName name="DOMESTOTE">#REF!</definedName>
    <definedName name="DPLYMOUTHTOTAL" localSheetId="0">#REF!</definedName>
    <definedName name="DPLYMOUTHTOTAL" localSheetId="5">#REF!</definedName>
    <definedName name="DPLYMOUTHTOTAL" localSheetId="4">#REF!</definedName>
    <definedName name="DPLYMOUTHTOTAL">#REF!</definedName>
    <definedName name="DPONTIACTOTAL" localSheetId="0">#REF!</definedName>
    <definedName name="DPONTIACTOTAL" localSheetId="5">#REF!</definedName>
    <definedName name="DPONTIACTOTAL" localSheetId="4">#REF!</definedName>
    <definedName name="DPONTIACTOTAL">#REF!</definedName>
    <definedName name="DSATURNTOTAL" localSheetId="0">#REF!</definedName>
    <definedName name="DSATURNTOTAL" localSheetId="5">#REF!</definedName>
    <definedName name="DSATURNTOTAL" localSheetId="4">#REF!</definedName>
    <definedName name="DSATURNTOTAL">#REF!</definedName>
    <definedName name="dummy" localSheetId="0">#REF!</definedName>
    <definedName name="dummy" localSheetId="5">#REF!</definedName>
    <definedName name="dummy" localSheetId="4">#REF!</definedName>
    <definedName name="dummy">#REF!</definedName>
    <definedName name="DW100P">[5]ATRUCK!$F$48:$V$48</definedName>
    <definedName name="DWLANOSALL" localSheetId="0">#REF!</definedName>
    <definedName name="DWLANOSALL" localSheetId="5">#REF!</definedName>
    <definedName name="DWLANOSALL" localSheetId="4">#REF!</definedName>
    <definedName name="DWLANOSALL">#REF!</definedName>
    <definedName name="DWNUBALL" localSheetId="0">#REF!</definedName>
    <definedName name="DWNUBALL" localSheetId="5">#REF!</definedName>
    <definedName name="DWNUBALL" localSheetId="4">#REF!</definedName>
    <definedName name="DWNUBALL">#REF!</definedName>
    <definedName name="EAGLETOTAL" localSheetId="0">#REF!</definedName>
    <definedName name="EAGLETOTAL" localSheetId="5">#REF!</definedName>
    <definedName name="EAGLETOTAL" localSheetId="4">#REF!</definedName>
    <definedName name="EAGLETOTAL">#REF!</definedName>
    <definedName name="Ebene1">OFFSET('[20]MBC SP14 Planning'!$P$1,,,COUNTIF('[20]MBC SP14 Planning'!$P:$P,"&gt;"""))</definedName>
    <definedName name="Ebene2">OFFSET('[20]MBC SP14 Planning'!$Q$1,,,COUNTIF('[20]MBC SP14 Planning'!$Q:$Q,"&gt;"""))</definedName>
    <definedName name="Ebene3">OFFSET('[20]MBC SP14 Planning'!$R$1,,,COUNTIF('[20]MBC SP14 Planning'!$R:$R,"&gt;"""))</definedName>
    <definedName name="ECO2CP" localSheetId="0">[4]ACARS!#REF!</definedName>
    <definedName name="ECO2CP" localSheetId="5">[4]ACARS!#REF!</definedName>
    <definedName name="ECO2CP" localSheetId="4">[4]ACARS!#REF!</definedName>
    <definedName name="ECO2CP">[4]ACARS!#REF!</definedName>
    <definedName name="ECO3CP" localSheetId="0">[4]ACARS!#REF!</definedName>
    <definedName name="ECO3CP" localSheetId="5">[4]ACARS!#REF!</definedName>
    <definedName name="ECO3CP" localSheetId="4">[4]ACARS!#REF!</definedName>
    <definedName name="ECO3CP">[4]ACARS!#REF!</definedName>
    <definedName name="ECO3HB" localSheetId="0">[4]ACARS!#REF!</definedName>
    <definedName name="ECO3HB" localSheetId="5">[4]ACARS!#REF!</definedName>
    <definedName name="ECO3HB" localSheetId="4">[4]ACARS!#REF!</definedName>
    <definedName name="ECO3HB">[4]ACARS!#REF!</definedName>
    <definedName name="ECO4WG" localSheetId="0">[4]ACARS!#REF!</definedName>
    <definedName name="ECO4WG" localSheetId="5">[4]ACARS!#REF!</definedName>
    <definedName name="ECO4WG" localSheetId="4">[4]ACARS!#REF!</definedName>
    <definedName name="ECO4WG">[4]ACARS!#REF!</definedName>
    <definedName name="ECO5HB" localSheetId="0">[4]ACARS!#REF!</definedName>
    <definedName name="ECO5HB" localSheetId="5">[4]ACARS!#REF!</definedName>
    <definedName name="ECO5HB" localSheetId="4">[4]ACARS!#REF!</definedName>
    <definedName name="ECO5HB">[4]ACARS!#REF!</definedName>
    <definedName name="ECOTOTAL" localSheetId="0">[4]ACARS!#REF!</definedName>
    <definedName name="ECOTOTAL" localSheetId="5">[4]ACARS!#REF!</definedName>
    <definedName name="ECOTOTAL" localSheetId="4">[4]ACARS!#REF!</definedName>
    <definedName name="ECOTOTAL">[4]ACARS!#REF!</definedName>
    <definedName name="EFDE" localSheetId="5">[19]STAFF!#REF!</definedName>
    <definedName name="EFDE" localSheetId="4">[19]STAFF!#REF!</definedName>
    <definedName name="EFDE">[19]STAFF!#REF!</definedName>
    <definedName name="EGLMEDALL" localSheetId="0">#REF!</definedName>
    <definedName name="EGLMEDALL" localSheetId="5">#REF!</definedName>
    <definedName name="EGLMEDALL" localSheetId="4">#REF!</definedName>
    <definedName name="EGLMEDALL">#REF!</definedName>
    <definedName name="EGLPREM_VISALL" localSheetId="0">#REF!</definedName>
    <definedName name="EGLPREM_VISALL" localSheetId="5">#REF!</definedName>
    <definedName name="EGLPREM_VISALL" localSheetId="4">#REF!</definedName>
    <definedName name="EGLPREM_VISALL">#REF!</definedName>
    <definedName name="EGLSUMMITALL" localSheetId="0">#REF!</definedName>
    <definedName name="EGLSUMMITALL" localSheetId="5">#REF!</definedName>
    <definedName name="EGLSUMMITALL" localSheetId="4">#REF!</definedName>
    <definedName name="EGLSUMMITALL">#REF!</definedName>
    <definedName name="Email" localSheetId="5">#REF!</definedName>
    <definedName name="Email" localSheetId="4">#REF!</definedName>
    <definedName name="Email">#REF!</definedName>
    <definedName name="Entity">'[12]ESM ver2'!$C$4</definedName>
    <definedName name="EU" localSheetId="0">#REF!</definedName>
    <definedName name="EU" localSheetId="5">#REF!</definedName>
    <definedName name="EU" localSheetId="4">#REF!</definedName>
    <definedName name="EU">#REF!</definedName>
    <definedName name="EU・EXP台数" localSheetId="0">#REF!</definedName>
    <definedName name="EU・EXP台数" localSheetId="5">#REF!</definedName>
    <definedName name="EU・EXP台数" localSheetId="4">#REF!</definedName>
    <definedName name="EU・EXP台数">#REF!</definedName>
    <definedName name="eur" localSheetId="0">#REF!</definedName>
    <definedName name="eur" localSheetId="5">#REF!</definedName>
    <definedName name="eur" localSheetId="4">#REF!</definedName>
    <definedName name="eur">#REF!</definedName>
    <definedName name="EUROTOTE" localSheetId="0">#REF!</definedName>
    <definedName name="EUROTOTE" localSheetId="5">#REF!</definedName>
    <definedName name="EUROTOTE" localSheetId="4">#REF!</definedName>
    <definedName name="EUROTOTE">#REF!</definedName>
    <definedName name="exr00" localSheetId="0">#REF!</definedName>
    <definedName name="exr00" localSheetId="5">#REF!</definedName>
    <definedName name="exr00" localSheetId="4">#REF!</definedName>
    <definedName name="exr00">#REF!</definedName>
    <definedName name="Fax" localSheetId="5">#REF!</definedName>
    <definedName name="Fax" localSheetId="4">#REF!</definedName>
    <definedName name="Fax">#REF!</definedName>
    <definedName name="FCode" localSheetId="5" hidden="1">#REF!</definedName>
    <definedName name="FCode" localSheetId="4" hidden="1">#REF!</definedName>
    <definedName name="FCode" hidden="1">#REF!</definedName>
    <definedName name="FD150X">[5]ATRUCK!$F$79:$V$79</definedName>
    <definedName name="FDAEROALL" localSheetId="0">#REF!</definedName>
    <definedName name="FDAEROALL" localSheetId="5">#REF!</definedName>
    <definedName name="FDAEROALL" localSheetId="4">#REF!</definedName>
    <definedName name="FDAEROALL">#REF!</definedName>
    <definedName name="FDAEROC">[5]ATRUCK!$F$39:$V$39</definedName>
    <definedName name="FDAEROP">[5]ATRUCK!$F$51:$V$51</definedName>
    <definedName name="FDASPIREALL" localSheetId="0">#REF!</definedName>
    <definedName name="FDASPIREALL" localSheetId="5">#REF!</definedName>
    <definedName name="FDASPIREALL" localSheetId="4">#REF!</definedName>
    <definedName name="FDASPIREALL">#REF!</definedName>
    <definedName name="FDBRONCO">[5]ATRUCK!$F$194:$V$194</definedName>
    <definedName name="FDCLUB">[5]ATRUCK!$F$98:$V$98</definedName>
    <definedName name="FDCONTOUR4" localSheetId="0">#REF!</definedName>
    <definedName name="FDCONTOUR4" localSheetId="5">#REF!</definedName>
    <definedName name="FDCONTOUR4" localSheetId="4">#REF!</definedName>
    <definedName name="FDCONTOUR4">#REF!</definedName>
    <definedName name="FDCRWNVICALL" localSheetId="0">#REF!</definedName>
    <definedName name="FDCRWNVICALL" localSheetId="5">#REF!</definedName>
    <definedName name="FDCRWNVICALL" localSheetId="4">#REF!</definedName>
    <definedName name="FDCRWNVICALL">#REF!</definedName>
    <definedName name="FDECON">[5]ATRUCK!$F$93:$V$93</definedName>
    <definedName name="FDECONOALL" localSheetId="0">#REF!</definedName>
    <definedName name="FDECONOALL" localSheetId="5">#REF!</definedName>
    <definedName name="FDECONOALL" localSheetId="4">#REF!</definedName>
    <definedName name="FDECONOALL">#REF!</definedName>
    <definedName name="FDESCORTALL" localSheetId="0">#REF!</definedName>
    <definedName name="FDESCORTALL" localSheetId="5">#REF!</definedName>
    <definedName name="FDESCORTALL" localSheetId="4">#REF!</definedName>
    <definedName name="FDESCORTALL">#REF!</definedName>
    <definedName name="FDESCORTONLYALL" localSheetId="0">#REF!</definedName>
    <definedName name="FDESCORTONLYALL" localSheetId="5">#REF!</definedName>
    <definedName name="FDESCORTONLYALL" localSheetId="4">#REF!</definedName>
    <definedName name="FDESCORTONLYALL">#REF!</definedName>
    <definedName name="FDEXCUR">[5]ATRUCK!$F$198:$V$198</definedName>
    <definedName name="FDEXPED">[5]ATRUCK!$F$199:$V$199</definedName>
    <definedName name="FDEXPEDALL" localSheetId="0">#REF!</definedName>
    <definedName name="FDEXPEDALL" localSheetId="5">#REF!</definedName>
    <definedName name="FDEXPEDALL" localSheetId="4">#REF!</definedName>
    <definedName name="FDEXPEDALL">#REF!</definedName>
    <definedName name="FDEXPLOR">[5]ATRUCK!$F$119:$V$119</definedName>
    <definedName name="FDEXPLOR4">[5]ATRUCK!$F$126:$V$126</definedName>
    <definedName name="FDEXPLORALL" localSheetId="0">#REF!</definedName>
    <definedName name="FDEXPLORALL" localSheetId="5">#REF!</definedName>
    <definedName name="FDEXPLORALL" localSheetId="4">#REF!</definedName>
    <definedName name="FDEXPLORALL">#REF!</definedName>
    <definedName name="FDEXPLORMIDHI" localSheetId="0">#REF!</definedName>
    <definedName name="FDEXPLORMIDHI" localSheetId="5">#REF!</definedName>
    <definedName name="FDEXPLORMIDHI" localSheetId="4">#REF!</definedName>
    <definedName name="FDEXPLORMIDHI">#REF!</definedName>
    <definedName name="FDF150R">[5]ATRUCK!$F$86:$V$86</definedName>
    <definedName name="FDF150RALL" localSheetId="0">#REF!</definedName>
    <definedName name="FDF150RALL" localSheetId="5">#REF!</definedName>
    <definedName name="FDF150RALL" localSheetId="4">#REF!</definedName>
    <definedName name="FDF150RALL">#REF!</definedName>
    <definedName name="FDF150XALL" localSheetId="0">#REF!</definedName>
    <definedName name="FDF150XALL" localSheetId="5">#REF!</definedName>
    <definedName name="FDF150XALL" localSheetId="4">#REF!</definedName>
    <definedName name="FDF150XALL">#REF!</definedName>
    <definedName name="FDFOCUSALL" localSheetId="0">#REF!</definedName>
    <definedName name="FDFOCUSALL" localSheetId="5">#REF!</definedName>
    <definedName name="FDFOCUSALL" localSheetId="4">#REF!</definedName>
    <definedName name="FDFOCUSALL">#REF!</definedName>
    <definedName name="FDFSERIESALL" localSheetId="0">#REF!</definedName>
    <definedName name="FDFSERIESALL" localSheetId="5">#REF!</definedName>
    <definedName name="FDFSERIESALL" localSheetId="4">#REF!</definedName>
    <definedName name="FDFSERIESALL">#REF!</definedName>
    <definedName name="FDFSPUALL" localSheetId="0">#REF!</definedName>
    <definedName name="FDFSPUALL" localSheetId="5">#REF!</definedName>
    <definedName name="FDFSPUALL" localSheetId="4">#REF!</definedName>
    <definedName name="FDFSPUALL">#REF!</definedName>
    <definedName name="FDMUSTANGALL" localSheetId="0">#REF!</definedName>
    <definedName name="FDMUSTANGALL" localSheetId="5">#REF!</definedName>
    <definedName name="FDMUSTANGALL" localSheetId="4">#REF!</definedName>
    <definedName name="FDMUSTANGALL">#REF!</definedName>
    <definedName name="FDP225X">[5]ATRUCK!$F$73:$V$73</definedName>
    <definedName name="FDPHN131R" localSheetId="0">[5]ATRUCK!#REF!</definedName>
    <definedName name="FDPHN131R" localSheetId="5">[5]ATRUCK!#REF!</definedName>
    <definedName name="FDPHN131R" localSheetId="4">[5]ATRUCK!#REF!</definedName>
    <definedName name="FDPHN131R">[5]ATRUCK!#REF!</definedName>
    <definedName name="FDPHN131X" localSheetId="0">[5]ATRUCK!#REF!</definedName>
    <definedName name="FDPHN131X" localSheetId="5">[5]ATRUCK!#REF!</definedName>
    <definedName name="FDPHN131X" localSheetId="4">[5]ATRUCK!#REF!</definedName>
    <definedName name="FDPHN131X">[5]ATRUCK!#REF!</definedName>
    <definedName name="FDPN96R" localSheetId="0">[5]ATRUCK!#REF!</definedName>
    <definedName name="FDPN96R" localSheetId="5">[5]ATRUCK!#REF!</definedName>
    <definedName name="FDPN96R" localSheetId="4">[5]ATRUCK!#REF!</definedName>
    <definedName name="FDPN96R">[5]ATRUCK!#REF!</definedName>
    <definedName name="FDPN96X" localSheetId="0">[5]ATRUCK!#REF!</definedName>
    <definedName name="FDPN96X" localSheetId="5">[5]ATRUCK!#REF!</definedName>
    <definedName name="FDPN96X" localSheetId="4">[5]ATRUCK!#REF!</definedName>
    <definedName name="FDPN96X">[5]ATRUCK!#REF!</definedName>
    <definedName name="FDRANGALL" localSheetId="0">#REF!</definedName>
    <definedName name="FDRANGALL" localSheetId="5">#REF!</definedName>
    <definedName name="FDRANGALL" localSheetId="4">#REF!</definedName>
    <definedName name="FDRANGALL">#REF!</definedName>
    <definedName name="FDRANGER4">[5]ATRUCK!$F$30:$V$30</definedName>
    <definedName name="FDRANGERPLUS4" localSheetId="0">#REF!</definedName>
    <definedName name="FDRANGERPLUS4" localSheetId="5">#REF!</definedName>
    <definedName name="FDRANGERPLUS4" localSheetId="4">#REF!</definedName>
    <definedName name="FDRANGERPLUS4">#REF!</definedName>
    <definedName name="FDRANGERR">[5]ATRUCK!$F$20:$V$20</definedName>
    <definedName name="FDRANGERX">[5]ATRUCK!$F$8:$V$8</definedName>
    <definedName name="FDTAURUSALL" localSheetId="0">#REF!</definedName>
    <definedName name="FDTAURUSALL" localSheetId="5">#REF!</definedName>
    <definedName name="FDTAURUSALL" localSheetId="4">#REF!</definedName>
    <definedName name="FDTAURUSALL">#REF!</definedName>
    <definedName name="FDTBIRDOLDALL" localSheetId="0">#REF!</definedName>
    <definedName name="FDTBIRDOLDALL" localSheetId="5">#REF!</definedName>
    <definedName name="FDTBIRDOLDALL" localSheetId="4">#REF!</definedName>
    <definedName name="FDTBIRDOLDALL">#REF!</definedName>
    <definedName name="FDTEMPOALL" localSheetId="0">#REF!</definedName>
    <definedName name="FDTEMPOALL" localSheetId="5">#REF!</definedName>
    <definedName name="FDTEMPOALL" localSheetId="4">#REF!</definedName>
    <definedName name="FDTEMPOALL">#REF!</definedName>
    <definedName name="FDTOTAL">[5]ATRUCK!$F$282:$V$282</definedName>
    <definedName name="FDWINDALL" localSheetId="0">#REF!</definedName>
    <definedName name="FDWINDALL" localSheetId="5">#REF!</definedName>
    <definedName name="FDWINDALL" localSheetId="4">#REF!</definedName>
    <definedName name="FDWINDALL">#REF!</definedName>
    <definedName name="FDWINDC">[5]ATRUCK!$F$40:$V$40</definedName>
    <definedName name="FDWINDP">[5]ATRUCK!$F$52:$V$52</definedName>
    <definedName name="Ford_Car" localSheetId="0">#REF!</definedName>
    <definedName name="Ford_Car" localSheetId="5">#REF!</definedName>
    <definedName name="Ford_Car" localSheetId="4">#REF!</definedName>
    <definedName name="Ford_Car">#REF!</definedName>
    <definedName name="Ford_Truck" localSheetId="0">#REF!</definedName>
    <definedName name="Ford_Truck" localSheetId="5">#REF!</definedName>
    <definedName name="Ford_Truck" localSheetId="4">#REF!</definedName>
    <definedName name="Ford_Truck">#REF!</definedName>
    <definedName name="FordCarTotal" localSheetId="0">#REF!</definedName>
    <definedName name="FordCarTotal" localSheetId="5">#REF!</definedName>
    <definedName name="FordCarTotal" localSheetId="4">#REF!</definedName>
    <definedName name="FordCarTotal">#REF!</definedName>
    <definedName name="FORDGRANDTOTAL" localSheetId="0">#REF!</definedName>
    <definedName name="FORDGRANDTOTAL" localSheetId="5">#REF!</definedName>
    <definedName name="FORDGRANDTOTAL" localSheetId="4">#REF!</definedName>
    <definedName name="FORDGRANDTOTAL">#REF!</definedName>
    <definedName name="FordTruckTotal" localSheetId="0">#REF!</definedName>
    <definedName name="FordTruckTotal" localSheetId="5">#REF!</definedName>
    <definedName name="FordTruckTotal" localSheetId="4">#REF!</definedName>
    <definedName name="FordTruckTotal">#REF!</definedName>
    <definedName name="Format_Header" localSheetId="0">[21]資材費リスト!#REF!</definedName>
    <definedName name="Format_Header" localSheetId="5">[21]資材費リスト!#REF!</definedName>
    <definedName name="Format_Header" localSheetId="4">[21]資材費リスト!#REF!</definedName>
    <definedName name="Format_Header">[21]資材費リスト!#REF!</definedName>
    <definedName name="Format_ListCost" localSheetId="0">[21]資材費リスト!#REF!</definedName>
    <definedName name="Format_ListCost" localSheetId="5">[21]資材費リスト!#REF!</definedName>
    <definedName name="Format_ListCost" localSheetId="4">[21]資材費リスト!#REF!</definedName>
    <definedName name="Format_ListCost">[21]資材費リスト!#REF!</definedName>
    <definedName name="Format_ListHour" localSheetId="0">[21]資材費リスト!#REF!</definedName>
    <definedName name="Format_ListHour" localSheetId="5">[21]資材費リスト!#REF!</definedName>
    <definedName name="Format_ListHour" localSheetId="4">[21]資材費リスト!#REF!</definedName>
    <definedName name="Format_ListHour">[21]資材費リスト!#REF!</definedName>
    <definedName name="Format_ListQTY" localSheetId="0">[21]資材費リスト!#REF!</definedName>
    <definedName name="Format_ListQTY" localSheetId="5">[21]資材費リスト!#REF!</definedName>
    <definedName name="Format_ListQTY" localSheetId="4">[21]資材費リスト!#REF!</definedName>
    <definedName name="Format_ListQTY">[21]資材費リスト!#REF!</definedName>
    <definedName name="FORTOT" localSheetId="0">#REF!</definedName>
    <definedName name="FORTOT" localSheetId="5">#REF!</definedName>
    <definedName name="FORTOT" localSheetId="4">#REF!</definedName>
    <definedName name="FORTOT">#REF!</definedName>
    <definedName name="Freq">'[12]ESM ver2'!$C$7</definedName>
    <definedName name="FSCV" localSheetId="0">[5]ATRUCK!#REF!</definedName>
    <definedName name="FSCV" localSheetId="5">[5]ATRUCK!#REF!</definedName>
    <definedName name="FSCV" localSheetId="4">[5]ATRUCK!#REF!</definedName>
    <definedName name="FSCV">[5]ATRUCK!#REF!</definedName>
    <definedName name="FSCVA">[5]ATRUCK!$F$422:$V$422</definedName>
    <definedName name="FSCVDO">[5]ATRUCK!$F$420:$V$420</definedName>
    <definedName name="FSCVE">[5]ATRUCK!$F$421:$V$421</definedName>
    <definedName name="FSCVTOTAL" localSheetId="0">[5]ATRUCK!#REF!</definedName>
    <definedName name="FSCVTOTAL" localSheetId="5">[5]ATRUCK!#REF!</definedName>
    <definedName name="FSCVTOTAL" localSheetId="4">[5]ATRUCK!#REF!</definedName>
    <definedName name="FSCVTOTAL">[5]ATRUCK!#REF!</definedName>
    <definedName name="FSPU4DR" localSheetId="0">[5]ATRUCK!#REF!</definedName>
    <definedName name="FSPU4DR" localSheetId="5">[5]ATRUCK!#REF!</definedName>
    <definedName name="FSPU4DR" localSheetId="4">[5]ATRUCK!#REF!</definedName>
    <definedName name="FSPU4DR">[5]ATRUCK!#REF!</definedName>
    <definedName name="FSPUA">[5]ATRUCK!$F$345:$V$345</definedName>
    <definedName name="FSPUDO">[5]ATRUCK!$F$343:$V$343</definedName>
    <definedName name="FSPUE">[5]ATRUCK!$F$344:$V$344</definedName>
    <definedName name="FSPUEC" localSheetId="0">[5]ATRUCK!#REF!</definedName>
    <definedName name="FSPUEC" localSheetId="5">[5]ATRUCK!#REF!</definedName>
    <definedName name="FSPUEC" localSheetId="4">[5]ATRUCK!#REF!</definedName>
    <definedName name="FSPUEC">[5]ATRUCK!#REF!</definedName>
    <definedName name="FSPURC" localSheetId="0">[5]ATRUCK!#REF!</definedName>
    <definedName name="FSPURC" localSheetId="5">[5]ATRUCK!#REF!</definedName>
    <definedName name="FSPURC" localSheetId="4">[5]ATRUCK!#REF!</definedName>
    <definedName name="FSPURC">[5]ATRUCK!#REF!</definedName>
    <definedName name="FSPUTOTAL" localSheetId="0">[5]ATRUCK!#REF!</definedName>
    <definedName name="FSPUTOTAL" localSheetId="5">[5]ATRUCK!#REF!</definedName>
    <definedName name="FSPUTOTAL" localSheetId="4">[5]ATRUCK!#REF!</definedName>
    <definedName name="FSPUTOTAL">[5]ATRUCK!#REF!</definedName>
    <definedName name="FSPV" localSheetId="0">[5]ATRUCK!#REF!</definedName>
    <definedName name="FSPV" localSheetId="5">[5]ATRUCK!#REF!</definedName>
    <definedName name="FSPV" localSheetId="4">[5]ATRUCK!#REF!</definedName>
    <definedName name="FSPV">[5]ATRUCK!#REF!</definedName>
    <definedName name="FSPVA">[5]ATRUCK!$F$429:$V$429</definedName>
    <definedName name="FSPVDO">[5]ATRUCK!$F$427:$V$427</definedName>
    <definedName name="FSPVE">[5]ATRUCK!$F$428:$V$428</definedName>
    <definedName name="FSPVTOTAL" localSheetId="0">[5]ATRUCK!#REF!</definedName>
    <definedName name="FSPVTOTAL" localSheetId="5">[5]ATRUCK!#REF!</definedName>
    <definedName name="FSPVTOTAL" localSheetId="4">[5]ATRUCK!#REF!</definedName>
    <definedName name="FSPVTOTAL">[5]ATRUCK!#REF!</definedName>
    <definedName name="FSVANTOTAL" localSheetId="0">[5]ATRUCK!#REF!</definedName>
    <definedName name="FSVANTOTAL" localSheetId="5">[5]ATRUCK!#REF!</definedName>
    <definedName name="FSVANTOTAL" localSheetId="4">[5]ATRUCK!#REF!</definedName>
    <definedName name="FSVANTOTAL">[5]ATRUCK!#REF!</definedName>
    <definedName name="GMC">[5]ATRUCK!$F$272:$V$272</definedName>
    <definedName name="GMCCAB">[5]ATRUCK!$F$88:$V$88</definedName>
    <definedName name="GMCENVW4">[5]ATRUCK!$F$31:$V$31</definedName>
    <definedName name="GMCJIM">[5]ATRUCK!$F$120:$V$120</definedName>
    <definedName name="GMCJIM4">[5]ATRUCK!$F$128:$V$128</definedName>
    <definedName name="GMCJIMALL" localSheetId="0">#REF!</definedName>
    <definedName name="GMCJIMALL" localSheetId="5">#REF!</definedName>
    <definedName name="GMCJIMALL" localSheetId="4">#REF!</definedName>
    <definedName name="GMCJIMALL">#REF!</definedName>
    <definedName name="GMCSAFARIALL" localSheetId="0">#REF!</definedName>
    <definedName name="GMCSAFARIALL" localSheetId="5">#REF!</definedName>
    <definedName name="GMCSAFARIALL" localSheetId="4">#REF!</definedName>
    <definedName name="GMCSAFARIALL">#REF!</definedName>
    <definedName name="GMCSAFARIC">[5]ATRUCK!$F$41:$V$41</definedName>
    <definedName name="GMCSAFARIP">[5]ATRUCK!$F$53:$V$53</definedName>
    <definedName name="GMCSAVAC">[5]ATRUCK!$F$94:$V$94</definedName>
    <definedName name="GMCSAVANAALL" localSheetId="0">#REF!</definedName>
    <definedName name="GMCSAVANAALL" localSheetId="5">#REF!</definedName>
    <definedName name="GMCSAVANAALL" localSheetId="4">#REF!</definedName>
    <definedName name="GMCSAVANAALL">#REF!</definedName>
    <definedName name="GMCSAVAP">[5]ATRUCK!$F$99:$V$99</definedName>
    <definedName name="GMCSIERR">[5]ATRUCK!$F$87:$V$87</definedName>
    <definedName name="GMCSIERRAALL" localSheetId="0">#REF!</definedName>
    <definedName name="GMCSIERRAALL" localSheetId="5">#REF!</definedName>
    <definedName name="GMCSIERRAALL" localSheetId="4">#REF!</definedName>
    <definedName name="GMCSIERRAALL">#REF!</definedName>
    <definedName name="GMCSIERX">[5]ATRUCK!$F$80:$V$80</definedName>
    <definedName name="GMCSONALL" localSheetId="0">#REF!</definedName>
    <definedName name="GMCSONALL" localSheetId="5">#REF!</definedName>
    <definedName name="GMCSONALL" localSheetId="4">#REF!</definedName>
    <definedName name="GMCSONALL">#REF!</definedName>
    <definedName name="GMCSONR">[5]ATRUCK!$F$21:$V$21</definedName>
    <definedName name="GMCSONX">[5]ATRUCK!$F$9:$V$9</definedName>
    <definedName name="GMCSUBUR">[5]ATRUCK!$F$200:$V$200</definedName>
    <definedName name="GMCTOTAL" localSheetId="0">#REF!</definedName>
    <definedName name="GMCTOTAL" localSheetId="5">#REF!</definedName>
    <definedName name="GMCTOTAL" localSheetId="4">#REF!</definedName>
    <definedName name="GMCTOTAL">#REF!</definedName>
    <definedName name="GMCYUK">[5]ATRUCK!$F$195:$V$195</definedName>
    <definedName name="GMCYUK4">[5]ATRUCK!$F$201:$V$201</definedName>
    <definedName name="GMCYUKALL" localSheetId="0">#REF!</definedName>
    <definedName name="GMCYUKALL" localSheetId="5">#REF!</definedName>
    <definedName name="GMCYUKALL" localSheetId="4">#REF!</definedName>
    <definedName name="GMCYUKALL">#REF!</definedName>
    <definedName name="GMGRANDTOTAL" localSheetId="0">#REF!</definedName>
    <definedName name="GMGRANDTOTAL" localSheetId="5">#REF!</definedName>
    <definedName name="GMGRANDTOTAL" localSheetId="4">#REF!</definedName>
    <definedName name="GMGRANDTOTAL">#REF!</definedName>
    <definedName name="GS__投資詳細_ＵＰＧ別" localSheetId="0">#REF!</definedName>
    <definedName name="GS__投資詳細_ＵＰＧ別" localSheetId="5">#REF!</definedName>
    <definedName name="GS__投資詳細_ＵＰＧ別" localSheetId="4">#REF!</definedName>
    <definedName name="GS__投資詳細_ＵＰＧ別">#REF!</definedName>
    <definedName name="GS_仕様アイテム別投資詳細" localSheetId="0">#REF!</definedName>
    <definedName name="GS_仕様アイテム別投資詳細" localSheetId="5">#REF!</definedName>
    <definedName name="GS_仕様アイテム別投資詳細" localSheetId="4">#REF!</definedName>
    <definedName name="GS_仕様アイテム別投資詳細">#REF!</definedName>
    <definedName name="GS_投資詳細_内訳" localSheetId="0">#REF!</definedName>
    <definedName name="GS_投資詳細_内訳" localSheetId="5">#REF!</definedName>
    <definedName name="GS_投資詳細_内訳" localSheetId="4">#REF!</definedName>
    <definedName name="GS_投資詳細_内訳">#REF!</definedName>
    <definedName name="GTOTAL" localSheetId="0">[5]ATRUCK!#REF!</definedName>
    <definedName name="GTOTAL" localSheetId="5">[5]ATRUCK!#REF!</definedName>
    <definedName name="GTOTAL" localSheetId="4">[5]ATRUCK!#REF!</definedName>
    <definedName name="GTOTAL">[5]ATRUCK!#REF!</definedName>
    <definedName name="HiddenRows" localSheetId="5" hidden="1">#REF!</definedName>
    <definedName name="HiddenRows" localSheetId="4" hidden="1">#REF!</definedName>
    <definedName name="HiddenRows" hidden="1">#REF!</definedName>
    <definedName name="HIKAKU" localSheetId="0">#REF!</definedName>
    <definedName name="HIKAKU" localSheetId="5">#REF!</definedName>
    <definedName name="HIKAKU" localSheetId="4">#REF!</definedName>
    <definedName name="HIKAKU">#REF!</definedName>
    <definedName name="HNDODYPJTMALL" localSheetId="0">#REF!</definedName>
    <definedName name="HNDODYPJTMALL" localSheetId="5">#REF!</definedName>
    <definedName name="HNDODYPJTMALL" localSheetId="4">#REF!</definedName>
    <definedName name="HNDODYPJTMALL">#REF!</definedName>
    <definedName name="HONACCORDALL" localSheetId="0">#REF!</definedName>
    <definedName name="HONACCORDALL" localSheetId="5">#REF!</definedName>
    <definedName name="HONACCORDALL" localSheetId="4">#REF!</definedName>
    <definedName name="HONACCORDALL">#REF!</definedName>
    <definedName name="HONCIVICALL" localSheetId="0">#REF!</definedName>
    <definedName name="HONCIVICALL" localSheetId="5">#REF!</definedName>
    <definedName name="HONCIVICALL" localSheetId="4">#REF!</definedName>
    <definedName name="HONCIVICALL">#REF!</definedName>
    <definedName name="HONCIVICDELSOLALL" localSheetId="0">#REF!</definedName>
    <definedName name="HONCIVICDELSOLALL" localSheetId="5">#REF!</definedName>
    <definedName name="HONCIVICDELSOLALL" localSheetId="4">#REF!</definedName>
    <definedName name="HONCIVICDELSOLALL">#REF!</definedName>
    <definedName name="HONCRV">[5]ATRUCK!$F$173:$V$173</definedName>
    <definedName name="HONDATOTAL" localSheetId="0">#REF!</definedName>
    <definedName name="HONDATOTAL" localSheetId="5">#REF!</definedName>
    <definedName name="HONDATOTAL" localSheetId="4">#REF!</definedName>
    <definedName name="HONDATOTAL">#REF!</definedName>
    <definedName name="HONMAV">[5]ATRUCK!$F$139:$V$139</definedName>
    <definedName name="HONODYP">[5]ATRUCK!$F$54:$V$54</definedName>
    <definedName name="HONPASS">[5]ATRUCK!$F$140:$V$140</definedName>
    <definedName name="HONPASSMAVALL" localSheetId="0">#REF!</definedName>
    <definedName name="HONPASSMAVALL" localSheetId="5">#REF!</definedName>
    <definedName name="HONPASSMAVALL" localSheetId="4">#REF!</definedName>
    <definedName name="HONPASSMAVALL">#REF!</definedName>
    <definedName name="HONTMP">[5]ATRUCK!$F$55:$V$55</definedName>
    <definedName name="HYNACCENTALL" localSheetId="0">#REF!</definedName>
    <definedName name="HYNACCENTALL" localSheetId="5">#REF!</definedName>
    <definedName name="HYNACCENTALL" localSheetId="4">#REF!</definedName>
    <definedName name="HYNACCENTALL">#REF!</definedName>
    <definedName name="HYNDAI" localSheetId="0">#REF!</definedName>
    <definedName name="HYNDAI" localSheetId="5">#REF!</definedName>
    <definedName name="HYNDAI" localSheetId="4">#REF!</definedName>
    <definedName name="HYNDAI">#REF!</definedName>
    <definedName name="HYNELANTRAALL" localSheetId="0">#REF!</definedName>
    <definedName name="HYNELANTRAALL" localSheetId="5">#REF!</definedName>
    <definedName name="HYNELANTRAALL" localSheetId="4">#REF!</definedName>
    <definedName name="HYNELANTRAALL">#REF!</definedName>
    <definedName name="HYNMINI">[5]ATRUCK!$F$174:$V$174</definedName>
    <definedName name="HYUNDAITOTAL" localSheetId="0">#REF!</definedName>
    <definedName name="HYUNDAITOTAL" localSheetId="5">#REF!</definedName>
    <definedName name="HYUNDAITOTAL" localSheetId="4">#REF!</definedName>
    <definedName name="HYUNDAITOTAL">#REF!</definedName>
    <definedName name="INFG20_24ALL" localSheetId="0">#REF!</definedName>
    <definedName name="INFG20_24ALL" localSheetId="5">#REF!</definedName>
    <definedName name="INFG20_24ALL" localSheetId="4">#REF!</definedName>
    <definedName name="INFG20_24ALL">#REF!</definedName>
    <definedName name="INFINITITOTAL" localSheetId="0">#REF!</definedName>
    <definedName name="INFINITITOTAL" localSheetId="5">#REF!</definedName>
    <definedName name="INFINITITOTAL" localSheetId="4">#REF!</definedName>
    <definedName name="INFINITITOTAL">#REF!</definedName>
    <definedName name="INFM30ALL" localSheetId="0">#REF!</definedName>
    <definedName name="INFM30ALL" localSheetId="5">#REF!</definedName>
    <definedName name="INFM30ALL" localSheetId="4">#REF!</definedName>
    <definedName name="INFM30ALL">#REF!</definedName>
    <definedName name="INFQX4">[5]ATRUCK!$F$105:$V$105</definedName>
    <definedName name="INTBUICKTOTAL" localSheetId="0">#REF!</definedName>
    <definedName name="INTBUICKTOTAL" localSheetId="5">#REF!</definedName>
    <definedName name="INTBUICKTOTAL" localSheetId="4">#REF!</definedName>
    <definedName name="INTBUICKTOTAL">#REF!</definedName>
    <definedName name="INTCADILLACTOTAL" localSheetId="0">#REF!</definedName>
    <definedName name="INTCADILLACTOTAL" localSheetId="5">#REF!</definedName>
    <definedName name="INTCADILLACTOTAL" localSheetId="4">#REF!</definedName>
    <definedName name="INTCADILLACTOTAL">#REF!</definedName>
    <definedName name="INTCHEVROLETTOTAL" localSheetId="0">#REF!</definedName>
    <definedName name="INTCHEVROLETTOTAL" localSheetId="5">#REF!</definedName>
    <definedName name="INTCHEVROLETTOTAL" localSheetId="4">#REF!</definedName>
    <definedName name="INTCHEVROLETTOTAL">#REF!</definedName>
    <definedName name="INTCHRYSLERTOTAL" localSheetId="0">#REF!</definedName>
    <definedName name="INTCHRYSLERTOTAL" localSheetId="5">#REF!</definedName>
    <definedName name="INTCHRYSLERTOTAL" localSheetId="4">#REF!</definedName>
    <definedName name="INTCHRYSLERTOTAL">#REF!</definedName>
    <definedName name="INTDCTOTAL" localSheetId="0">#REF!</definedName>
    <definedName name="INTDCTOTAL" localSheetId="5">#REF!</definedName>
    <definedName name="INTDCTOTAL" localSheetId="4">#REF!</definedName>
    <definedName name="INTDCTOTAL">#REF!</definedName>
    <definedName name="INTDODGETOTAL" localSheetId="0">#REF!</definedName>
    <definedName name="INTDODGETOTAL" localSheetId="5">#REF!</definedName>
    <definedName name="INTDODGETOTAL" localSheetId="4">#REF!</definedName>
    <definedName name="INTDODGETOTAL">#REF!</definedName>
    <definedName name="INTEAGLETOTAL" localSheetId="0">#REF!</definedName>
    <definedName name="INTEAGLETOTAL" localSheetId="5">#REF!</definedName>
    <definedName name="INTEAGLETOTAL" localSheetId="4">#REF!</definedName>
    <definedName name="INTEAGLETOTAL">#REF!</definedName>
    <definedName name="INTFOMOCOTOTAL" localSheetId="0">#REF!</definedName>
    <definedName name="INTFOMOCOTOTAL" localSheetId="5">#REF!</definedName>
    <definedName name="INTFOMOCOTOTAL" localSheetId="4">#REF!</definedName>
    <definedName name="INTFOMOCOTOTAL">#REF!</definedName>
    <definedName name="INTFORDTOTAL" localSheetId="0">#REF!</definedName>
    <definedName name="INTFORDTOTAL" localSheetId="5">#REF!</definedName>
    <definedName name="INTFORDTOTAL" localSheetId="4">#REF!</definedName>
    <definedName name="INTFORDTOTAL">#REF!</definedName>
    <definedName name="INTGMAV" localSheetId="0">#REF!</definedName>
    <definedName name="INTGMAV" localSheetId="5">#REF!</definedName>
    <definedName name="INTGMAV" localSheetId="4">#REF!</definedName>
    <definedName name="INTGMAV">#REF!</definedName>
    <definedName name="INTGMCTOTAL" localSheetId="0">#REF!</definedName>
    <definedName name="INTGMCTOTAL" localSheetId="5">#REF!</definedName>
    <definedName name="INTGMCTOTAL" localSheetId="4">#REF!</definedName>
    <definedName name="INTGMCTOTAL">#REF!</definedName>
    <definedName name="INTGMTOTAL" localSheetId="0">#REF!</definedName>
    <definedName name="INTGMTOTAL" localSheetId="5">#REF!</definedName>
    <definedName name="INTGMTOTAL" localSheetId="4">#REF!</definedName>
    <definedName name="INTGMTOTAL">#REF!</definedName>
    <definedName name="INTJAGUARTOTAL" localSheetId="0">#REF!</definedName>
    <definedName name="INTJAGUARTOTAL" localSheetId="5">#REF!</definedName>
    <definedName name="INTJAGUARTOTAL" localSheetId="4">#REF!</definedName>
    <definedName name="INTJAGUARTOTAL">#REF!</definedName>
    <definedName name="INTJEEPTOTAL" localSheetId="0">#REF!</definedName>
    <definedName name="INTJEEPTOTAL" localSheetId="5">#REF!</definedName>
    <definedName name="INTJEEPTOTAL" localSheetId="4">#REF!</definedName>
    <definedName name="INTJEEPTOTAL">#REF!</definedName>
    <definedName name="INTLINCOLNTOTAL" localSheetId="0">#REF!</definedName>
    <definedName name="INTLINCOLNTOTAL" localSheetId="5">#REF!</definedName>
    <definedName name="INTLINCOLNTOTAL" localSheetId="4">#REF!</definedName>
    <definedName name="INTLINCOLNTOTAL">#REF!</definedName>
    <definedName name="INTMBTOTAL" localSheetId="0">#REF!</definedName>
    <definedName name="INTMBTOTAL" localSheetId="5">#REF!</definedName>
    <definedName name="INTMBTOTAL" localSheetId="4">#REF!</definedName>
    <definedName name="INTMBTOTAL">#REF!</definedName>
    <definedName name="INTMERCURYTOTAL" localSheetId="0">#REF!</definedName>
    <definedName name="INTMERCURYTOTAL" localSheetId="5">#REF!</definedName>
    <definedName name="INTMERCURYTOTAL" localSheetId="4">#REF!</definedName>
    <definedName name="INTMERCURYTOTAL">#REF!</definedName>
    <definedName name="INTMERKURTOTAL" localSheetId="0">#REF!</definedName>
    <definedName name="INTMERKURTOTAL" localSheetId="5">#REF!</definedName>
    <definedName name="INTMERKURTOTAL" localSheetId="4">#REF!</definedName>
    <definedName name="INTMERKURTOTAL">#REF!</definedName>
    <definedName name="INTOLDSMOBILETOTAL" localSheetId="0">#REF!</definedName>
    <definedName name="INTOLDSMOBILETOTAL" localSheetId="5">#REF!</definedName>
    <definedName name="INTOLDSMOBILETOTAL" localSheetId="4">#REF!</definedName>
    <definedName name="INTOLDSMOBILETOTAL">#REF!</definedName>
    <definedName name="INTPLYMOUTHTOTAL" localSheetId="0">#REF!</definedName>
    <definedName name="INTPLYMOUTHTOTAL" localSheetId="5">#REF!</definedName>
    <definedName name="INTPLYMOUTHTOTAL" localSheetId="4">#REF!</definedName>
    <definedName name="INTPLYMOUTHTOTAL">#REF!</definedName>
    <definedName name="INTPONTIACTOTAL" localSheetId="0">#REF!</definedName>
    <definedName name="INTPONTIACTOTAL" localSheetId="5">#REF!</definedName>
    <definedName name="INTPONTIACTOTAL" localSheetId="4">#REF!</definedName>
    <definedName name="INTPONTIACTOTAL">#REF!</definedName>
    <definedName name="INTSAABTOTAL" localSheetId="0">#REF!</definedName>
    <definedName name="INTSAABTOTAL" localSheetId="5">#REF!</definedName>
    <definedName name="INTSAABTOTAL" localSheetId="4">#REF!</definedName>
    <definedName name="INTSAABTOTAL">#REF!</definedName>
    <definedName name="INTSATURNTOTAL" localSheetId="0">#REF!</definedName>
    <definedName name="INTSATURNTOTAL" localSheetId="5">#REF!</definedName>
    <definedName name="INTSATURNTOTAL" localSheetId="4">#REF!</definedName>
    <definedName name="INTSATURNTOTAL">#REF!</definedName>
    <definedName name="INTSUZUKITOTAL" localSheetId="0">#REF!</definedName>
    <definedName name="INTSUZUKITOTAL" localSheetId="5">#REF!</definedName>
    <definedName name="INTSUZUKITOTAL" localSheetId="4">#REF!</definedName>
    <definedName name="INTSUZUKITOTAL">#REF!</definedName>
    <definedName name="INTVOLVOTOTAL" localSheetId="0">#REF!</definedName>
    <definedName name="INTVOLVOTOTAL" localSheetId="5">#REF!</definedName>
    <definedName name="INTVOLVOTOTAL" localSheetId="4">#REF!</definedName>
    <definedName name="INTVOLVOTOTAL">#REF!</definedName>
    <definedName name="IS_consolidated" localSheetId="0">#REF!</definedName>
    <definedName name="IS_consolidated" localSheetId="5">#REF!</definedName>
    <definedName name="IS_consolidated" localSheetId="4">#REF!</definedName>
    <definedName name="IS_consolidated">#REF!</definedName>
    <definedName name="IS_domestic" localSheetId="0">#REF!</definedName>
    <definedName name="IS_domestic" localSheetId="5">#REF!</definedName>
    <definedName name="IS_domestic" localSheetId="4">#REF!</definedName>
    <definedName name="IS_domestic">#REF!</definedName>
    <definedName name="IS_MMMA" localSheetId="0">#REF!</definedName>
    <definedName name="IS_MMMA" localSheetId="5">#REF!</definedName>
    <definedName name="IS_MMMA" localSheetId="4">#REF!</definedName>
    <definedName name="IS_MMMA">#REF!</definedName>
    <definedName name="IS_US" localSheetId="0">#REF!</definedName>
    <definedName name="IS_US" localSheetId="5">#REF!</definedName>
    <definedName name="IS_US" localSheetId="4">#REF!</definedName>
    <definedName name="IS_US">#REF!</definedName>
    <definedName name="ISIMPULSEALL" localSheetId="0">#REF!</definedName>
    <definedName name="ISIMPULSEALL" localSheetId="5">#REF!</definedName>
    <definedName name="ISIMPULSEALL" localSheetId="4">#REF!</definedName>
    <definedName name="ISIMPULSEALL">#REF!</definedName>
    <definedName name="ISUZUTOTAL" localSheetId="0">#REF!</definedName>
    <definedName name="ISUZUTOTAL" localSheetId="5">#REF!</definedName>
    <definedName name="ISUZUTOTAL" localSheetId="4">#REF!</definedName>
    <definedName name="ISUZUTOTAL">#REF!</definedName>
    <definedName name="IZAMIGO">[5]ATRUCK!$F$169:$V$169</definedName>
    <definedName name="IZHOMBR">[5]ATRUCK!$F$22:$V$22</definedName>
    <definedName name="IZHOMBREALL" localSheetId="0">#REF!</definedName>
    <definedName name="IZHOMBREALL" localSheetId="5">#REF!</definedName>
    <definedName name="IZHOMBREALL" localSheetId="4">#REF!</definedName>
    <definedName name="IZHOMBREALL">#REF!</definedName>
    <definedName name="IZHOMBREX">[5]ATRUCK!$F$10:$V$10</definedName>
    <definedName name="IZIMARKALL" localSheetId="0">#REF!</definedName>
    <definedName name="IZIMARKALL" localSheetId="5">#REF!</definedName>
    <definedName name="IZIMARKALL" localSheetId="4">#REF!</definedName>
    <definedName name="IZIMARKALL">#REF!</definedName>
    <definedName name="IZOASISP">[5]ATRUCK!$F$56:$V$56</definedName>
    <definedName name="IZPUALL" localSheetId="0">#REF!</definedName>
    <definedName name="IZPUALL" localSheetId="5">#REF!</definedName>
    <definedName name="IZPUALL" localSheetId="4">#REF!</definedName>
    <definedName name="IZPUALL">#REF!</definedName>
    <definedName name="IZPUR">[5]ATRUCK!$F$23:$V$23</definedName>
    <definedName name="IZPUX">[5]ATRUCK!$F$11:$V$11</definedName>
    <definedName name="IZRODEO">[5]ATRUCK!$F$141:$V$141</definedName>
    <definedName name="IZTROOP">[5]ATRUCK!$F$154:$V$154</definedName>
    <definedName name="IZTROOP4">[5]ATRUCK!$F$158:$V$158</definedName>
    <definedName name="IZTROOPALL" localSheetId="0">#REF!</definedName>
    <definedName name="IZTROOPALL" localSheetId="5">#REF!</definedName>
    <definedName name="IZTROOPALL" localSheetId="4">#REF!</definedName>
    <definedName name="IZTROOPALL">#REF!</definedName>
    <definedName name="IZVCROSS">[5]ATRUCK!$F$155:$V$155</definedName>
    <definedName name="JAGSTYPEALL" localSheetId="0">#REF!</definedName>
    <definedName name="JAGSTYPEALL" localSheetId="5">#REF!</definedName>
    <definedName name="JAGSTYPEALL" localSheetId="4">#REF!</definedName>
    <definedName name="JAGSTYPEALL">#REF!</definedName>
    <definedName name="JAGUARTOTAL" localSheetId="0">#REF!</definedName>
    <definedName name="JAGUARTOTAL" localSheetId="5">#REF!</definedName>
    <definedName name="JAGUARTOTAL" localSheetId="4">#REF!</definedName>
    <definedName name="JAGUARTOTAL">#REF!</definedName>
    <definedName name="JAGX400ALL" localSheetId="0">#REF!</definedName>
    <definedName name="JAGX400ALL" localSheetId="5">#REF!</definedName>
    <definedName name="JAGX400ALL" localSheetId="4">#REF!</definedName>
    <definedName name="JAGX400ALL">#REF!</definedName>
    <definedName name="JAGXJALL" localSheetId="0">#REF!</definedName>
    <definedName name="JAGXJALL" localSheetId="5">#REF!</definedName>
    <definedName name="JAGXJALL" localSheetId="4">#REF!</definedName>
    <definedName name="JAGXJALL">#REF!</definedName>
    <definedName name="JAGXK8ALL" localSheetId="0">#REF!</definedName>
    <definedName name="JAGXK8ALL" localSheetId="5">#REF!</definedName>
    <definedName name="JAGXK8ALL" localSheetId="4">#REF!</definedName>
    <definedName name="JAGXK8ALL">#REF!</definedName>
    <definedName name="JANANA" localSheetId="0">#REF!</definedName>
    <definedName name="JANANA" localSheetId="5">#REF!</definedName>
    <definedName name="JANANA" localSheetId="4">#REF!</definedName>
    <definedName name="JANANA">#REF!</definedName>
    <definedName name="JEEP">[5]ATRUCK!$F$286:$V$286</definedName>
    <definedName name="JEEPTOTAL" localSheetId="0">#REF!</definedName>
    <definedName name="JEEPTOTAL" localSheetId="5">#REF!</definedName>
    <definedName name="JEEPTOTAL" localSheetId="4">#REF!</definedName>
    <definedName name="JEEPTOTAL">#REF!</definedName>
    <definedName name="JPCHER">[5]ATRUCK!$F$137:$V$137</definedName>
    <definedName name="JPCHER4">[5]ATRUCK!$F$142:$V$142</definedName>
    <definedName name="JPCHERALL" localSheetId="0">#REF!</definedName>
    <definedName name="JPCHERALL" localSheetId="5">#REF!</definedName>
    <definedName name="JPCHERALL" localSheetId="4">#REF!</definedName>
    <definedName name="JPCHERALL">#REF!</definedName>
    <definedName name="JPCOMAN">[5]ATRUCK!$F$152:$V$152</definedName>
    <definedName name="JPGCHER">[5]ATRUCK!$F$129:$V$129</definedName>
    <definedName name="JPGWAG">[5]ATRUCK!$F$106:$V$106</definedName>
    <definedName name="JPWAG">[5]ATRUCK!$F$136:$V$136</definedName>
    <definedName name="JPWRANG">[5]ATRUCK!$F$166:$V$166</definedName>
    <definedName name="JT41専用" localSheetId="0">#REF!</definedName>
    <definedName name="JT41専用" localSheetId="5">#REF!</definedName>
    <definedName name="JT41専用" localSheetId="4">#REF!</definedName>
    <definedName name="JT41専用">#REF!</definedName>
    <definedName name="KC" localSheetId="0">#REF!</definedName>
    <definedName name="KC" localSheetId="5">#REF!</definedName>
    <definedName name="KC" localSheetId="4">#REF!</definedName>
    <definedName name="KC">#REF!</definedName>
    <definedName name="KIAAVELLAALL" localSheetId="0">#REF!</definedName>
    <definedName name="KIAAVELLAALL" localSheetId="5">#REF!</definedName>
    <definedName name="KIAAVELLAALL" localSheetId="4">#REF!</definedName>
    <definedName name="KIAAVELLAALL">#REF!</definedName>
    <definedName name="KIASEDOP">[5]ATRUCK!$F$57:$V$57</definedName>
    <definedName name="KIASPORT">[5]ATRUCK!$F$183:$V$183</definedName>
    <definedName name="KIASPORT4">[5]ATRUCK!$F$188:$V$188</definedName>
    <definedName name="KIASPORTALL" localSheetId="0">#REF!</definedName>
    <definedName name="KIASPORTALL" localSheetId="5">#REF!</definedName>
    <definedName name="KIASPORTALL" localSheetId="4">#REF!</definedName>
    <definedName name="KIASPORTALL">#REF!</definedName>
    <definedName name="KIATOTAL" localSheetId="0">#REF!</definedName>
    <definedName name="KIATOTAL" localSheetId="5">#REF!</definedName>
    <definedName name="KIATOTAL" localSheetId="4">#REF!</definedName>
    <definedName name="KIATOTAL">#REF!</definedName>
    <definedName name="L2SU" localSheetId="0">[5]ATRUCK!#REF!</definedName>
    <definedName name="L2SU" localSheetId="5">[5]ATRUCK!#REF!</definedName>
    <definedName name="L2SU" localSheetId="4">[5]ATRUCK!#REF!</definedName>
    <definedName name="L2SU">[5]ATRUCK!#REF!</definedName>
    <definedName name="L4SU" localSheetId="0">[5]ATRUCK!#REF!</definedName>
    <definedName name="L4SU" localSheetId="5">[5]ATRUCK!#REF!</definedName>
    <definedName name="L4SU" localSheetId="4">[5]ATRUCK!#REF!</definedName>
    <definedName name="L4SU">[5]ATRUCK!#REF!</definedName>
    <definedName name="Land_Rover_Total" localSheetId="0">#REF!</definedName>
    <definedName name="Land_Rover_Total" localSheetId="5">#REF!</definedName>
    <definedName name="Land_Rover_Total" localSheetId="4">#REF!</definedName>
    <definedName name="Land_Rover_Total">#REF!</definedName>
    <definedName name="Land_Rover_Trucks_Total" localSheetId="0">#REF!</definedName>
    <definedName name="Land_Rover_Trucks_Total" localSheetId="5">#REF!</definedName>
    <definedName name="Land_Rover_Trucks_Total" localSheetId="4">#REF!</definedName>
    <definedName name="Land_Rover_Trucks_Total">#REF!</definedName>
    <definedName name="LANDROVER">[5]ATRUCK!$F$315:$V$315</definedName>
    <definedName name="LANDROVERTOTAL" localSheetId="0">#REF!</definedName>
    <definedName name="LANDROVERTOTAL" localSheetId="5">#REF!</definedName>
    <definedName name="LANDROVERTOTAL" localSheetId="4">#REF!</definedName>
    <definedName name="LANDROVERTOTAL">#REF!</definedName>
    <definedName name="LCTOTAL" localSheetId="0">[4]ACARS!#REF!</definedName>
    <definedName name="LCTOTAL" localSheetId="5">[4]ACARS!#REF!</definedName>
    <definedName name="LCTOTAL" localSheetId="4">[4]ACARS!#REF!</definedName>
    <definedName name="LCTOTAL">[4]ACARS!#REF!</definedName>
    <definedName name="LCW" localSheetId="0">[4]ACARS!#REF!</definedName>
    <definedName name="LCW" localSheetId="5">[4]ACARS!#REF!</definedName>
    <definedName name="LCW" localSheetId="4">[4]ACARS!#REF!</definedName>
    <definedName name="LCW">[4]ACARS!#REF!</definedName>
    <definedName name="LEXGS300ALL" localSheetId="0">#REF!</definedName>
    <definedName name="LEXGS300ALL" localSheetId="5">#REF!</definedName>
    <definedName name="LEXGS300ALL" localSheetId="4">#REF!</definedName>
    <definedName name="LEXGS300ALL">#REF!</definedName>
    <definedName name="LEXIS220ALL" localSheetId="0">#REF!</definedName>
    <definedName name="LEXIS220ALL" localSheetId="5">#REF!</definedName>
    <definedName name="LEXIS220ALL" localSheetId="4">#REF!</definedName>
    <definedName name="LEXIS220ALL">#REF!</definedName>
    <definedName name="LEXLX450">[5]ATRUCK!$F$109:$V$109</definedName>
    <definedName name="LEXRX300">[5]ATRUCK!$F$110:$V$110</definedName>
    <definedName name="LEXUSTOTAL" localSheetId="0">#REF!</definedName>
    <definedName name="LEXUSTOTAL" localSheetId="5">#REF!</definedName>
    <definedName name="LEXUSTOTAL" localSheetId="4">#REF!</definedName>
    <definedName name="LEXUSTOTAL">#REF!</definedName>
    <definedName name="LHD台数" localSheetId="0">#REF!</definedName>
    <definedName name="LHD台数" localSheetId="5">#REF!</definedName>
    <definedName name="LHD台数" localSheetId="4">#REF!</definedName>
    <definedName name="LHD台数">#REF!</definedName>
    <definedName name="LINCBLAK">[5]ATRUCK!$F$74:$V$74</definedName>
    <definedName name="LINCNAV">[5]ATRUCK!$F$111:$V$111</definedName>
    <definedName name="LINCOLNTOTAL" localSheetId="0">#REF!</definedName>
    <definedName name="LINCOLNTOTAL" localSheetId="5">#REF!</definedName>
    <definedName name="LINCOLNTOTAL" localSheetId="4">#REF!</definedName>
    <definedName name="LINCOLNTOTAL">#REF!</definedName>
    <definedName name="LINCU204">[5]ATRUCK!$F$160:$V$160</definedName>
    <definedName name="LINCU231">[5]ATRUCK!$F$112:$V$112</definedName>
    <definedName name="LLCV" localSheetId="0">[4]ACARS!#REF!</definedName>
    <definedName name="LLCV" localSheetId="5">[4]ACARS!#REF!</definedName>
    <definedName name="LLCV" localSheetId="4">[4]ACARS!#REF!</definedName>
    <definedName name="LLCV">[4]ACARS!#REF!</definedName>
    <definedName name="LLW" localSheetId="0">[4]ACARS!#REF!</definedName>
    <definedName name="LLW" localSheetId="5">[4]ACARS!#REF!</definedName>
    <definedName name="LLW" localSheetId="4">[4]ACARS!#REF!</definedName>
    <definedName name="LLW">[4]ACARS!#REF!</definedName>
    <definedName name="LMCV" localSheetId="0">[4]ACARS!#REF!</definedName>
    <definedName name="LMCV" localSheetId="5">[4]ACARS!#REF!</definedName>
    <definedName name="LMCV" localSheetId="4">[4]ACARS!#REF!</definedName>
    <definedName name="LMCV">[4]ACARS!#REF!</definedName>
    <definedName name="LMW" localSheetId="0">[4]ACARS!#REF!</definedName>
    <definedName name="LMW" localSheetId="5">[4]ACARS!#REF!</definedName>
    <definedName name="LMW" localSheetId="4">[4]ACARS!#REF!</definedName>
    <definedName name="LMW">[4]ACARS!#REF!</definedName>
    <definedName name="LSCV" localSheetId="0">[4]ACARS!#REF!</definedName>
    <definedName name="LSCV" localSheetId="5">[4]ACARS!#REF!</definedName>
    <definedName name="LSCV" localSheetId="4">[4]ACARS!#REF!</definedName>
    <definedName name="LSCV">[4]ACARS!#REF!</definedName>
    <definedName name="LSUA">[5]ATRUCK!$F$366:$V$366</definedName>
    <definedName name="LSUDO">[5]ATRUCK!$F$364:$V$364</definedName>
    <definedName name="LSUE">[5]ATRUCK!$F$365:$V$365</definedName>
    <definedName name="LSUTOTAL" localSheetId="0">[5]ATRUCK!#REF!</definedName>
    <definedName name="LSUTOTAL" localSheetId="5">[5]ATRUCK!#REF!</definedName>
    <definedName name="LSUTOTAL" localSheetId="4">[5]ATRUCK!#REF!</definedName>
    <definedName name="LSUTOTAL">[5]ATRUCK!#REF!</definedName>
    <definedName name="LT2CP" localSheetId="0">[4]ACARS!#REF!</definedName>
    <definedName name="LT2CP" localSheetId="5">[4]ACARS!#REF!</definedName>
    <definedName name="LT2CP" localSheetId="4">[4]ACARS!#REF!</definedName>
    <definedName name="LT2CP">[4]ACARS!#REF!</definedName>
    <definedName name="LT2SD" localSheetId="0">[4]ACARS!#REF!</definedName>
    <definedName name="LT2SD" localSheetId="5">[4]ACARS!#REF!</definedName>
    <definedName name="LT2SD" localSheetId="4">[4]ACARS!#REF!</definedName>
    <definedName name="LT2SD">[4]ACARS!#REF!</definedName>
    <definedName name="LTW" localSheetId="0">[4]ACARS!#REF!</definedName>
    <definedName name="LTW" localSheetId="5">[4]ACARS!#REF!</definedName>
    <definedName name="LTW" localSheetId="4">[4]ACARS!#REF!</definedName>
    <definedName name="LTW">[4]ACARS!#REF!</definedName>
    <definedName name="MACCL" localSheetId="0">#REF!</definedName>
    <definedName name="MACCL" localSheetId="5">#REF!</definedName>
    <definedName name="MACCL" localSheetId="4">#REF!</definedName>
    <definedName name="MACCL">#REF!</definedName>
    <definedName name="MACINTEG_18AALL" localSheetId="0">#REF!</definedName>
    <definedName name="MACINTEG_18AALL" localSheetId="5">#REF!</definedName>
    <definedName name="MACINTEG_18AALL" localSheetId="4">#REF!</definedName>
    <definedName name="MACINTEG_18AALL">#REF!</definedName>
    <definedName name="MACNSX" localSheetId="0">#REF!</definedName>
    <definedName name="MACNSX" localSheetId="5">#REF!</definedName>
    <definedName name="MACNSX" localSheetId="4">#REF!</definedName>
    <definedName name="MACNSX">#REF!</definedName>
    <definedName name="MACRS" localSheetId="0">#REF!</definedName>
    <definedName name="MACRS" localSheetId="5">#REF!</definedName>
    <definedName name="MACRS" localSheetId="4">#REF!</definedName>
    <definedName name="MACRS">#REF!</definedName>
    <definedName name="MACSLX" localSheetId="0">#REF!</definedName>
    <definedName name="MACSLX" localSheetId="5">#REF!</definedName>
    <definedName name="MACSLX" localSheetId="4">#REF!</definedName>
    <definedName name="MACSLX">#REF!</definedName>
    <definedName name="MACURALEGALL" localSheetId="0">#REF!</definedName>
    <definedName name="MACURALEGALL" localSheetId="5">#REF!</definedName>
    <definedName name="MACURALEGALL" localSheetId="4">#REF!</definedName>
    <definedName name="MACURALEGALL">#REF!</definedName>
    <definedName name="MACURATLALL" localSheetId="0">#REF!</definedName>
    <definedName name="MACURATLALL" localSheetId="5">#REF!</definedName>
    <definedName name="MACURATLALL" localSheetId="4">#REF!</definedName>
    <definedName name="MACURATLALL">#REF!</definedName>
    <definedName name="MAUDI6ALL" localSheetId="0">#REF!</definedName>
    <definedName name="MAUDI6ALL" localSheetId="5">#REF!</definedName>
    <definedName name="MAUDI6ALL" localSheetId="4">#REF!</definedName>
    <definedName name="MAUDI6ALL">#REF!</definedName>
    <definedName name="MAUDIA4ALL" localSheetId="0">#REF!</definedName>
    <definedName name="MAUDIA4ALL" localSheetId="5">#REF!</definedName>
    <definedName name="MAUDIA4ALL" localSheetId="4">#REF!</definedName>
    <definedName name="MAUDIA4ALL">#REF!</definedName>
    <definedName name="MAUDIA8" localSheetId="0">#REF!</definedName>
    <definedName name="MAUDIA8" localSheetId="5">#REF!</definedName>
    <definedName name="MAUDIA8" localSheetId="4">#REF!</definedName>
    <definedName name="MAUDIA8">#REF!</definedName>
    <definedName name="MAUDIO200ALL" localSheetId="0">#REF!</definedName>
    <definedName name="MAUDIO200ALL" localSheetId="5">#REF!</definedName>
    <definedName name="MAUDIO200ALL" localSheetId="4">#REF!</definedName>
    <definedName name="MAUDIO200ALL">#REF!</definedName>
    <definedName name="MAUDIQUAT" localSheetId="0">#REF!</definedName>
    <definedName name="MAUDIQUAT" localSheetId="5">#REF!</definedName>
    <definedName name="MAUDIQUAT" localSheetId="4">#REF!</definedName>
    <definedName name="MAUDIQUAT">#REF!</definedName>
    <definedName name="MAUDITTSALL" localSheetId="0">#REF!</definedName>
    <definedName name="MAUDITTSALL" localSheetId="5">#REF!</definedName>
    <definedName name="MAUDITTSALL" localSheetId="4">#REF!</definedName>
    <definedName name="MAUDITTSALL">#REF!</definedName>
    <definedName name="MAZ626ALL" localSheetId="0">#REF!</definedName>
    <definedName name="MAZ626ALL" localSheetId="5">#REF!</definedName>
    <definedName name="MAZ626ALL" localSheetId="4">#REF!</definedName>
    <definedName name="MAZ626ALL">#REF!</definedName>
    <definedName name="MAZDATOTAL" localSheetId="0">#REF!</definedName>
    <definedName name="MAZDATOTAL" localSheetId="5">#REF!</definedName>
    <definedName name="MAZDATOTAL" localSheetId="4">#REF!</definedName>
    <definedName name="MAZDATOTAL">#REF!</definedName>
    <definedName name="MAZPROTEGEALL" localSheetId="0">#REF!</definedName>
    <definedName name="MAZPROTEGEALL" localSheetId="5">#REF!</definedName>
    <definedName name="MAZPROTEGEALL" localSheetId="4">#REF!</definedName>
    <definedName name="MAZPROTEGEALL">#REF!</definedName>
    <definedName name="MAZRX7ALL" localSheetId="0">#REF!</definedName>
    <definedName name="MAZRX7ALL" localSheetId="5">#REF!</definedName>
    <definedName name="MAZRX7ALL" localSheetId="4">#REF!</definedName>
    <definedName name="MAZRX7ALL">#REF!</definedName>
    <definedName name="MBANECAR" localSheetId="0">[4]ACARS!#REF!</definedName>
    <definedName name="MBANECAR" localSheetId="5">[4]ACARS!#REF!</definedName>
    <definedName name="MBANECAR" localSheetId="4">[4]ACARS!#REF!</definedName>
    <definedName name="MBANECAR">[4]ACARS!#REF!</definedName>
    <definedName name="MBCCLASSALL" localSheetId="0">#REF!</definedName>
    <definedName name="MBCCLASSALL" localSheetId="5">#REF!</definedName>
    <definedName name="MBCCLASSALL" localSheetId="4">#REF!</definedName>
    <definedName name="MBCCLASSALL">#REF!</definedName>
    <definedName name="MBCLKALL" localSheetId="0">#REF!</definedName>
    <definedName name="MBCLKALL" localSheetId="5">#REF!</definedName>
    <definedName name="MBCLKALL" localSheetId="4">#REF!</definedName>
    <definedName name="MBCLKALL">#REF!</definedName>
    <definedName name="MBECLASSALL" localSheetId="0">#REF!</definedName>
    <definedName name="MBECLASSALL" localSheetId="5">#REF!</definedName>
    <definedName name="MBECLASSALL" localSheetId="4">#REF!</definedName>
    <definedName name="MBECLASSALL">#REF!</definedName>
    <definedName name="MBKRIV" localSheetId="0">#REF!</definedName>
    <definedName name="MBKRIV" localSheetId="5">#REF!</definedName>
    <definedName name="MBKRIV" localSheetId="4">#REF!</definedName>
    <definedName name="MBKRIV">#REF!</definedName>
    <definedName name="MBKSUV" localSheetId="0">#REF!</definedName>
    <definedName name="MBKSUV" localSheetId="5">#REF!</definedName>
    <definedName name="MBKSUV" localSheetId="4">#REF!</definedName>
    <definedName name="MBKSUV">#REF!</definedName>
    <definedName name="MBMCLASS">[5]ATRUCK!$F$113:$V$113</definedName>
    <definedName name="MBMW_M3" localSheetId="0">#REF!</definedName>
    <definedName name="MBMW_M3" localSheetId="5">#REF!</definedName>
    <definedName name="MBMW_M3" localSheetId="4">#REF!</definedName>
    <definedName name="MBMW_M3">#REF!</definedName>
    <definedName name="MBMW2002" localSheetId="0">#REF!</definedName>
    <definedName name="MBMW2002" localSheetId="5">#REF!</definedName>
    <definedName name="MBMW2002" localSheetId="4">#REF!</definedName>
    <definedName name="MBMW2002">#REF!</definedName>
    <definedName name="MBMW3ALL" localSheetId="0">#REF!</definedName>
    <definedName name="MBMW3ALL" localSheetId="5">#REF!</definedName>
    <definedName name="MBMW3ALL" localSheetId="4">#REF!</definedName>
    <definedName name="MBMW3ALL">#REF!</definedName>
    <definedName name="MBMW5ALL" localSheetId="0">#REF!</definedName>
    <definedName name="MBMW5ALL" localSheetId="5">#REF!</definedName>
    <definedName name="MBMW5ALL" localSheetId="4">#REF!</definedName>
    <definedName name="MBMW5ALL">#REF!</definedName>
    <definedName name="MBMW7ALL" localSheetId="0">#REF!</definedName>
    <definedName name="MBMW7ALL" localSheetId="5">#REF!</definedName>
    <definedName name="MBMW7ALL" localSheetId="4">#REF!</definedName>
    <definedName name="MBMW7ALL">#REF!</definedName>
    <definedName name="MBMW8" localSheetId="0">#REF!</definedName>
    <definedName name="MBMW8" localSheetId="5">#REF!</definedName>
    <definedName name="MBMW8" localSheetId="4">#REF!</definedName>
    <definedName name="MBMW8">#REF!</definedName>
    <definedName name="MBMWE63ALL" localSheetId="0">#REF!</definedName>
    <definedName name="MBMWE63ALL" localSheetId="5">#REF!</definedName>
    <definedName name="MBMWE63ALL" localSheetId="4">#REF!</definedName>
    <definedName name="MBMWE63ALL">#REF!</definedName>
    <definedName name="MBMWEMV" localSheetId="0">#REF!</definedName>
    <definedName name="MBMWEMV" localSheetId="5">#REF!</definedName>
    <definedName name="MBMWEMV" localSheetId="4">#REF!</definedName>
    <definedName name="MBMWEMV">#REF!</definedName>
    <definedName name="MBMWZ3ALL" localSheetId="0">#REF!</definedName>
    <definedName name="MBMWZ3ALL" localSheetId="5">#REF!</definedName>
    <definedName name="MBMWZ3ALL" localSheetId="4">#REF!</definedName>
    <definedName name="MBMWZ3ALL">#REF!</definedName>
    <definedName name="MBMWZ7ALL" localSheetId="0">#REF!</definedName>
    <definedName name="MBMWZ7ALL" localSheetId="5">#REF!</definedName>
    <definedName name="MBMWZ7ALL" localSheetId="4">#REF!</definedName>
    <definedName name="MBMWZ7ALL">#REF!</definedName>
    <definedName name="MBSCLASSALL" localSheetId="0">#REF!</definedName>
    <definedName name="MBSCLASSALL" localSheetId="5">#REF!</definedName>
    <definedName name="MBSCLASSALL" localSheetId="4">#REF!</definedName>
    <definedName name="MBSCLASSALL">#REF!</definedName>
    <definedName name="MBUICKCENTALL" localSheetId="0">#REF!</definedName>
    <definedName name="MBUICKCENTALL" localSheetId="5">#REF!</definedName>
    <definedName name="MBUICKCENTALL" localSheetId="4">#REF!</definedName>
    <definedName name="MBUICKCENTALL">#REF!</definedName>
    <definedName name="MBUICKHAWKALL" localSheetId="0">#REF!</definedName>
    <definedName name="MBUICKHAWKALL" localSheetId="5">#REF!</definedName>
    <definedName name="MBUICKHAWKALL" localSheetId="4">#REF!</definedName>
    <definedName name="MBUICKHAWKALL">#REF!</definedName>
    <definedName name="MBUICKLESALL" localSheetId="0">#REF!</definedName>
    <definedName name="MBUICKLESALL" localSheetId="5">#REF!</definedName>
    <definedName name="MBUICKLESALL" localSheetId="4">#REF!</definedName>
    <definedName name="MBUICKLESALL">#REF!</definedName>
    <definedName name="MBUICKPARKALL" localSheetId="0">#REF!</definedName>
    <definedName name="MBUICKPARKALL" localSheetId="5">#REF!</definedName>
    <definedName name="MBUICKPARKALL" localSheetId="4">#REF!</definedName>
    <definedName name="MBUICKPARKALL">#REF!</definedName>
    <definedName name="MBUICKREATTAALL" localSheetId="0">#REF!</definedName>
    <definedName name="MBUICKREATTAALL" localSheetId="5">#REF!</definedName>
    <definedName name="MBUICKREATTAALL" localSheetId="4">#REF!</definedName>
    <definedName name="MBUICKREATTAALL">#REF!</definedName>
    <definedName name="MBUICKREGALALL" localSheetId="0">#REF!</definedName>
    <definedName name="MBUICKREGALALL" localSheetId="5">#REF!</definedName>
    <definedName name="MBUICKREGALALL" localSheetId="4">#REF!</definedName>
    <definedName name="MBUICKREGALALL">#REF!</definedName>
    <definedName name="MBUICKROADALL" localSheetId="0">#REF!</definedName>
    <definedName name="MBUICKROADALL" localSheetId="5">#REF!</definedName>
    <definedName name="MBUICKROADALL" localSheetId="4">#REF!</definedName>
    <definedName name="MBUICKROADALL">#REF!</definedName>
    <definedName name="MBUICKSKYLARKALL" localSheetId="0">#REF!</definedName>
    <definedName name="MBUICKSKYLARKALL" localSheetId="5">#REF!</definedName>
    <definedName name="MBUICKSKYLARKALL" localSheetId="4">#REF!</definedName>
    <definedName name="MBUICKSKYLARKALL">#REF!</definedName>
    <definedName name="MBYCLASS" localSheetId="0">[5]ATRUCK!#REF!</definedName>
    <definedName name="MBYCLASS" localSheetId="5">[5]ATRUCK!#REF!</definedName>
    <definedName name="MBYCLASS" localSheetId="4">[5]ATRUCK!#REF!</definedName>
    <definedName name="MBYCLASS">[5]ATRUCK!#REF!</definedName>
    <definedName name="MCADALL" localSheetId="0">#REF!</definedName>
    <definedName name="MCADALL" localSheetId="5">#REF!</definedName>
    <definedName name="MCADALL" localSheetId="4">#REF!</definedName>
    <definedName name="MCADALL">#REF!</definedName>
    <definedName name="MCADCAT" localSheetId="0">#REF!</definedName>
    <definedName name="MCADCAT" localSheetId="5">#REF!</definedName>
    <definedName name="MCADCAT" localSheetId="4">#REF!</definedName>
    <definedName name="MCADCAT">#REF!</definedName>
    <definedName name="MCADDILACDEVILLEALL" localSheetId="0">#REF!</definedName>
    <definedName name="MCADDILACDEVILLEALL" localSheetId="5">#REF!</definedName>
    <definedName name="MCADDILACDEVILLEALL" localSheetId="4">#REF!</definedName>
    <definedName name="MCADDILACDEVILLEALL">#REF!</definedName>
    <definedName name="MCADELDORADOALL" localSheetId="0">#REF!</definedName>
    <definedName name="MCADELDORADOALL" localSheetId="5">#REF!</definedName>
    <definedName name="MCADELDORADOALL" localSheetId="4">#REF!</definedName>
    <definedName name="MCADELDORADOALL">#REF!</definedName>
    <definedName name="MCADESCL" localSheetId="0">#REF!</definedName>
    <definedName name="MCADESCL" localSheetId="5">#REF!</definedName>
    <definedName name="MCADESCL" localSheetId="4">#REF!</definedName>
    <definedName name="MCADESCL">#REF!</definedName>
    <definedName name="MCADEVOQ" localSheetId="0">#REF!</definedName>
    <definedName name="MCADEVOQ" localSheetId="5">#REF!</definedName>
    <definedName name="MCADEVOQ" localSheetId="4">#REF!</definedName>
    <definedName name="MCADEVOQ">#REF!</definedName>
    <definedName name="MCADFLTWD" localSheetId="0">#REF!</definedName>
    <definedName name="MCADFLTWD" localSheetId="5">#REF!</definedName>
    <definedName name="MCADFLTWD" localSheetId="4">#REF!</definedName>
    <definedName name="MCADFLTWD">#REF!</definedName>
    <definedName name="MCADLAV" localSheetId="0">#REF!</definedName>
    <definedName name="MCADLAV" localSheetId="5">#REF!</definedName>
    <definedName name="MCADLAV" localSheetId="4">#REF!</definedName>
    <definedName name="MCADLAV">#REF!</definedName>
    <definedName name="MCADPU" localSheetId="0">#REF!</definedName>
    <definedName name="MCADPU" localSheetId="5">#REF!</definedName>
    <definedName name="MCADPU" localSheetId="4">#REF!</definedName>
    <definedName name="MCADPU">#REF!</definedName>
    <definedName name="MCADSEV" localSheetId="0">#REF!</definedName>
    <definedName name="MCADSEV" localSheetId="5">#REF!</definedName>
    <definedName name="MCADSEV" localSheetId="4">#REF!</definedName>
    <definedName name="MCADSEV">#REF!</definedName>
    <definedName name="MCHAVA" localSheetId="0">#REF!</definedName>
    <definedName name="MCHAVA" localSheetId="5">#REF!</definedName>
    <definedName name="MCHAVA" localSheetId="4">#REF!</definedName>
    <definedName name="MCHAVA">#REF!</definedName>
    <definedName name="MCHBLAZ4" localSheetId="0">#REF!</definedName>
    <definedName name="MCHBLAZ4" localSheetId="5">#REF!</definedName>
    <definedName name="MCHBLAZ4" localSheetId="4">#REF!</definedName>
    <definedName name="MCHBLAZ4">#REF!</definedName>
    <definedName name="MCHCAMAROALL" localSheetId="0">#REF!</definedName>
    <definedName name="MCHCAMAROALL" localSheetId="5">#REF!</definedName>
    <definedName name="MCHCAMAROALL" localSheetId="4">#REF!</definedName>
    <definedName name="MCHCAMAROALL">#REF!</definedName>
    <definedName name="MCHCAPRICALL" localSheetId="0">#REF!</definedName>
    <definedName name="MCHCAPRICALL" localSheetId="5">#REF!</definedName>
    <definedName name="MCHCAPRICALL" localSheetId="4">#REF!</definedName>
    <definedName name="MCHCAPRICALL">#REF!</definedName>
    <definedName name="MCHCAVALIERALL" localSheetId="0">#REF!</definedName>
    <definedName name="MCHCAVALIERALL" localSheetId="5">#REF!</definedName>
    <definedName name="MCHCAVALIERALL" localSheetId="4">#REF!</definedName>
    <definedName name="MCHCAVALIERALL">#REF!</definedName>
    <definedName name="MCHCELEBALL" localSheetId="0">#REF!</definedName>
    <definedName name="MCHCELEBALL" localSheetId="5">#REF!</definedName>
    <definedName name="MCHCELEBALL" localSheetId="4">#REF!</definedName>
    <definedName name="MCHCELEBALL">#REF!</definedName>
    <definedName name="MCHCORS_MALIBUALL" localSheetId="0">#REF!</definedName>
    <definedName name="MCHCORS_MALIBUALL" localSheetId="5">#REF!</definedName>
    <definedName name="MCHCORS_MALIBUALL" localSheetId="4">#REF!</definedName>
    <definedName name="MCHCORS_MALIBUALL">#REF!</definedName>
    <definedName name="MCHCORVETTEALL" localSheetId="0">#REF!</definedName>
    <definedName name="MCHCORVETTEALL" localSheetId="5">#REF!</definedName>
    <definedName name="MCHCORVETTEALL" localSheetId="4">#REF!</definedName>
    <definedName name="MCHCORVETTEALL">#REF!</definedName>
    <definedName name="MCHEVASTROALL" localSheetId="0">#REF!</definedName>
    <definedName name="MCHEVASTROALL" localSheetId="5">#REF!</definedName>
    <definedName name="MCHEVASTROALL" localSheetId="4">#REF!</definedName>
    <definedName name="MCHEVASTROALL">#REF!</definedName>
    <definedName name="MCHEVBLAZERALL" localSheetId="0">#REF!</definedName>
    <definedName name="MCHEVBLAZERALL" localSheetId="5">#REF!</definedName>
    <definedName name="MCHEVBLAZERALL" localSheetId="4">#REF!</definedName>
    <definedName name="MCHEVBLAZERALL">#REF!</definedName>
    <definedName name="MCHEVCK" localSheetId="0">#REF!</definedName>
    <definedName name="MCHEVCK" localSheetId="5">#REF!</definedName>
    <definedName name="MCHEVCK" localSheetId="4">#REF!</definedName>
    <definedName name="MCHEVCK">#REF!</definedName>
    <definedName name="MCHEVCKALL" localSheetId="0">#REF!</definedName>
    <definedName name="MCHEVCKALL" localSheetId="5">#REF!</definedName>
    <definedName name="MCHEVCKALL" localSheetId="4">#REF!</definedName>
    <definedName name="MCHEVCKALL">#REF!</definedName>
    <definedName name="MCHEVEXPALL" localSheetId="0">#REF!</definedName>
    <definedName name="MCHEVEXPALL" localSheetId="5">#REF!</definedName>
    <definedName name="MCHEVEXPALL" localSheetId="4">#REF!</definedName>
    <definedName name="MCHEVEXPALL">#REF!</definedName>
    <definedName name="MCHEVLUMCARALL" localSheetId="0">#REF!</definedName>
    <definedName name="MCHEVLUMCARALL" localSheetId="5">#REF!</definedName>
    <definedName name="MCHEVLUMCARALL" localSheetId="4">#REF!</definedName>
    <definedName name="MCHEVLUMCARALL">#REF!</definedName>
    <definedName name="MCHEVLUMINAALL" localSheetId="0">#REF!</definedName>
    <definedName name="MCHEVLUMINAALL" localSheetId="5">#REF!</definedName>
    <definedName name="MCHEVLUMINAALL" localSheetId="4">#REF!</definedName>
    <definedName name="MCHEVLUMINAALL">#REF!</definedName>
    <definedName name="MCHEVPRIZMALL" localSheetId="0">#REF!</definedName>
    <definedName name="MCHEVPRIZMALL" localSheetId="5">#REF!</definedName>
    <definedName name="MCHEVPRIZMALL" localSheetId="4">#REF!</definedName>
    <definedName name="MCHEVPRIZMALL">#REF!</definedName>
    <definedName name="MCHEVS10ALL" localSheetId="0">#REF!</definedName>
    <definedName name="MCHEVS10ALL" localSheetId="5">#REF!</definedName>
    <definedName name="MCHEVS10ALL" localSheetId="4">#REF!</definedName>
    <definedName name="MCHEVS10ALL">#REF!</definedName>
    <definedName name="MCHEVSILVER" localSheetId="0">#REF!</definedName>
    <definedName name="MCHEVSILVER" localSheetId="5">#REF!</definedName>
    <definedName name="MCHEVSILVER" localSheetId="4">#REF!</definedName>
    <definedName name="MCHEVSILVER">#REF!</definedName>
    <definedName name="MCHEVSUBURBAN" localSheetId="0">#REF!</definedName>
    <definedName name="MCHEVSUBURBAN" localSheetId="5">#REF!</definedName>
    <definedName name="MCHEVSUBURBAN" localSheetId="4">#REF!</definedName>
    <definedName name="MCHEVSUBURBAN">#REF!</definedName>
    <definedName name="MCHEVTAHOEALL" localSheetId="0">#REF!</definedName>
    <definedName name="MCHEVTAHOEALL" localSheetId="5">#REF!</definedName>
    <definedName name="MCHEVTAHOEALL" localSheetId="4">#REF!</definedName>
    <definedName name="MCHEVTAHOEALL">#REF!</definedName>
    <definedName name="MCHEVTRACKERALL" localSheetId="0">#REF!</definedName>
    <definedName name="MCHEVTRACKERALL" localSheetId="5">#REF!</definedName>
    <definedName name="MCHEVTRACKERALL" localSheetId="4">#REF!</definedName>
    <definedName name="MCHEVTRACKERALL">#REF!</definedName>
    <definedName name="MCHMETROALL" localSheetId="0">#REF!</definedName>
    <definedName name="MCHMETROALL" localSheetId="5">#REF!</definedName>
    <definedName name="MCHMETROALL" localSheetId="4">#REF!</definedName>
    <definedName name="MCHMETROALL">#REF!</definedName>
    <definedName name="MCHR300LHS" localSheetId="0">#REF!</definedName>
    <definedName name="MCHR300LHS" localSheetId="5">#REF!</definedName>
    <definedName name="MCHR300LHS" localSheetId="4">#REF!</definedName>
    <definedName name="MCHR300LHS">#REF!</definedName>
    <definedName name="MCHRCON" localSheetId="0">#REF!</definedName>
    <definedName name="MCHRCON" localSheetId="5">#REF!</definedName>
    <definedName name="MCHRCON" localSheetId="4">#REF!</definedName>
    <definedName name="MCHRCON">#REF!</definedName>
    <definedName name="MCHRCONQCP" localSheetId="0">#REF!</definedName>
    <definedName name="MCHRCONQCP" localSheetId="5">#REF!</definedName>
    <definedName name="MCHRCONQCP" localSheetId="4">#REF!</definedName>
    <definedName name="MCHRCONQCP">#REF!</definedName>
    <definedName name="MCHRIMP" localSheetId="0">#REF!</definedName>
    <definedName name="MCHRIMP" localSheetId="5">#REF!</definedName>
    <definedName name="MCHRIMP" localSheetId="4">#REF!</definedName>
    <definedName name="MCHRIMP">#REF!</definedName>
    <definedName name="MCHRNY" localSheetId="0">#REF!</definedName>
    <definedName name="MCHRNY" localSheetId="5">#REF!</definedName>
    <definedName name="MCHRNY" localSheetId="4">#REF!</definedName>
    <definedName name="MCHRNY">#REF!</definedName>
    <definedName name="MCHRNYLHSALL" localSheetId="0">#REF!</definedName>
    <definedName name="MCHRNYLHSALL" localSheetId="5">#REF!</definedName>
    <definedName name="MCHRNYLHSALL" localSheetId="4">#REF!</definedName>
    <definedName name="MCHRNYLHSALL">#REF!</definedName>
    <definedName name="MCHRSEB" localSheetId="0">#REF!</definedName>
    <definedName name="MCHRSEB" localSheetId="5">#REF!</definedName>
    <definedName name="MCHRSEB" localSheetId="4">#REF!</definedName>
    <definedName name="MCHRSEB">#REF!</definedName>
    <definedName name="MCHRTC" localSheetId="0">#REF!</definedName>
    <definedName name="MCHRTC" localSheetId="5">#REF!</definedName>
    <definedName name="MCHRTC" localSheetId="4">#REF!</definedName>
    <definedName name="MCHRTC">#REF!</definedName>
    <definedName name="MCHRYSEB_JXALL" localSheetId="0">#REF!</definedName>
    <definedName name="MCHRYSEB_JXALL" localSheetId="5">#REF!</definedName>
    <definedName name="MCHRYSEB_JXALL" localSheetId="4">#REF!</definedName>
    <definedName name="MCHRYSEB_JXALL">#REF!</definedName>
    <definedName name="MCHRYSLEBA_CIRRALL" localSheetId="0">#REF!</definedName>
    <definedName name="MCHRYSLEBA_CIRRALL" localSheetId="5">#REF!</definedName>
    <definedName name="MCHRYSLEBA_CIRRALL" localSheetId="4">#REF!</definedName>
    <definedName name="MCHRYSLEBA_CIRRALL">#REF!</definedName>
    <definedName name="MCHVMONTEALL" localSheetId="0">#REF!</definedName>
    <definedName name="MCHVMONTEALL" localSheetId="5">#REF!</definedName>
    <definedName name="MCHVMONTEALL" localSheetId="4">#REF!</definedName>
    <definedName name="MCHVMONTEALL">#REF!</definedName>
    <definedName name="MCHVSPECTRUMALL" localSheetId="0">#REF!</definedName>
    <definedName name="MCHVSPECTRUMALL" localSheetId="5">#REF!</definedName>
    <definedName name="MCHVSPECTRUMALL" localSheetId="4">#REF!</definedName>
    <definedName name="MCHVSPECTRUMALL">#REF!</definedName>
    <definedName name="MCHVSTORMALL" localSheetId="0">#REF!</definedName>
    <definedName name="MCHVSTORMALL" localSheetId="5">#REF!</definedName>
    <definedName name="MCHVSTORMALL" localSheetId="4">#REF!</definedName>
    <definedName name="MCHVSTORMALL">#REF!</definedName>
    <definedName name="MCRYPT" localSheetId="0">#REF!</definedName>
    <definedName name="MCRYPT" localSheetId="5">#REF!</definedName>
    <definedName name="MCRYPT" localSheetId="4">#REF!</definedName>
    <definedName name="MCRYPT">#REF!</definedName>
    <definedName name="MCRYTC" localSheetId="0">#REF!</definedName>
    <definedName name="MCRYTC" localSheetId="5">#REF!</definedName>
    <definedName name="MCRYTC" localSheetId="4">#REF!</definedName>
    <definedName name="MCRYTC">#REF!</definedName>
    <definedName name="MCRYVOY" localSheetId="0">#REF!</definedName>
    <definedName name="MCRYVOY" localSheetId="5">#REF!</definedName>
    <definedName name="MCRYVOY" localSheetId="4">#REF!</definedName>
    <definedName name="MCRYVOY">#REF!</definedName>
    <definedName name="MCVBERETT" localSheetId="0">#REF!</definedName>
    <definedName name="MCVBERETT" localSheetId="5">#REF!</definedName>
    <definedName name="MCVBERETT" localSheetId="4">#REF!</definedName>
    <definedName name="MCVBERETT">#REF!</definedName>
    <definedName name="MCVSILVER" localSheetId="0">#REF!</definedName>
    <definedName name="MCVSILVER" localSheetId="5">#REF!</definedName>
    <definedName name="MCVSILVER" localSheetId="4">#REF!</definedName>
    <definedName name="MCVSILVER">#REF!</definedName>
    <definedName name="MDAELANOSALL" localSheetId="0">#REF!</definedName>
    <definedName name="MDAELANOSALL" localSheetId="5">#REF!</definedName>
    <definedName name="MDAELANOSALL" localSheetId="4">#REF!</definedName>
    <definedName name="MDAELANOSALL">#REF!</definedName>
    <definedName name="MDAICHARADEALL" localSheetId="0">#REF!</definedName>
    <definedName name="MDAICHARADEALL" localSheetId="5">#REF!</definedName>
    <definedName name="MDAICHARADEALL" localSheetId="4">#REF!</definedName>
    <definedName name="MDAICHARADEALL">#REF!</definedName>
    <definedName name="MDAIROCKY" localSheetId="0">#REF!</definedName>
    <definedName name="MDAIROCKY" localSheetId="5">#REF!</definedName>
    <definedName name="MDAIROCKY" localSheetId="4">#REF!</definedName>
    <definedName name="MDAIROCKY">#REF!</definedName>
    <definedName name="MDDG50ALL" localSheetId="0">#REF!</definedName>
    <definedName name="MDDG50ALL" localSheetId="5">#REF!</definedName>
    <definedName name="MDDG50ALL" localSheetId="4">#REF!</definedName>
    <definedName name="MDDG50ALL">#REF!</definedName>
    <definedName name="MDDGCARAVANALL" localSheetId="0">#REF!</definedName>
    <definedName name="MDDGCARAVANALL" localSheetId="5">#REF!</definedName>
    <definedName name="MDDGCARAVANALL" localSheetId="4">#REF!</definedName>
    <definedName name="MDDGCARAVANALL">#REF!</definedName>
    <definedName name="MDDGDAKOTAALL" localSheetId="0">#REF!</definedName>
    <definedName name="MDDGDAKOTAALL" localSheetId="5">#REF!</definedName>
    <definedName name="MDDGDAKOTAALL" localSheetId="4">#REF!</definedName>
    <definedName name="MDDGDAKOTAALL">#REF!</definedName>
    <definedName name="MDDGDURANGO" localSheetId="0">#REF!</definedName>
    <definedName name="MDDGDURANGO" localSheetId="5">#REF!</definedName>
    <definedName name="MDDGDURANGO" localSheetId="4">#REF!</definedName>
    <definedName name="MDDGDURANGO">#REF!</definedName>
    <definedName name="MDDGRAIDERALL" localSheetId="0">#REF!</definedName>
    <definedName name="MDDGRAIDERALL" localSheetId="5">#REF!</definedName>
    <definedName name="MDDGRAIDERALL" localSheetId="4">#REF!</definedName>
    <definedName name="MDDGRAIDERALL">#REF!</definedName>
    <definedName name="MDDGRAMCHARGER" localSheetId="0">#REF!</definedName>
    <definedName name="MDDGRAMCHARGER" localSheetId="5">#REF!</definedName>
    <definedName name="MDDGRAMCHARGER" localSheetId="4">#REF!</definedName>
    <definedName name="MDDGRAMCHARGER">#REF!</definedName>
    <definedName name="MDDGRAMPUALL" localSheetId="0">#REF!</definedName>
    <definedName name="MDDGRAMPUALL" localSheetId="5">#REF!</definedName>
    <definedName name="MDDGRAMPUALL" localSheetId="4">#REF!</definedName>
    <definedName name="MDDGRAMPUALL">#REF!</definedName>
    <definedName name="MDDGRAMVANALL" localSheetId="0">#REF!</definedName>
    <definedName name="MDDGRAMVANALL" localSheetId="5">#REF!</definedName>
    <definedName name="MDDGRAMVANALL" localSheetId="4">#REF!</definedName>
    <definedName name="MDDGRAMVANALL">#REF!</definedName>
    <definedName name="MDGDAKOTA4NU" localSheetId="0">#REF!</definedName>
    <definedName name="MDGDAKOTA4NU" localSheetId="5">#REF!</definedName>
    <definedName name="MDGDAKOTA4NU" localSheetId="4">#REF!</definedName>
    <definedName name="MDGDAKOTA4NU">#REF!</definedName>
    <definedName name="MDODCOLTALL" localSheetId="0">#REF!</definedName>
    <definedName name="MDODCOLTALL" localSheetId="5">#REF!</definedName>
    <definedName name="MDODCOLTALL" localSheetId="4">#REF!</definedName>
    <definedName name="MDODCOLTALL">#REF!</definedName>
    <definedName name="MDODINTRALL" localSheetId="0">#REF!</definedName>
    <definedName name="MDODINTRALL" localSheetId="5">#REF!</definedName>
    <definedName name="MDODINTRALL" localSheetId="4">#REF!</definedName>
    <definedName name="MDODINTRALL">#REF!</definedName>
    <definedName name="MDODNEON_SHADALL" localSheetId="0">#REF!</definedName>
    <definedName name="MDODNEON_SHADALL" localSheetId="5">#REF!</definedName>
    <definedName name="MDODNEON_SHADALL" localSheetId="4">#REF!</definedName>
    <definedName name="MDODNEON_SHADALL">#REF!</definedName>
    <definedName name="MDODSPIRIT_STRATALL" localSheetId="0">#REF!</definedName>
    <definedName name="MDODSPIRIT_STRATALL" localSheetId="5">#REF!</definedName>
    <definedName name="MDODSPIRIT_STRATALL" localSheetId="4">#REF!</definedName>
    <definedName name="MDODSPIRIT_STRATALL">#REF!</definedName>
    <definedName name="MDODVIPERALL" localSheetId="0">#REF!</definedName>
    <definedName name="MDODVIPERALL" localSheetId="5">#REF!</definedName>
    <definedName name="MDODVIPERALL" localSheetId="4">#REF!</definedName>
    <definedName name="MDODVIPERALL">#REF!</definedName>
    <definedName name="MDOGAVENG" localSheetId="0">#REF!</definedName>
    <definedName name="MDOGAVENG" localSheetId="5">#REF!</definedName>
    <definedName name="MDOGAVENG" localSheetId="4">#REF!</definedName>
    <definedName name="MDOGAVENG">#REF!</definedName>
    <definedName name="MDOGCOLTVW" localSheetId="0">#REF!</definedName>
    <definedName name="MDOGCOLTVW" localSheetId="5">#REF!</definedName>
    <definedName name="MDOGCOLTVW" localSheetId="4">#REF!</definedName>
    <definedName name="MDOGCOLTVW">#REF!</definedName>
    <definedName name="MDOGDAYTONA" localSheetId="0">#REF!</definedName>
    <definedName name="MDOGDAYTONA" localSheetId="5">#REF!</definedName>
    <definedName name="MDOGDAYTONA" localSheetId="4">#REF!</definedName>
    <definedName name="MDOGDAYTONA">#REF!</definedName>
    <definedName name="MDOGDIP" localSheetId="0">#REF!</definedName>
    <definedName name="MDOGDIP" localSheetId="5">#REF!</definedName>
    <definedName name="MDOGDIP" localSheetId="4">#REF!</definedName>
    <definedName name="MDOGDIP">#REF!</definedName>
    <definedName name="MDOGDYN" localSheetId="0">#REF!</definedName>
    <definedName name="MDOGDYN" localSheetId="5">#REF!</definedName>
    <definedName name="MDOGDYN" localSheetId="4">#REF!</definedName>
    <definedName name="MDOGDYN">#REF!</definedName>
    <definedName name="MDOGLAN" localSheetId="0">#REF!</definedName>
    <definedName name="MDOGLAN" localSheetId="5">#REF!</definedName>
    <definedName name="MDOGLAN" localSheetId="4">#REF!</definedName>
    <definedName name="MDOGLAN">#REF!</definedName>
    <definedName name="MDOGOMNI" localSheetId="0">#REF!</definedName>
    <definedName name="MDOGOMNI" localSheetId="5">#REF!</definedName>
    <definedName name="MDOGOMNI" localSheetId="4">#REF!</definedName>
    <definedName name="MDOGOMNI">#REF!</definedName>
    <definedName name="MDOGSTLTH" localSheetId="0">#REF!</definedName>
    <definedName name="MDOGSTLTH" localSheetId="5">#REF!</definedName>
    <definedName name="MDOGSTLTH" localSheetId="4">#REF!</definedName>
    <definedName name="MDOGSTLTH">#REF!</definedName>
    <definedName name="MDW100P" localSheetId="0">#REF!</definedName>
    <definedName name="MDW100P" localSheetId="5">#REF!</definedName>
    <definedName name="MDW100P" localSheetId="4">#REF!</definedName>
    <definedName name="MDW100P">#REF!</definedName>
    <definedName name="MDWESPERO" localSheetId="0">#REF!</definedName>
    <definedName name="MDWESPERO" localSheetId="5">#REF!</definedName>
    <definedName name="MDWESPERO" localSheetId="4">#REF!</definedName>
    <definedName name="MDWESPERO">#REF!</definedName>
    <definedName name="MDWKORANDO" localSheetId="0">#REF!</definedName>
    <definedName name="MDWKORANDO" localSheetId="5">#REF!</definedName>
    <definedName name="MDWKORANDO" localSheetId="4">#REF!</definedName>
    <definedName name="MDWKORANDO">#REF!</definedName>
    <definedName name="MDWNUBALL" localSheetId="0">#REF!</definedName>
    <definedName name="MDWNUBALL" localSheetId="5">#REF!</definedName>
    <definedName name="MDWNUBALL" localSheetId="4">#REF!</definedName>
    <definedName name="MDWNUBALL">#REF!</definedName>
    <definedName name="MEGGTALON" localSheetId="0">#REF!</definedName>
    <definedName name="MEGGTALON" localSheetId="5">#REF!</definedName>
    <definedName name="MEGGTALON" localSheetId="4">#REF!</definedName>
    <definedName name="MEGGTALON">#REF!</definedName>
    <definedName name="MEGLMEDALL" localSheetId="0">#REF!</definedName>
    <definedName name="MEGLMEDALL" localSheetId="5">#REF!</definedName>
    <definedName name="MEGLMEDALL" localSheetId="4">#REF!</definedName>
    <definedName name="MEGLMEDALL">#REF!</definedName>
    <definedName name="MEGLPREM_VISALL" localSheetId="0">#REF!</definedName>
    <definedName name="MEGLPREM_VISALL" localSheetId="5">#REF!</definedName>
    <definedName name="MEGLPREM_VISALL" localSheetId="4">#REF!</definedName>
    <definedName name="MEGLPREM_VISALL">#REF!</definedName>
    <definedName name="MEGLSUMMITALL" localSheetId="0">#REF!</definedName>
    <definedName name="MEGLSUMMITALL" localSheetId="5">#REF!</definedName>
    <definedName name="MEGLSUMMITALL" localSheetId="4">#REF!</definedName>
    <definedName name="MEGLSUMMITALL">#REF!</definedName>
    <definedName name="MEGLSUMW" localSheetId="0">#REF!</definedName>
    <definedName name="MEGLSUMW" localSheetId="5">#REF!</definedName>
    <definedName name="MEGLSUMW" localSheetId="4">#REF!</definedName>
    <definedName name="MEGLSUMW">#REF!</definedName>
    <definedName name="MERCC212">[5]ATRUCK!$F$176:$V$176</definedName>
    <definedName name="MERCD219">[5]ATRUCK!$F$130:$V$130</definedName>
    <definedName name="MERCEDES_BENZTOTAL" localSheetId="0">#REF!</definedName>
    <definedName name="MERCEDES_BENZTOTAL" localSheetId="5">#REF!</definedName>
    <definedName name="MERCEDES_BENZTOTAL" localSheetId="4">#REF!</definedName>
    <definedName name="MERCEDES_BENZTOTAL">#REF!</definedName>
    <definedName name="MERCMOUNT">[5]ATRUCK!$F$161:$V$161</definedName>
    <definedName name="MERCMYSTIQUE4ALL" localSheetId="0">#REF!</definedName>
    <definedName name="MERCMYSTIQUE4ALL" localSheetId="5">#REF!</definedName>
    <definedName name="MERCMYSTIQUE4ALL" localSheetId="4">#REF!</definedName>
    <definedName name="MERCMYSTIQUE4ALL">#REF!</definedName>
    <definedName name="MERCOUGARALL" localSheetId="0">#REF!</definedName>
    <definedName name="MERCOUGARALL" localSheetId="5">#REF!</definedName>
    <definedName name="MERCOUGARALL" localSheetId="4">#REF!</definedName>
    <definedName name="MERCOUGARALL">#REF!</definedName>
    <definedName name="MERCTOPAZALL" localSheetId="0">#REF!</definedName>
    <definedName name="MERCTOPAZALL" localSheetId="5">#REF!</definedName>
    <definedName name="MERCTOPAZALL" localSheetId="4">#REF!</definedName>
    <definedName name="MERCTOPAZALL">#REF!</definedName>
    <definedName name="MERCURYTOTAL" localSheetId="0">#REF!</definedName>
    <definedName name="MERCURYTOTAL" localSheetId="5">#REF!</definedName>
    <definedName name="MERCURYTOTAL" localSheetId="4">#REF!</definedName>
    <definedName name="MERCURYTOTAL">#REF!</definedName>
    <definedName name="MERCVILLP">[5]ATRUCK!$F$59:$V$59</definedName>
    <definedName name="MERKURTOTAL" localSheetId="0">#REF!</definedName>
    <definedName name="MERKURTOTAL" localSheetId="5">#REF!</definedName>
    <definedName name="MERKURTOTAL" localSheetId="4">#REF!</definedName>
    <definedName name="MERKURTOTAL">#REF!</definedName>
    <definedName name="MERMARQALL" localSheetId="0">#REF!</definedName>
    <definedName name="MERMARQALL" localSheetId="5">#REF!</definedName>
    <definedName name="MERMARQALL" localSheetId="4">#REF!</definedName>
    <definedName name="MERMARQALL">#REF!</definedName>
    <definedName name="MERSABLEALL" localSheetId="0">#REF!</definedName>
    <definedName name="MERSABLEALL" localSheetId="5">#REF!</definedName>
    <definedName name="MERSABLEALL" localSheetId="4">#REF!</definedName>
    <definedName name="MERSABLEALL">#REF!</definedName>
    <definedName name="MERTRACERALL" localSheetId="0">#REF!</definedName>
    <definedName name="MERTRACERALL" localSheetId="5">#REF!</definedName>
    <definedName name="MERTRACERALL" localSheetId="4">#REF!</definedName>
    <definedName name="MERTRACERALL">#REF!</definedName>
    <definedName name="MFDAEROALL" localSheetId="0">#REF!</definedName>
    <definedName name="MFDAEROALL" localSheetId="5">#REF!</definedName>
    <definedName name="MFDAEROALL" localSheetId="4">#REF!</definedName>
    <definedName name="MFDAEROALL">#REF!</definedName>
    <definedName name="MFDASPIREALL" localSheetId="0">#REF!</definedName>
    <definedName name="MFDASPIREALL" localSheetId="5">#REF!</definedName>
    <definedName name="MFDASPIREALL" localSheetId="4">#REF!</definedName>
    <definedName name="MFDASPIREALL">#REF!</definedName>
    <definedName name="MFDBRONCEXPED" localSheetId="0">#REF!</definedName>
    <definedName name="MFDBRONCEXPED" localSheetId="5">#REF!</definedName>
    <definedName name="MFDBRONCEXPED" localSheetId="4">#REF!</definedName>
    <definedName name="MFDBRONCEXPED">#REF!</definedName>
    <definedName name="MFDCRWNVICALL" localSheetId="0">#REF!</definedName>
    <definedName name="MFDCRWNVICALL" localSheetId="5">#REF!</definedName>
    <definedName name="MFDCRWNVICALL" localSheetId="4">#REF!</definedName>
    <definedName name="MFDCRWNVICALL">#REF!</definedName>
    <definedName name="MFDECONCLUB" localSheetId="0">#REF!</definedName>
    <definedName name="MFDECONCLUB" localSheetId="5">#REF!</definedName>
    <definedName name="MFDECONCLUB" localSheetId="4">#REF!</definedName>
    <definedName name="MFDECONCLUB">#REF!</definedName>
    <definedName name="MFDESCORTALL" localSheetId="0">#REF!</definedName>
    <definedName name="MFDESCORTALL" localSheetId="5">#REF!</definedName>
    <definedName name="MFDESCORTALL" localSheetId="4">#REF!</definedName>
    <definedName name="MFDESCORTALL">#REF!</definedName>
    <definedName name="MFDEXCUR" localSheetId="0">#REF!</definedName>
    <definedName name="MFDEXCUR" localSheetId="5">#REF!</definedName>
    <definedName name="MFDEXCUR" localSheetId="4">#REF!</definedName>
    <definedName name="MFDEXCUR">#REF!</definedName>
    <definedName name="MFDEXPLORALL" localSheetId="0">#REF!</definedName>
    <definedName name="MFDEXPLORALL" localSheetId="5">#REF!</definedName>
    <definedName name="MFDEXPLORALL" localSheetId="4">#REF!</definedName>
    <definedName name="MFDEXPLORALL">#REF!</definedName>
    <definedName name="MFDFHVY" localSheetId="0">#REF!</definedName>
    <definedName name="MFDFHVY" localSheetId="5">#REF!</definedName>
    <definedName name="MFDFHVY" localSheetId="4">#REF!</definedName>
    <definedName name="MFDFHVY">#REF!</definedName>
    <definedName name="MFDFLT" localSheetId="0">#REF!</definedName>
    <definedName name="MFDFLT" localSheetId="5">#REF!</definedName>
    <definedName name="MFDFLT" localSheetId="4">#REF!</definedName>
    <definedName name="MFDFLT">#REF!</definedName>
    <definedName name="MFDFOCUSALL" localSheetId="0">#REF!</definedName>
    <definedName name="MFDFOCUSALL" localSheetId="5">#REF!</definedName>
    <definedName name="MFDFOCUSALL" localSheetId="4">#REF!</definedName>
    <definedName name="MFDFOCUSALL">#REF!</definedName>
    <definedName name="MFDFSERIES" localSheetId="0">#REF!</definedName>
    <definedName name="MFDFSERIES" localSheetId="5">#REF!</definedName>
    <definedName name="MFDFSERIES" localSheetId="4">#REF!</definedName>
    <definedName name="MFDFSERIES">#REF!</definedName>
    <definedName name="MFDMUSTANGALL" localSheetId="0">#REF!</definedName>
    <definedName name="MFDMUSTANGALL" localSheetId="5">#REF!</definedName>
    <definedName name="MFDMUSTANGALL" localSheetId="4">#REF!</definedName>
    <definedName name="MFDMUSTANGALL">#REF!</definedName>
    <definedName name="MFDP225X" localSheetId="0">#REF!</definedName>
    <definedName name="MFDP225X" localSheetId="5">#REF!</definedName>
    <definedName name="MFDP225X" localSheetId="4">#REF!</definedName>
    <definedName name="MFDP225X">#REF!</definedName>
    <definedName name="MFDPB" localSheetId="0">#REF!</definedName>
    <definedName name="MFDPB" localSheetId="5">#REF!</definedName>
    <definedName name="MFDPB" localSheetId="4">#REF!</definedName>
    <definedName name="MFDPB">#REF!</definedName>
    <definedName name="MFDRANGER4" localSheetId="0">#REF!</definedName>
    <definedName name="MFDRANGER4" localSheetId="5">#REF!</definedName>
    <definedName name="MFDRANGER4" localSheetId="4">#REF!</definedName>
    <definedName name="MFDRANGER4">#REF!</definedName>
    <definedName name="MFDRANGERALL" localSheetId="0">#REF!</definedName>
    <definedName name="MFDRANGERALL" localSheetId="5">#REF!</definedName>
    <definedName name="MFDRANGERALL" localSheetId="4">#REF!</definedName>
    <definedName name="MFDRANGERALL">#REF!</definedName>
    <definedName name="MFDTAURUSALL" localSheetId="0">#REF!</definedName>
    <definedName name="MFDTAURUSALL" localSheetId="5">#REF!</definedName>
    <definedName name="MFDTAURUSALL" localSheetId="4">#REF!</definedName>
    <definedName name="MFDTAURUSALL">#REF!</definedName>
    <definedName name="MFDTBIRDALL" localSheetId="0">#REF!</definedName>
    <definedName name="MFDTBIRDALL" localSheetId="5">#REF!</definedName>
    <definedName name="MFDTBIRDALL" localSheetId="4">#REF!</definedName>
    <definedName name="MFDTBIRDALL">#REF!</definedName>
    <definedName name="MFDTEMPOALL" localSheetId="0">#REF!</definedName>
    <definedName name="MFDTEMPOALL" localSheetId="5">#REF!</definedName>
    <definedName name="MFDTEMPOALL" localSheetId="4">#REF!</definedName>
    <definedName name="MFDTEMPOALL">#REF!</definedName>
    <definedName name="MFDU204" localSheetId="0">#REF!</definedName>
    <definedName name="MFDU204" localSheetId="5">#REF!</definedName>
    <definedName name="MFDU204" localSheetId="4">#REF!</definedName>
    <definedName name="MFDU204">#REF!</definedName>
    <definedName name="MFDU207" localSheetId="0">#REF!</definedName>
    <definedName name="MFDU207" localSheetId="5">#REF!</definedName>
    <definedName name="MFDU207" localSheetId="4">#REF!</definedName>
    <definedName name="MFDU207">#REF!</definedName>
    <definedName name="MFDU221ALL" localSheetId="0">#REF!</definedName>
    <definedName name="MFDU221ALL" localSheetId="5">#REF!</definedName>
    <definedName name="MFDU221ALL" localSheetId="4">#REF!</definedName>
    <definedName name="MFDU221ALL">#REF!</definedName>
    <definedName name="MFDWIND" localSheetId="0">#REF!</definedName>
    <definedName name="MFDWIND" localSheetId="5">#REF!</definedName>
    <definedName name="MFDWIND" localSheetId="4">#REF!</definedName>
    <definedName name="MFDWIND">#REF!</definedName>
    <definedName name="MFGTTOTAL" localSheetId="0">#REF!</definedName>
    <definedName name="MFGTTOTAL" localSheetId="5">#REF!</definedName>
    <definedName name="MFGTTOTAL" localSheetId="4">#REF!</definedName>
    <definedName name="MFGTTOTAL">#REF!</definedName>
    <definedName name="MGMCDENALI" localSheetId="0">#REF!</definedName>
    <definedName name="MGMCDENALI" localSheetId="5">#REF!</definedName>
    <definedName name="MGMCDENALI" localSheetId="4">#REF!</definedName>
    <definedName name="MGMCDENALI">#REF!</definedName>
    <definedName name="MGMCENVWAR" localSheetId="0">#REF!</definedName>
    <definedName name="MGMCENVWAR" localSheetId="5">#REF!</definedName>
    <definedName name="MGMCENVWAR" localSheetId="4">#REF!</definedName>
    <definedName name="MGMCENVWAR">#REF!</definedName>
    <definedName name="MGMCJIMMY" localSheetId="0">#REF!</definedName>
    <definedName name="MGMCJIMMY" localSheetId="5">#REF!</definedName>
    <definedName name="MGMCJIMMY" localSheetId="4">#REF!</definedName>
    <definedName name="MGMCJIMMY">#REF!</definedName>
    <definedName name="MGMCSAFARI" localSheetId="0">#REF!</definedName>
    <definedName name="MGMCSAFARI" localSheetId="5">#REF!</definedName>
    <definedName name="MGMCSAFARI" localSheetId="4">#REF!</definedName>
    <definedName name="MGMCSAFARI">#REF!</definedName>
    <definedName name="MGMCSAVANA" localSheetId="0">#REF!</definedName>
    <definedName name="MGMCSAVANA" localSheetId="5">#REF!</definedName>
    <definedName name="MGMCSAVANA" localSheetId="4">#REF!</definedName>
    <definedName name="MGMCSAVANA">#REF!</definedName>
    <definedName name="MGMCSEIRRA" localSheetId="0">#REF!</definedName>
    <definedName name="MGMCSEIRRA" localSheetId="5">#REF!</definedName>
    <definedName name="MGMCSEIRRA" localSheetId="4">#REF!</definedName>
    <definedName name="MGMCSEIRRA">#REF!</definedName>
    <definedName name="MGMCSIERRA" localSheetId="0">#REF!</definedName>
    <definedName name="MGMCSIERRA" localSheetId="5">#REF!</definedName>
    <definedName name="MGMCSIERRA" localSheetId="4">#REF!</definedName>
    <definedName name="MGMCSIERRA">#REF!</definedName>
    <definedName name="MGMCSONOMA" localSheetId="0">#REF!</definedName>
    <definedName name="MGMCSONOMA" localSheetId="5">#REF!</definedName>
    <definedName name="MGMCSONOMA" localSheetId="4">#REF!</definedName>
    <definedName name="MGMCSONOMA">#REF!</definedName>
    <definedName name="MGMCSUB" localSheetId="0">#REF!</definedName>
    <definedName name="MGMCSUB" localSheetId="5">#REF!</definedName>
    <definedName name="MGMCSUB" localSheetId="4">#REF!</definedName>
    <definedName name="MGMCSUB">#REF!</definedName>
    <definedName name="MGMCYUK" localSheetId="0">#REF!</definedName>
    <definedName name="MGMCYUK" localSheetId="5">#REF!</definedName>
    <definedName name="MGMCYUK" localSheetId="4">#REF!</definedName>
    <definedName name="MGMCYUK">#REF!</definedName>
    <definedName name="MGMCYUKON" localSheetId="0">#REF!</definedName>
    <definedName name="MGMCYUKON" localSheetId="5">#REF!</definedName>
    <definedName name="MGMCYUKON" localSheetId="4">#REF!</definedName>
    <definedName name="MGMCYUKON">#REF!</definedName>
    <definedName name="MGNCSIERRACLASSIC" localSheetId="0">#REF!</definedName>
    <definedName name="MGNCSIERRACLASSIC" localSheetId="5">#REF!</definedName>
    <definedName name="MGNCSIERRACLASSIC" localSheetId="4">#REF!</definedName>
    <definedName name="MGNCSIERRACLASSIC">#REF!</definedName>
    <definedName name="MH2CP" localSheetId="0">[4]ACARS!#REF!</definedName>
    <definedName name="MH2CP" localSheetId="5">[4]ACARS!#REF!</definedName>
    <definedName name="MH2CP" localSheetId="4">[4]ACARS!#REF!</definedName>
    <definedName name="MH2CP">[4]ACARS!#REF!</definedName>
    <definedName name="MH2SD" localSheetId="0">[4]ACARS!#REF!</definedName>
    <definedName name="MH2SD" localSheetId="5">[4]ACARS!#REF!</definedName>
    <definedName name="MH2SD" localSheetId="4">[4]ACARS!#REF!</definedName>
    <definedName name="MH2SD">[4]ACARS!#REF!</definedName>
    <definedName name="MH2SU" localSheetId="0">[5]ATRUCK!#REF!</definedName>
    <definedName name="MH2SU" localSheetId="5">[5]ATRUCK!#REF!</definedName>
    <definedName name="MH2SU" localSheetId="4">[5]ATRUCK!#REF!</definedName>
    <definedName name="MH2SU">[5]ATRUCK!#REF!</definedName>
    <definedName name="MH4SU" localSheetId="0">[5]ATRUCK!#REF!</definedName>
    <definedName name="MH4SU" localSheetId="5">[5]ATRUCK!#REF!</definedName>
    <definedName name="MH4SU" localSheetId="4">[5]ATRUCK!#REF!</definedName>
    <definedName name="MH4SU">[5]ATRUCK!#REF!</definedName>
    <definedName name="MHCV" localSheetId="0">[4]ACARS!#REF!</definedName>
    <definedName name="MHCV" localSheetId="5">[4]ACARS!#REF!</definedName>
    <definedName name="MHCV" localSheetId="4">[4]ACARS!#REF!</definedName>
    <definedName name="MHCV">[4]ACARS!#REF!</definedName>
    <definedName name="MHONACCORDALL" localSheetId="0">#REF!</definedName>
    <definedName name="MHONACCORDALL" localSheetId="5">#REF!</definedName>
    <definedName name="MHONACCORDALL" localSheetId="4">#REF!</definedName>
    <definedName name="MHONACCORDALL">#REF!</definedName>
    <definedName name="MHONCIVICALL" localSheetId="0">#REF!</definedName>
    <definedName name="MHONCIVICALL" localSheetId="5">#REF!</definedName>
    <definedName name="MHONCIVICALL" localSheetId="4">#REF!</definedName>
    <definedName name="MHONCIVICALL">#REF!</definedName>
    <definedName name="MHONCIVICDELSOLALL" localSheetId="0">#REF!</definedName>
    <definedName name="MHONCIVICDELSOLALL" localSheetId="5">#REF!</definedName>
    <definedName name="MHONCIVICDELSOLALL" localSheetId="4">#REF!</definedName>
    <definedName name="MHONCIVICDELSOLALL">#REF!</definedName>
    <definedName name="MHONCRV" localSheetId="0">#REF!</definedName>
    <definedName name="MHONCRV" localSheetId="5">#REF!</definedName>
    <definedName name="MHONCRV" localSheetId="4">#REF!</definedName>
    <definedName name="MHONCRV">#REF!</definedName>
    <definedName name="MHONEV" localSheetId="0">#REF!</definedName>
    <definedName name="MHONEV" localSheetId="5">#REF!</definedName>
    <definedName name="MHONEV" localSheetId="4">#REF!</definedName>
    <definedName name="MHONEV">#REF!</definedName>
    <definedName name="MHONMAV" localSheetId="0">#REF!</definedName>
    <definedName name="MHONMAV" localSheetId="5">#REF!</definedName>
    <definedName name="MHONMAV" localSheetId="4">#REF!</definedName>
    <definedName name="MHONMAV">#REF!</definedName>
    <definedName name="MHONODYP" localSheetId="0">#REF!</definedName>
    <definedName name="MHONODYP" localSheetId="5">#REF!</definedName>
    <definedName name="MHONODYP" localSheetId="4">#REF!</definedName>
    <definedName name="MHONODYP">#REF!</definedName>
    <definedName name="MHONPASS" localSheetId="0">#REF!</definedName>
    <definedName name="MHONPASS" localSheetId="5">#REF!</definedName>
    <definedName name="MHONPASS" localSheetId="4">#REF!</definedName>
    <definedName name="MHONPASS">#REF!</definedName>
    <definedName name="MHONPLUDE" localSheetId="0">#REF!</definedName>
    <definedName name="MHONPLUDE" localSheetId="5">#REF!</definedName>
    <definedName name="MHONPLUDE" localSheetId="4">#REF!</definedName>
    <definedName name="MHONPLUDE">#REF!</definedName>
    <definedName name="MHONSSM" localSheetId="0">#REF!</definedName>
    <definedName name="MHONSSM" localSheetId="5">#REF!</definedName>
    <definedName name="MHONSSM" localSheetId="4">#REF!</definedName>
    <definedName name="MHONSSM">#REF!</definedName>
    <definedName name="MHONTMP" localSheetId="0">#REF!</definedName>
    <definedName name="MHONTMP" localSheetId="5">#REF!</definedName>
    <definedName name="MHONTMP" localSheetId="4">#REF!</definedName>
    <definedName name="MHONTMP">#REF!</definedName>
    <definedName name="MHONVV" localSheetId="0">#REF!</definedName>
    <definedName name="MHONVV" localSheetId="5">#REF!</definedName>
    <definedName name="MHONVV" localSheetId="4">#REF!</definedName>
    <definedName name="MHONVV">#REF!</definedName>
    <definedName name="MHSUA">[5]ATRUCK!$F$387:$V$387</definedName>
    <definedName name="MHSUDO">[5]ATRUCK!$F$385:$V$385</definedName>
    <definedName name="MHSUE">[5]ATRUCK!$F$386:$V$386</definedName>
    <definedName name="MHSUTOTAL" localSheetId="0">[5]ATRUCK!#REF!</definedName>
    <definedName name="MHSUTOTAL" localSheetId="5">[5]ATRUCK!#REF!</definedName>
    <definedName name="MHSUTOTAL" localSheetId="4">[5]ATRUCK!#REF!</definedName>
    <definedName name="MHSUTOTAL">[5]ATRUCK!#REF!</definedName>
    <definedName name="MHW" localSheetId="0">[4]ACARS!#REF!</definedName>
    <definedName name="MHW" localSheetId="5">[4]ACARS!#REF!</definedName>
    <definedName name="MHW" localSheetId="4">[4]ACARS!#REF!</definedName>
    <definedName name="MHW">[4]ACARS!#REF!</definedName>
    <definedName name="MHYNACCENTALL" localSheetId="0">#REF!</definedName>
    <definedName name="MHYNACCENTALL" localSheetId="5">#REF!</definedName>
    <definedName name="MHYNACCENTALL" localSheetId="4">#REF!</definedName>
    <definedName name="MHYNACCENTALL">#REF!</definedName>
    <definedName name="MHYNELANTRAALL" localSheetId="0">#REF!</definedName>
    <definedName name="MHYNELANTRAALL" localSheetId="5">#REF!</definedName>
    <definedName name="MHYNELANTRAALL" localSheetId="4">#REF!</definedName>
    <definedName name="MHYNELANTRAALL">#REF!</definedName>
    <definedName name="MHYNMINI" localSheetId="0">#REF!</definedName>
    <definedName name="MHYNMINI" localSheetId="5">#REF!</definedName>
    <definedName name="MHYNMINI" localSheetId="4">#REF!</definedName>
    <definedName name="MHYNMINI">#REF!</definedName>
    <definedName name="MHYNSCPE" localSheetId="0">#REF!</definedName>
    <definedName name="MHYNSCPE" localSheetId="5">#REF!</definedName>
    <definedName name="MHYNSCPE" localSheetId="4">#REF!</definedName>
    <definedName name="MHYNSCPE">#REF!</definedName>
    <definedName name="MHYNSONATA" localSheetId="0">#REF!</definedName>
    <definedName name="MHYNSONATA" localSheetId="5">#REF!</definedName>
    <definedName name="MHYNSONATA" localSheetId="4">#REF!</definedName>
    <definedName name="MHYNSONATA">#REF!</definedName>
    <definedName name="MHYNTIB" localSheetId="0">#REF!</definedName>
    <definedName name="MHYNTIB" localSheetId="5">#REF!</definedName>
    <definedName name="MHYNTIB" localSheetId="4">#REF!</definedName>
    <definedName name="MHYNTIB">#REF!</definedName>
    <definedName name="MHYNXG" localSheetId="0">#REF!</definedName>
    <definedName name="MHYNXG" localSheetId="5">#REF!</definedName>
    <definedName name="MHYNXG" localSheetId="4">#REF!</definedName>
    <definedName name="MHYNXG">#REF!</definedName>
    <definedName name="MINFG20_24ALL" localSheetId="0">#REF!</definedName>
    <definedName name="MINFG20_24ALL" localSheetId="5">#REF!</definedName>
    <definedName name="MINFG20_24ALL" localSheetId="4">#REF!</definedName>
    <definedName name="MINFG20_24ALL">#REF!</definedName>
    <definedName name="MINFI30" localSheetId="0">#REF!</definedName>
    <definedName name="MINFI30" localSheetId="5">#REF!</definedName>
    <definedName name="MINFI30" localSheetId="4">#REF!</definedName>
    <definedName name="MINFI30">#REF!</definedName>
    <definedName name="MINFJ30" localSheetId="0">#REF!</definedName>
    <definedName name="MINFJ30" localSheetId="5">#REF!</definedName>
    <definedName name="MINFJ30" localSheetId="4">#REF!</definedName>
    <definedName name="MINFJ30">#REF!</definedName>
    <definedName name="MINFM30ALL" localSheetId="0">#REF!</definedName>
    <definedName name="MINFM30ALL" localSheetId="5">#REF!</definedName>
    <definedName name="MINFM30ALL" localSheetId="4">#REF!</definedName>
    <definedName name="MINFM30ALL">#REF!</definedName>
    <definedName name="MINFQ45" localSheetId="0">#REF!</definedName>
    <definedName name="MINFQ45" localSheetId="5">#REF!</definedName>
    <definedName name="MINFQ45" localSheetId="4">#REF!</definedName>
    <definedName name="MINFQ45">#REF!</definedName>
    <definedName name="MINFQX4" localSheetId="0">#REF!</definedName>
    <definedName name="MINFQX4" localSheetId="5">#REF!</definedName>
    <definedName name="MINFQX4" localSheetId="4">#REF!</definedName>
    <definedName name="MINFQX4">#REF!</definedName>
    <definedName name="MIS_ASEAN" localSheetId="0">#REF!</definedName>
    <definedName name="MIS_ASEAN" localSheetId="5">#REF!</definedName>
    <definedName name="MIS_ASEAN" localSheetId="4">#REF!</definedName>
    <definedName name="MIS_ASEAN">#REF!</definedName>
    <definedName name="MIS_Australia" localSheetId="0">#REF!</definedName>
    <definedName name="MIS_Australia" localSheetId="5">#REF!</definedName>
    <definedName name="MIS_Australia" localSheetId="4">#REF!</definedName>
    <definedName name="MIS_Australia">#REF!</definedName>
    <definedName name="MIS_China" localSheetId="0">#REF!</definedName>
    <definedName name="MIS_China" localSheetId="5">#REF!</definedName>
    <definedName name="MIS_China" localSheetId="4">#REF!</definedName>
    <definedName name="MIS_China">#REF!</definedName>
    <definedName name="MIS_Consolidated" localSheetId="0">#REF!</definedName>
    <definedName name="MIS_Consolidated" localSheetId="5">#REF!</definedName>
    <definedName name="MIS_Consolidated" localSheetId="4">#REF!</definedName>
    <definedName name="MIS_Consolidated">#REF!</definedName>
    <definedName name="MIS_EU" localSheetId="0">#REF!</definedName>
    <definedName name="MIS_EU" localSheetId="5">#REF!</definedName>
    <definedName name="MIS_EU" localSheetId="4">#REF!</definedName>
    <definedName name="MIS_EU">#REF!</definedName>
    <definedName name="MIS_Japan" localSheetId="0">#REF!</definedName>
    <definedName name="MIS_Japan" localSheetId="5">#REF!</definedName>
    <definedName name="MIS_Japan" localSheetId="4">#REF!</definedName>
    <definedName name="MIS_Japan">#REF!</definedName>
    <definedName name="MIS_NA" localSheetId="0">#REF!</definedName>
    <definedName name="MIS_NA" localSheetId="5">#REF!</definedName>
    <definedName name="MIS_NA" localSheetId="4">#REF!</definedName>
    <definedName name="MIS_NA">#REF!</definedName>
    <definedName name="MIS_RoW" localSheetId="0">#REF!</definedName>
    <definedName name="MIS_RoW" localSheetId="5">#REF!</definedName>
    <definedName name="MIS_RoW" localSheetId="4">#REF!</definedName>
    <definedName name="MIS_RoW">#REF!</definedName>
    <definedName name="MIS_Taiwan" localSheetId="0">#REF!</definedName>
    <definedName name="MIS_Taiwan" localSheetId="5">#REF!</definedName>
    <definedName name="MIS_Taiwan" localSheetId="4">#REF!</definedName>
    <definedName name="MIS_Taiwan">#REF!</definedName>
    <definedName name="MIT3000ALL" localSheetId="0">#REF!</definedName>
    <definedName name="MIT3000ALL" localSheetId="5">#REF!</definedName>
    <definedName name="MIT3000ALL" localSheetId="4">#REF!</definedName>
    <definedName name="MIT3000ALL">#REF!</definedName>
    <definedName name="MITC">[5]ATRUCK!$F$42:$V$42</definedName>
    <definedName name="MITDIAMANTEALL" localSheetId="0">#REF!</definedName>
    <definedName name="MITDIAMANTEALL" localSheetId="5">#REF!</definedName>
    <definedName name="MITDIAMANTEALL" localSheetId="4">#REF!</definedName>
    <definedName name="MITDIAMANTEALL">#REF!</definedName>
    <definedName name="MITECLIPSEALL" localSheetId="0">#REF!</definedName>
    <definedName name="MITECLIPSEALL" localSheetId="5">#REF!</definedName>
    <definedName name="MITECLIPSEALL" localSheetId="4">#REF!</definedName>
    <definedName name="MITECLIPSEALL">#REF!</definedName>
    <definedName name="MITEXPOALL" localSheetId="0">#REF!</definedName>
    <definedName name="MITEXPOALL" localSheetId="5">#REF!</definedName>
    <definedName name="MITEXPOALL" localSheetId="4">#REF!</definedName>
    <definedName name="MITEXPOALL">#REF!</definedName>
    <definedName name="MITEXPOP">[5]ATRUCK!$F$60:$V$60</definedName>
    <definedName name="MITMAXR">[5]ATRUCK!$F$25:$V$25</definedName>
    <definedName name="MITMAXX">[5]ATRUCK!$F$13:$V$13</definedName>
    <definedName name="MITMIRAGEALL" localSheetId="0">#REF!</definedName>
    <definedName name="MITMIRAGEALL" localSheetId="5">#REF!</definedName>
    <definedName name="MITMIRAGEALL" localSheetId="4">#REF!</definedName>
    <definedName name="MITMIRAGEALL">#REF!</definedName>
    <definedName name="MITMONT">[5]ATRUCK!$F$156:$V$156</definedName>
    <definedName name="MITMONT4">[5]ATRUCK!$F$162:$V$162</definedName>
    <definedName name="MITMONTALL" localSheetId="0">#REF!</definedName>
    <definedName name="MITMONTALL" localSheetId="5">#REF!</definedName>
    <definedName name="MITMONTALL" localSheetId="4">#REF!</definedName>
    <definedName name="MITMONTALL">#REF!</definedName>
    <definedName name="MITMONTSPT">[5]ATRUCK!$F$145:$V$145</definedName>
    <definedName name="MITMXALL" localSheetId="0">#REF!</definedName>
    <definedName name="MITMXALL" localSheetId="5">#REF!</definedName>
    <definedName name="MITMXALL" localSheetId="4">#REF!</definedName>
    <definedName name="MITMXALL">#REF!</definedName>
    <definedName name="MITPRECALL" localSheetId="0">#REF!</definedName>
    <definedName name="MITPRECALL" localSheetId="5">#REF!</definedName>
    <definedName name="MITPRECALL" localSheetId="4">#REF!</definedName>
    <definedName name="MITPRECALL">#REF!</definedName>
    <definedName name="MITSUBISHI">[5]ATRUCK!$F$304:$V$304</definedName>
    <definedName name="MITSUBISHITOTAL" localSheetId="0">#REF!</definedName>
    <definedName name="MITSUBISHITOTAL" localSheetId="5">#REF!</definedName>
    <definedName name="MITSUBISHITOTAL" localSheetId="4">#REF!</definedName>
    <definedName name="MITSUBISHITOTAL">#REF!</definedName>
    <definedName name="MITSUV">[5]ATRUCK!$F$190:$V$190</definedName>
    <definedName name="MITVANALL" localSheetId="0">#REF!</definedName>
    <definedName name="MITVANALL" localSheetId="5">#REF!</definedName>
    <definedName name="MITVANALL" localSheetId="4">#REF!</definedName>
    <definedName name="MITVANALL">#REF!</definedName>
    <definedName name="MITVANP">[5]ATRUCK!$F$61:$V$61</definedName>
    <definedName name="MIVS" localSheetId="0">#REF!</definedName>
    <definedName name="MIVS" localSheetId="5">#REF!</definedName>
    <definedName name="MIVS" localSheetId="4">#REF!</definedName>
    <definedName name="MIVS">#REF!</definedName>
    <definedName name="MIZAMIGO" localSheetId="0">#REF!</definedName>
    <definedName name="MIZAMIGO" localSheetId="5">#REF!</definedName>
    <definedName name="MIZAMIGO" localSheetId="4">#REF!</definedName>
    <definedName name="MIZAMIGO">#REF!</definedName>
    <definedName name="MIZHOMBREALL" localSheetId="0">#REF!</definedName>
    <definedName name="MIZHOMBREALL" localSheetId="5">#REF!</definedName>
    <definedName name="MIZHOMBREALL" localSheetId="4">#REF!</definedName>
    <definedName name="MIZHOMBREALL">#REF!</definedName>
    <definedName name="MIZIMARKALL" localSheetId="0">#REF!</definedName>
    <definedName name="MIZIMARKALL" localSheetId="5">#REF!</definedName>
    <definedName name="MIZIMARKALL" localSheetId="4">#REF!</definedName>
    <definedName name="MIZIMARKALL">#REF!</definedName>
    <definedName name="MIZIMPULSEALL" localSheetId="0">#REF!</definedName>
    <definedName name="MIZIMPULSEALL" localSheetId="5">#REF!</definedName>
    <definedName name="MIZIMPULSEALL" localSheetId="4">#REF!</definedName>
    <definedName name="MIZIMPULSEALL">#REF!</definedName>
    <definedName name="MIZOASISP" localSheetId="0">#REF!</definedName>
    <definedName name="MIZOASISP" localSheetId="5">#REF!</definedName>
    <definedName name="MIZOASISP" localSheetId="4">#REF!</definedName>
    <definedName name="MIZOASISP">#REF!</definedName>
    <definedName name="MIZPUALL" localSheetId="0">#REF!</definedName>
    <definedName name="MIZPUALL" localSheetId="5">#REF!</definedName>
    <definedName name="MIZPUALL" localSheetId="4">#REF!</definedName>
    <definedName name="MIZPUALL">#REF!</definedName>
    <definedName name="MIZRODEO" localSheetId="0">#REF!</definedName>
    <definedName name="MIZRODEO" localSheetId="5">#REF!</definedName>
    <definedName name="MIZRODEO" localSheetId="4">#REF!</definedName>
    <definedName name="MIZRODEO">#REF!</definedName>
    <definedName name="MIZTROOPALL" localSheetId="0">#REF!</definedName>
    <definedName name="MIZTROOPALL" localSheetId="5">#REF!</definedName>
    <definedName name="MIZTROOPALL" localSheetId="4">#REF!</definedName>
    <definedName name="MIZTROOPALL">#REF!</definedName>
    <definedName name="MIZVCROSS" localSheetId="0">#REF!</definedName>
    <definedName name="MIZVCROSS" localSheetId="5">#REF!</definedName>
    <definedName name="MIZVCROSS" localSheetId="4">#REF!</definedName>
    <definedName name="MIZVCROSS">#REF!</definedName>
    <definedName name="MJAGSTYPSW" localSheetId="0">#REF!</definedName>
    <definedName name="MJAGSTYPSW" localSheetId="5">#REF!</definedName>
    <definedName name="MJAGSTYPSW" localSheetId="4">#REF!</definedName>
    <definedName name="MJAGSTYPSW">#REF!</definedName>
    <definedName name="MJAGX200" localSheetId="0">#REF!</definedName>
    <definedName name="MJAGX200" localSheetId="5">#REF!</definedName>
    <definedName name="MJAGX200" localSheetId="4">#REF!</definedName>
    <definedName name="MJAGX200">#REF!</definedName>
    <definedName name="MJAGX400ALL" localSheetId="0">#REF!</definedName>
    <definedName name="MJAGX400ALL" localSheetId="5">#REF!</definedName>
    <definedName name="MJAGX400ALL" localSheetId="4">#REF!</definedName>
    <definedName name="MJAGX400ALL">#REF!</definedName>
    <definedName name="MJAGXJALL" localSheetId="0">#REF!</definedName>
    <definedName name="MJAGXJALL" localSheetId="5">#REF!</definedName>
    <definedName name="MJAGXJALL" localSheetId="4">#REF!</definedName>
    <definedName name="MJAGXJALL">#REF!</definedName>
    <definedName name="MJAGXK8ALL" localSheetId="0">#REF!</definedName>
    <definedName name="MJAGXK8ALL" localSheetId="5">#REF!</definedName>
    <definedName name="MJAGXK8ALL" localSheetId="4">#REF!</definedName>
    <definedName name="MJAGXK8ALL">#REF!</definedName>
    <definedName name="MJPCHER" localSheetId="0">#REF!</definedName>
    <definedName name="MJPCHER" localSheetId="5">#REF!</definedName>
    <definedName name="MJPCHER" localSheetId="4">#REF!</definedName>
    <definedName name="MJPCHER">#REF!</definedName>
    <definedName name="MJPCOMAN" localSheetId="0">#REF!</definedName>
    <definedName name="MJPCOMAN" localSheetId="5">#REF!</definedName>
    <definedName name="MJPCOMAN" localSheetId="4">#REF!</definedName>
    <definedName name="MJPCOMAN">#REF!</definedName>
    <definedName name="MJPGCHER" localSheetId="0">#REF!</definedName>
    <definedName name="MJPGCHER" localSheetId="5">#REF!</definedName>
    <definedName name="MJPGCHER" localSheetId="4">#REF!</definedName>
    <definedName name="MJPGCHER">#REF!</definedName>
    <definedName name="MJPGWAG" localSheetId="0">#REF!</definedName>
    <definedName name="MJPGWAG" localSheetId="5">#REF!</definedName>
    <definedName name="MJPGWAG" localSheetId="4">#REF!</definedName>
    <definedName name="MJPGWAG">#REF!</definedName>
    <definedName name="MJPWAG" localSheetId="0">#REF!</definedName>
    <definedName name="MJPWAG" localSheetId="5">#REF!</definedName>
    <definedName name="MJPWAG" localSheetId="4">#REF!</definedName>
    <definedName name="MJPWAG">#REF!</definedName>
    <definedName name="MJPWRANG" localSheetId="0">#REF!</definedName>
    <definedName name="MJPWRANG" localSheetId="5">#REF!</definedName>
    <definedName name="MJPWRANG" localSheetId="4">#REF!</definedName>
    <definedName name="MJPWRANG">#REF!</definedName>
    <definedName name="MKIAAVELLAALL" localSheetId="0">#REF!</definedName>
    <definedName name="MKIAAVELLAALL" localSheetId="5">#REF!</definedName>
    <definedName name="MKIAAVELLAALL" localSheetId="4">#REF!</definedName>
    <definedName name="MKIAAVELLAALL">#REF!</definedName>
    <definedName name="MKIACREDOS" localSheetId="0">#REF!</definedName>
    <definedName name="MKIACREDOS" localSheetId="5">#REF!</definedName>
    <definedName name="MKIACREDOS" localSheetId="4">#REF!</definedName>
    <definedName name="MKIACREDOS">#REF!</definedName>
    <definedName name="MKIASEDOP" localSheetId="0">#REF!</definedName>
    <definedName name="MKIASEDOP" localSheetId="5">#REF!</definedName>
    <definedName name="MKIASEDOP" localSheetId="4">#REF!</definedName>
    <definedName name="MKIASEDOP">#REF!</definedName>
    <definedName name="MKIASEPHIA" localSheetId="0">#REF!</definedName>
    <definedName name="MKIASEPHIA" localSheetId="5">#REF!</definedName>
    <definedName name="MKIASEPHIA" localSheetId="4">#REF!</definedName>
    <definedName name="MKIASEPHIA">#REF!</definedName>
    <definedName name="MKIASPORTALL" localSheetId="0">#REF!</definedName>
    <definedName name="MKIASPORTALL" localSheetId="5">#REF!</definedName>
    <definedName name="MKIASPORTALL" localSheetId="4">#REF!</definedName>
    <definedName name="MKIASPORTALL">#REF!</definedName>
    <definedName name="MKT" localSheetId="5">#REF!</definedName>
    <definedName name="MKT" localSheetId="4">#REF!</definedName>
    <definedName name="MKT">#REF!</definedName>
    <definedName name="ML2CP" localSheetId="0">[4]ACARS!#REF!</definedName>
    <definedName name="ML2CP" localSheetId="5">[4]ACARS!#REF!</definedName>
    <definedName name="ML2CP" localSheetId="4">[4]ACARS!#REF!</definedName>
    <definedName name="ML2CP">[4]ACARS!#REF!</definedName>
    <definedName name="ML2SD" localSheetId="0">[4]ACARS!#REF!</definedName>
    <definedName name="ML2SD" localSheetId="5">[4]ACARS!#REF!</definedName>
    <definedName name="ML2SD" localSheetId="4">[4]ACARS!#REF!</definedName>
    <definedName name="ML2SD">[4]ACARS!#REF!</definedName>
    <definedName name="ML2SU" localSheetId="0">[5]ATRUCK!#REF!</definedName>
    <definedName name="ML2SU" localSheetId="5">[5]ATRUCK!#REF!</definedName>
    <definedName name="ML2SU" localSheetId="4">[5]ATRUCK!#REF!</definedName>
    <definedName name="ML2SU">[5]ATRUCK!#REF!</definedName>
    <definedName name="ML4SU" localSheetId="0">[5]ATRUCK!#REF!</definedName>
    <definedName name="ML4SU" localSheetId="5">[5]ATRUCK!#REF!</definedName>
    <definedName name="ML4SU" localSheetId="4">[5]ATRUCK!#REF!</definedName>
    <definedName name="ML4SU">[5]ATRUCK!#REF!</definedName>
    <definedName name="MLCNCONT" localSheetId="0">#REF!</definedName>
    <definedName name="MLCNCONT" localSheetId="5">#REF!</definedName>
    <definedName name="MLCNCONT" localSheetId="4">#REF!</definedName>
    <definedName name="MLCNCONT">#REF!</definedName>
    <definedName name="MLCNMKVIII" localSheetId="0">#REF!</definedName>
    <definedName name="MLCNMKVIII" localSheetId="5">#REF!</definedName>
    <definedName name="MLCNMKVIII" localSheetId="4">#REF!</definedName>
    <definedName name="MLCNMKVIII">#REF!</definedName>
    <definedName name="MLCNTC" localSheetId="0">#REF!</definedName>
    <definedName name="MLCNTC" localSheetId="5">#REF!</definedName>
    <definedName name="MLCNTC" localSheetId="4">#REF!</definedName>
    <definedName name="MLCNTC">#REF!</definedName>
    <definedName name="MLCV" localSheetId="0">[4]ACARS!#REF!</definedName>
    <definedName name="MLCV" localSheetId="5">[4]ACARS!#REF!</definedName>
    <definedName name="MLCV" localSheetId="4">[4]ACARS!#REF!</definedName>
    <definedName name="MLCV">[4]ACARS!#REF!</definedName>
    <definedName name="MLEXGS300ALL" localSheetId="0">#REF!</definedName>
    <definedName name="MLEXGS300ALL" localSheetId="5">#REF!</definedName>
    <definedName name="MLEXGS300ALL" localSheetId="4">#REF!</definedName>
    <definedName name="MLEXGS300ALL">#REF!</definedName>
    <definedName name="MLEXIS220ALL" localSheetId="0">#REF!</definedName>
    <definedName name="MLEXIS220ALL" localSheetId="5">#REF!</definedName>
    <definedName name="MLEXIS220ALL" localSheetId="4">#REF!</definedName>
    <definedName name="MLEXIS220ALL">#REF!</definedName>
    <definedName name="MLEXLX450" localSheetId="0">#REF!</definedName>
    <definedName name="MLEXLX450" localSheetId="5">#REF!</definedName>
    <definedName name="MLEXLX450" localSheetId="4">#REF!</definedName>
    <definedName name="MLEXLX450">#REF!</definedName>
    <definedName name="MLEXRX300" localSheetId="0">#REF!</definedName>
    <definedName name="MLEXRX300" localSheetId="5">#REF!</definedName>
    <definedName name="MLEXRX300" localSheetId="4">#REF!</definedName>
    <definedName name="MLEXRX300">#REF!</definedName>
    <definedName name="MLINCBLAK" localSheetId="0">#REF!</definedName>
    <definedName name="MLINCBLAK" localSheetId="5">#REF!</definedName>
    <definedName name="MLINCBLAK" localSheetId="4">#REF!</definedName>
    <definedName name="MLINCBLAK">#REF!</definedName>
    <definedName name="MLINCNAV" localSheetId="0">#REF!</definedName>
    <definedName name="MLINCNAV" localSheetId="5">#REF!</definedName>
    <definedName name="MLINCNAV" localSheetId="4">#REF!</definedName>
    <definedName name="MLINCNAV">#REF!</definedName>
    <definedName name="MLINCU204" localSheetId="0">#REF!</definedName>
    <definedName name="MLINCU204" localSheetId="5">#REF!</definedName>
    <definedName name="MLINCU204" localSheetId="4">#REF!</definedName>
    <definedName name="MLINCU204">#REF!</definedName>
    <definedName name="MLINCU231" localSheetId="0">#REF!</definedName>
    <definedName name="MLINCU231" localSheetId="5">#REF!</definedName>
    <definedName name="MLINCU231" localSheetId="4">#REF!</definedName>
    <definedName name="MLINCU231">#REF!</definedName>
    <definedName name="MLNCDEW98" localSheetId="0">#REF!</definedName>
    <definedName name="MLNCDEW98" localSheetId="5">#REF!</definedName>
    <definedName name="MLNCDEW98" localSheetId="4">#REF!</definedName>
    <definedName name="MLNCDEW98">#REF!</definedName>
    <definedName name="MLSUA">[5]ATRUCK!$F$394:$V$394</definedName>
    <definedName name="MLSUDO">[5]ATRUCK!$F$392:$V$392</definedName>
    <definedName name="MLSUE">[5]ATRUCK!$F$393:$V$393</definedName>
    <definedName name="MLSUTOTAL" localSheetId="0">[5]ATRUCK!#REF!</definedName>
    <definedName name="MLSUTOTAL" localSheetId="5">[5]ATRUCK!#REF!</definedName>
    <definedName name="MLSUTOTAL" localSheetId="4">[5]ATRUCK!#REF!</definedName>
    <definedName name="MLSUTOTAL">[5]ATRUCK!#REF!</definedName>
    <definedName name="MLW" localSheetId="0">[4]ACARS!#REF!</definedName>
    <definedName name="MLW" localSheetId="5">[4]ACARS!#REF!</definedName>
    <definedName name="MLW" localSheetId="4">[4]ACARS!#REF!</definedName>
    <definedName name="MLW">[4]ACARS!#REF!</definedName>
    <definedName name="MLXES300" localSheetId="0">#REF!</definedName>
    <definedName name="MLXES300" localSheetId="5">#REF!</definedName>
    <definedName name="MLXES300" localSheetId="4">#REF!</definedName>
    <definedName name="MLXES300">#REF!</definedName>
    <definedName name="MLXLS400" localSheetId="0">#REF!</definedName>
    <definedName name="MLXLS400" localSheetId="5">#REF!</definedName>
    <definedName name="MLXLS400" localSheetId="4">#REF!</definedName>
    <definedName name="MLXLS400">#REF!</definedName>
    <definedName name="MLXSC" localSheetId="0">#REF!</definedName>
    <definedName name="MLXSC" localSheetId="5">#REF!</definedName>
    <definedName name="MLXSC" localSheetId="4">#REF!</definedName>
    <definedName name="MLXSC">#REF!</definedName>
    <definedName name="MLXSC300" localSheetId="0">#REF!</definedName>
    <definedName name="MLXSC300" localSheetId="5">#REF!</definedName>
    <definedName name="MLXSC300" localSheetId="4">#REF!</definedName>
    <definedName name="MLXSC300">#REF!</definedName>
    <definedName name="MMAZ626ALL" localSheetId="0">#REF!</definedName>
    <definedName name="MMAZ626ALL" localSheetId="5">#REF!</definedName>
    <definedName name="MMAZ626ALL" localSheetId="4">#REF!</definedName>
    <definedName name="MMAZ626ALL">#REF!</definedName>
    <definedName name="MMAZPROTEGEALL" localSheetId="0">#REF!</definedName>
    <definedName name="MMAZPROTEGEALL" localSheetId="5">#REF!</definedName>
    <definedName name="MMAZPROTEGEALL" localSheetId="4">#REF!</definedName>
    <definedName name="MMAZPROTEGEALL">#REF!</definedName>
    <definedName name="MMAZRX7ALL" localSheetId="0">#REF!</definedName>
    <definedName name="MMAZRX7ALL" localSheetId="5">#REF!</definedName>
    <definedName name="MMAZRX7ALL" localSheetId="4">#REF!</definedName>
    <definedName name="MMAZRX7ALL">#REF!</definedName>
    <definedName name="MMBANECAR" localSheetId="0">#REF!</definedName>
    <definedName name="MMBANECAR" localSheetId="5">#REF!</definedName>
    <definedName name="MMBANECAR" localSheetId="4">#REF!</definedName>
    <definedName name="MMBANECAR">#REF!</definedName>
    <definedName name="MMBCCLASSALL" localSheetId="0">#REF!</definedName>
    <definedName name="MMBCCLASSALL" localSheetId="5">#REF!</definedName>
    <definedName name="MMBCCLASSALL" localSheetId="4">#REF!</definedName>
    <definedName name="MMBCCLASSALL">#REF!</definedName>
    <definedName name="MMBCLKALL" localSheetId="0">#REF!</definedName>
    <definedName name="MMBCLKALL" localSheetId="5">#REF!</definedName>
    <definedName name="MMBCLKALL" localSheetId="4">#REF!</definedName>
    <definedName name="MMBCLKALL">#REF!</definedName>
    <definedName name="MMBECLASSALL" localSheetId="0">#REF!</definedName>
    <definedName name="MMBECLASSALL" localSheetId="5">#REF!</definedName>
    <definedName name="MMBECLASSALL" localSheetId="4">#REF!</definedName>
    <definedName name="MMBECLASSALL">#REF!</definedName>
    <definedName name="MMBMCLASS" localSheetId="0">#REF!</definedName>
    <definedName name="MMBMCLASS" localSheetId="5">#REF!</definedName>
    <definedName name="MMBMCLASS" localSheetId="4">#REF!</definedName>
    <definedName name="MMBMCLASS">#REF!</definedName>
    <definedName name="MMBSCLASSALL" localSheetId="0">#REF!</definedName>
    <definedName name="MMBSCLASSALL" localSheetId="5">#REF!</definedName>
    <definedName name="MMBSCLASSALL" localSheetId="4">#REF!</definedName>
    <definedName name="MMBSCLASSALL">#REF!</definedName>
    <definedName name="MMBSL" localSheetId="0">#REF!</definedName>
    <definedName name="MMBSL" localSheetId="5">#REF!</definedName>
    <definedName name="MMBSL" localSheetId="4">#REF!</definedName>
    <definedName name="MMBSL">#REF!</definedName>
    <definedName name="MMBSLK" localSheetId="0">#REF!</definedName>
    <definedName name="MMBSLK" localSheetId="5">#REF!</definedName>
    <definedName name="MMBSLK" localSheetId="4">#REF!</definedName>
    <definedName name="MMBSLK">#REF!</definedName>
    <definedName name="MMERCC212" localSheetId="0">#REF!</definedName>
    <definedName name="MMERCC212" localSheetId="5">#REF!</definedName>
    <definedName name="MMERCC212" localSheetId="4">#REF!</definedName>
    <definedName name="MMERCC212">#REF!</definedName>
    <definedName name="MMERCCAPRI" localSheetId="0">#REF!</definedName>
    <definedName name="MMERCCAPRI" localSheetId="5">#REF!</definedName>
    <definedName name="MMERCCAPRI" localSheetId="4">#REF!</definedName>
    <definedName name="MMERCCAPRI">#REF!</definedName>
    <definedName name="MMERCCGR" localSheetId="0">#REF!</definedName>
    <definedName name="MMERCCGR" localSheetId="5">#REF!</definedName>
    <definedName name="MMERCCGR" localSheetId="4">#REF!</definedName>
    <definedName name="MMERCCGR">#REF!</definedName>
    <definedName name="MMERCD219" localSheetId="0">#REF!</definedName>
    <definedName name="MMERCD219" localSheetId="5">#REF!</definedName>
    <definedName name="MMERCD219" localSheetId="4">#REF!</definedName>
    <definedName name="MMERCD219">#REF!</definedName>
    <definedName name="MMERCMOUNT" localSheetId="0">#REF!</definedName>
    <definedName name="MMERCMOUNT" localSheetId="5">#REF!</definedName>
    <definedName name="MMERCMOUNT" localSheetId="4">#REF!</definedName>
    <definedName name="MMERCMOUNT">#REF!</definedName>
    <definedName name="MMERCOUGARALL" localSheetId="0">#REF!</definedName>
    <definedName name="MMERCOUGARALL" localSheetId="5">#REF!</definedName>
    <definedName name="MMERCOUGARALL" localSheetId="4">#REF!</definedName>
    <definedName name="MMERCOUGARALL">#REF!</definedName>
    <definedName name="MMERCTOPAZALL" localSheetId="0">#REF!</definedName>
    <definedName name="MMERCTOPAZALL" localSheetId="5">#REF!</definedName>
    <definedName name="MMERCTOPAZALL" localSheetId="4">#REF!</definedName>
    <definedName name="MMERCTOPAZALL">#REF!</definedName>
    <definedName name="MMERCTRACERALL" localSheetId="0">#REF!</definedName>
    <definedName name="MMERCTRACERALL" localSheetId="5">#REF!</definedName>
    <definedName name="MMERCTRACERALL" localSheetId="4">#REF!</definedName>
    <definedName name="MMERCTRACERALL">#REF!</definedName>
    <definedName name="MMERCVILLP" localSheetId="0">#REF!</definedName>
    <definedName name="MMERCVILLP" localSheetId="5">#REF!</definedName>
    <definedName name="MMERCVILLP" localSheetId="4">#REF!</definedName>
    <definedName name="MMERCVILLP">#REF!</definedName>
    <definedName name="MMERKSCORP" localSheetId="0">#REF!</definedName>
    <definedName name="MMERKSCORP" localSheetId="5">#REF!</definedName>
    <definedName name="MMERKSCORP" localSheetId="4">#REF!</definedName>
    <definedName name="MMERKSCORP">#REF!</definedName>
    <definedName name="MMERKXR4Ti" localSheetId="0">#REF!</definedName>
    <definedName name="MMERKXR4Ti" localSheetId="5">#REF!</definedName>
    <definedName name="MMERKXR4Ti" localSheetId="4">#REF!</definedName>
    <definedName name="MMERKXR4Ti">#REF!</definedName>
    <definedName name="MMERMARQALL" localSheetId="0">#REF!</definedName>
    <definedName name="MMERMARQALL" localSheetId="5">#REF!</definedName>
    <definedName name="MMERMARQALL" localSheetId="4">#REF!</definedName>
    <definedName name="MMERMARQALL">#REF!</definedName>
    <definedName name="MMERSABLEALL" localSheetId="0">#REF!</definedName>
    <definedName name="MMERSABLEALL" localSheetId="5">#REF!</definedName>
    <definedName name="MMERSABLEALL" localSheetId="4">#REF!</definedName>
    <definedName name="MMERSABLEALL">#REF!</definedName>
    <definedName name="MMIT3000ALL" localSheetId="0">#REF!</definedName>
    <definedName name="MMIT3000ALL" localSheetId="5">#REF!</definedName>
    <definedName name="MMIT3000ALL" localSheetId="4">#REF!</definedName>
    <definedName name="MMIT3000ALL">#REF!</definedName>
    <definedName name="MMITC" localSheetId="0">#REF!</definedName>
    <definedName name="MMITC" localSheetId="5">#REF!</definedName>
    <definedName name="MMITC" localSheetId="4">#REF!</definedName>
    <definedName name="MMITC">#REF!</definedName>
    <definedName name="MMITDIAMANTEALL" localSheetId="0">#REF!</definedName>
    <definedName name="MMITDIAMANTEALL" localSheetId="5">#REF!</definedName>
    <definedName name="MMITDIAMANTEALL" localSheetId="4">#REF!</definedName>
    <definedName name="MMITDIAMANTEALL">#REF!</definedName>
    <definedName name="MMITECLIPSEALL" localSheetId="0">#REF!</definedName>
    <definedName name="MMITECLIPSEALL" localSheetId="5">#REF!</definedName>
    <definedName name="MMITECLIPSEALL" localSheetId="4">#REF!</definedName>
    <definedName name="MMITECLIPSEALL">#REF!</definedName>
    <definedName name="MMITEXPOALL" localSheetId="0">#REF!</definedName>
    <definedName name="MMITEXPOALL" localSheetId="5">#REF!</definedName>
    <definedName name="MMITEXPOALL" localSheetId="4">#REF!</definedName>
    <definedName name="MMITEXPOALL">#REF!</definedName>
    <definedName name="MMITEXPOP" localSheetId="0">#REF!</definedName>
    <definedName name="MMITEXPOP" localSheetId="5">#REF!</definedName>
    <definedName name="MMITEXPOP" localSheetId="4">#REF!</definedName>
    <definedName name="MMITEXPOP">#REF!</definedName>
    <definedName name="MMITGALANT" localSheetId="0">#REF!</definedName>
    <definedName name="MMITGALANT" localSheetId="5">#REF!</definedName>
    <definedName name="MMITGALANT" localSheetId="4">#REF!</definedName>
    <definedName name="MMITGALANT">#REF!</definedName>
    <definedName name="MMITMIRAGEALL" localSheetId="0">#REF!</definedName>
    <definedName name="MMITMIRAGEALL" localSheetId="5">#REF!</definedName>
    <definedName name="MMITMIRAGEALL" localSheetId="4">#REF!</definedName>
    <definedName name="MMITMIRAGEALL">#REF!</definedName>
    <definedName name="MMITMONTALL" localSheetId="0">#REF!</definedName>
    <definedName name="MMITMONTALL" localSheetId="5">#REF!</definedName>
    <definedName name="MMITMONTALL" localSheetId="4">#REF!</definedName>
    <definedName name="MMITMONTALL">#REF!</definedName>
    <definedName name="MMITMONTSPT" localSheetId="0">#REF!</definedName>
    <definedName name="MMITMONTSPT" localSheetId="5">#REF!</definedName>
    <definedName name="MMITMONTSPT" localSheetId="4">#REF!</definedName>
    <definedName name="MMITMONTSPT">#REF!</definedName>
    <definedName name="MMITMXALL" localSheetId="0">#REF!</definedName>
    <definedName name="MMITMXALL" localSheetId="5">#REF!</definedName>
    <definedName name="MMITMXALL" localSheetId="4">#REF!</definedName>
    <definedName name="MMITMXALL">#REF!</definedName>
    <definedName name="MMITPRECALL" localSheetId="0">#REF!</definedName>
    <definedName name="MMITPRECALL" localSheetId="5">#REF!</definedName>
    <definedName name="MMITPRECALL" localSheetId="4">#REF!</definedName>
    <definedName name="MMITPRECALL">#REF!</definedName>
    <definedName name="MMITSIG" localSheetId="0">#REF!</definedName>
    <definedName name="MMITSIG" localSheetId="5">#REF!</definedName>
    <definedName name="MMITSIG" localSheetId="4">#REF!</definedName>
    <definedName name="MMITSIG">#REF!</definedName>
    <definedName name="MMITSUV" localSheetId="0">#REF!</definedName>
    <definedName name="MMITSUV" localSheetId="5">#REF!</definedName>
    <definedName name="MMITSUV" localSheetId="4">#REF!</definedName>
    <definedName name="MMITSUV">#REF!</definedName>
    <definedName name="MMITVANP" localSheetId="0">#REF!</definedName>
    <definedName name="MMITVANP" localSheetId="5">#REF!</definedName>
    <definedName name="MMITVANP" localSheetId="4">#REF!</definedName>
    <definedName name="MMITVANP">#REF!</definedName>
    <definedName name="MMXZ929" localSheetId="0">#REF!</definedName>
    <definedName name="MMXZ929" localSheetId="5">#REF!</definedName>
    <definedName name="MMXZ929" localSheetId="4">#REF!</definedName>
    <definedName name="MMXZ929">#REF!</definedName>
    <definedName name="MMZBSERIESALL" localSheetId="0">#REF!</definedName>
    <definedName name="MMZBSERIESALL" localSheetId="5">#REF!</definedName>
    <definedName name="MMZBSERIESALL" localSheetId="4">#REF!</definedName>
    <definedName name="MMZBSERIESALL">#REF!</definedName>
    <definedName name="MMZDMILL" localSheetId="0">#REF!</definedName>
    <definedName name="MMZDMILL" localSheetId="5">#REF!</definedName>
    <definedName name="MMZDMILL" localSheetId="4">#REF!</definedName>
    <definedName name="MMZDMILL">#REF!</definedName>
    <definedName name="MMZDMX3" localSheetId="0">#REF!</definedName>
    <definedName name="MMZDMX3" localSheetId="5">#REF!</definedName>
    <definedName name="MMZDMX3" localSheetId="4">#REF!</definedName>
    <definedName name="MMZDMX3">#REF!</definedName>
    <definedName name="MMZDMX5" localSheetId="0">#REF!</definedName>
    <definedName name="MMZDMX5" localSheetId="5">#REF!</definedName>
    <definedName name="MMZDMX5" localSheetId="4">#REF!</definedName>
    <definedName name="MMZDMX5">#REF!</definedName>
    <definedName name="MMZDMX6" localSheetId="0">#REF!</definedName>
    <definedName name="MMZDMX6" localSheetId="5">#REF!</definedName>
    <definedName name="MMZDMX6" localSheetId="4">#REF!</definedName>
    <definedName name="MMZDMX6">#REF!</definedName>
    <definedName name="MMZMPV" localSheetId="0">#REF!</definedName>
    <definedName name="MMZMPV" localSheetId="5">#REF!</definedName>
    <definedName name="MMZMPV" localSheetId="4">#REF!</definedName>
    <definedName name="MMZMPV">#REF!</definedName>
    <definedName name="MMZNAVA" localSheetId="0">#REF!</definedName>
    <definedName name="MMZNAVA" localSheetId="5">#REF!</definedName>
    <definedName name="MMZNAVA" localSheetId="4">#REF!</definedName>
    <definedName name="MMZNAVA">#REF!</definedName>
    <definedName name="MMZU204" localSheetId="0">#REF!</definedName>
    <definedName name="MMZU204" localSheetId="5">#REF!</definedName>
    <definedName name="MMZU204" localSheetId="4">#REF!</definedName>
    <definedName name="MMZU204">#REF!</definedName>
    <definedName name="MNEMONIC" localSheetId="0">[4]ACARS!#REF!</definedName>
    <definedName name="MNEMONIC" localSheetId="5">[4]ACARS!#REF!</definedName>
    <definedName name="MNEMONIC" localSheetId="4">[4]ACARS!#REF!</definedName>
    <definedName name="MNEMONIC">[4]ACARS!#REF!</definedName>
    <definedName name="MNIS240SXALL" localSheetId="0">#REF!</definedName>
    <definedName name="MNIS240SXALL" localSheetId="5">#REF!</definedName>
    <definedName name="MNIS240SXALL" localSheetId="4">#REF!</definedName>
    <definedName name="MNIS240SXALL">#REF!</definedName>
    <definedName name="MNIS300ZXALL" localSheetId="0">#REF!</definedName>
    <definedName name="MNIS300ZXALL" localSheetId="5">#REF!</definedName>
    <definedName name="MNIS300ZXALL" localSheetId="4">#REF!</definedName>
    <definedName name="MNIS300ZXALL">#REF!</definedName>
    <definedName name="MNISALTEV" localSheetId="0">#REF!</definedName>
    <definedName name="MNISALTEV" localSheetId="5">#REF!</definedName>
    <definedName name="MNISALTEV" localSheetId="4">#REF!</definedName>
    <definedName name="MNISALTEV">#REF!</definedName>
    <definedName name="MNISALTIMAALL" localSheetId="0">#REF!</definedName>
    <definedName name="MNISALTIMAALL" localSheetId="5">#REF!</definedName>
    <definedName name="MNISALTIMAALL" localSheetId="4">#REF!</definedName>
    <definedName name="MNISALTIMAALL">#REF!</definedName>
    <definedName name="MNISFRONTALL" localSheetId="0">#REF!</definedName>
    <definedName name="MNISFRONTALL" localSheetId="5">#REF!</definedName>
    <definedName name="MNISFRONTALL" localSheetId="4">#REF!</definedName>
    <definedName name="MNISFRONTALL">#REF!</definedName>
    <definedName name="MNISMAXALL" localSheetId="0">#REF!</definedName>
    <definedName name="MNISMAXALL" localSheetId="5">#REF!</definedName>
    <definedName name="MNISMAXALL" localSheetId="4">#REF!</definedName>
    <definedName name="MNISMAXALL">#REF!</definedName>
    <definedName name="MNISPATHALL" localSheetId="0">#REF!</definedName>
    <definedName name="MNISPATHALL" localSheetId="5">#REF!</definedName>
    <definedName name="MNISPATHALL" localSheetId="4">#REF!</definedName>
    <definedName name="MNISPATHALL">#REF!</definedName>
    <definedName name="MNISQUESTP" localSheetId="0">#REF!</definedName>
    <definedName name="MNISQUESTP" localSheetId="5">#REF!</definedName>
    <definedName name="MNISQUESTP" localSheetId="4">#REF!</definedName>
    <definedName name="MNISQUESTP">#REF!</definedName>
    <definedName name="MNISSENTRAALL" localSheetId="0">#REF!</definedName>
    <definedName name="MNISSENTRAALL" localSheetId="5">#REF!</definedName>
    <definedName name="MNISSENTRAALL" localSheetId="4">#REF!</definedName>
    <definedName name="MNISSENTRAALL">#REF!</definedName>
    <definedName name="MNISWQWALL" localSheetId="0">#REF!</definedName>
    <definedName name="MNISWQWALL" localSheetId="5">#REF!</definedName>
    <definedName name="MNISWQWALL" localSheetId="4">#REF!</definedName>
    <definedName name="MNISWQWALL">#REF!</definedName>
    <definedName name="MNISXTERRA" localSheetId="0">#REF!</definedName>
    <definedName name="MNISXTERRA" localSheetId="5">#REF!</definedName>
    <definedName name="MNISXTERRA" localSheetId="4">#REF!</definedName>
    <definedName name="MNISXTERRA">#REF!</definedName>
    <definedName name="MNSN1600" localSheetId="0">#REF!</definedName>
    <definedName name="MNSN1600" localSheetId="5">#REF!</definedName>
    <definedName name="MNSN1600" localSheetId="4">#REF!</definedName>
    <definedName name="MNSN1600">#REF!</definedName>
    <definedName name="MNSN200SX" localSheetId="0">#REF!</definedName>
    <definedName name="MNSN200SX" localSheetId="5">#REF!</definedName>
    <definedName name="MNSN200SX" localSheetId="4">#REF!</definedName>
    <definedName name="MNSN200SX">#REF!</definedName>
    <definedName name="MNSNAXXESS" localSheetId="0">#REF!</definedName>
    <definedName name="MNSNAXXESS" localSheetId="5">#REF!</definedName>
    <definedName name="MNSNAXXESS" localSheetId="4">#REF!</definedName>
    <definedName name="MNSNAXXESS">#REF!</definedName>
    <definedName name="MNSNVANP" localSheetId="0">#REF!</definedName>
    <definedName name="MNSNVANP" localSheetId="5">#REF!</definedName>
    <definedName name="MNSNVANP" localSheetId="4">#REF!</definedName>
    <definedName name="MNSNVANP">#REF!</definedName>
    <definedName name="MOLD88ALL" localSheetId="0">#REF!</definedName>
    <definedName name="MOLD88ALL" localSheetId="5">#REF!</definedName>
    <definedName name="MOLD88ALL" localSheetId="4">#REF!</definedName>
    <definedName name="MOLD88ALL">#REF!</definedName>
    <definedName name="MOLD98ALL" localSheetId="0">#REF!</definedName>
    <definedName name="MOLD98ALL" localSheetId="5">#REF!</definedName>
    <definedName name="MOLD98ALL" localSheetId="4">#REF!</definedName>
    <definedName name="MOLD98ALL">#REF!</definedName>
    <definedName name="MOLDACH_ALEROALL" localSheetId="0">#REF!</definedName>
    <definedName name="MOLDACH_ALEROALL" localSheetId="5">#REF!</definedName>
    <definedName name="MOLDACH_ALEROALL" localSheetId="4">#REF!</definedName>
    <definedName name="MOLDACH_ALEROALL">#REF!</definedName>
    <definedName name="MOLDAURORA_TORALL" localSheetId="0">#REF!</definedName>
    <definedName name="MOLDAURORA_TORALL" localSheetId="5">#REF!</definedName>
    <definedName name="MOLDAURORA_TORALL" localSheetId="4">#REF!</definedName>
    <definedName name="MOLDAURORA_TORALL">#REF!</definedName>
    <definedName name="MOLDBRAV" localSheetId="0">#REF!</definedName>
    <definedName name="MOLDBRAV" localSheetId="5">#REF!</definedName>
    <definedName name="MOLDBRAV" localSheetId="4">#REF!</definedName>
    <definedName name="MOLDBRAV">#REF!</definedName>
    <definedName name="MOLDCUSTW" localSheetId="0">#REF!</definedName>
    <definedName name="MOLDCUSTW" localSheetId="5">#REF!</definedName>
    <definedName name="MOLDCUSTW" localSheetId="4">#REF!</definedName>
    <definedName name="MOLDCUSTW">#REF!</definedName>
    <definedName name="MOLDCUTCIERAALL" localSheetId="0">#REF!</definedName>
    <definedName name="MOLDCUTCIERAALL" localSheetId="5">#REF!</definedName>
    <definedName name="MOLDCUTCIERAALL" localSheetId="4">#REF!</definedName>
    <definedName name="MOLDCUTCIERAALL">#REF!</definedName>
    <definedName name="MOLDCUTSUPALL" localSheetId="0">#REF!</definedName>
    <definedName name="MOLDCUTSUPALL" localSheetId="5">#REF!</definedName>
    <definedName name="MOLDCUTSUPALL" localSheetId="4">#REF!</definedName>
    <definedName name="MOLDCUTSUPALL">#REF!</definedName>
    <definedName name="MOLDSILHP" localSheetId="0">#REF!</definedName>
    <definedName name="MOLDSILHP" localSheetId="5">#REF!</definedName>
    <definedName name="MOLDSILHP" localSheetId="4">#REF!</definedName>
    <definedName name="MOLDSILHP">#REF!</definedName>
    <definedName name="MOLDSSUV" localSheetId="0">#REF!</definedName>
    <definedName name="MOLDSSUV" localSheetId="5">#REF!</definedName>
    <definedName name="MOLDSSUV" localSheetId="4">#REF!</definedName>
    <definedName name="MOLDSSUV">#REF!</definedName>
    <definedName name="MP_HONMAV" localSheetId="0">#REF!</definedName>
    <definedName name="MP_HONMAV" localSheetId="5">#REF!</definedName>
    <definedName name="MP_HONMAV" localSheetId="4">#REF!</definedName>
    <definedName name="MP_HONMAV">#REF!</definedName>
    <definedName name="MPACCL" localSheetId="0">#REF!</definedName>
    <definedName name="MPACCL" localSheetId="5">#REF!</definedName>
    <definedName name="MPACCL" localSheetId="4">#REF!</definedName>
    <definedName name="MPACCL">#REF!</definedName>
    <definedName name="MPACINTEG_18AALL" localSheetId="0">#REF!</definedName>
    <definedName name="MPACINTEG_18AALL" localSheetId="5">#REF!</definedName>
    <definedName name="MPACINTEG_18AALL" localSheetId="4">#REF!</definedName>
    <definedName name="MPACINTEG_18AALL">#REF!</definedName>
    <definedName name="MPACNSX" localSheetId="0">#REF!</definedName>
    <definedName name="MPACNSX" localSheetId="5">#REF!</definedName>
    <definedName name="MPACNSX" localSheetId="4">#REF!</definedName>
    <definedName name="MPACNSX">#REF!</definedName>
    <definedName name="MPACRS" localSheetId="0">#REF!</definedName>
    <definedName name="MPACRS" localSheetId="5">#REF!</definedName>
    <definedName name="MPACRS" localSheetId="4">#REF!</definedName>
    <definedName name="MPACRS">#REF!</definedName>
    <definedName name="MPACSLX" localSheetId="0">#REF!</definedName>
    <definedName name="MPACSLX" localSheetId="5">#REF!</definedName>
    <definedName name="MPACSLX" localSheetId="4">#REF!</definedName>
    <definedName name="MPACSLX">#REF!</definedName>
    <definedName name="MPACURALEGALL" localSheetId="0">#REF!</definedName>
    <definedName name="MPACURALEGALL" localSheetId="5">#REF!</definedName>
    <definedName name="MPACURALEGALL" localSheetId="4">#REF!</definedName>
    <definedName name="MPACURALEGALL">#REF!</definedName>
    <definedName name="MPACURATLALL" localSheetId="0">#REF!</definedName>
    <definedName name="MPACURATLALL" localSheetId="5">#REF!</definedName>
    <definedName name="MPACURATLALL" localSheetId="4">#REF!</definedName>
    <definedName name="MPACURATLALL">#REF!</definedName>
    <definedName name="MPAUDI6ALL" localSheetId="0">#REF!</definedName>
    <definedName name="MPAUDI6ALL" localSheetId="5">#REF!</definedName>
    <definedName name="MPAUDI6ALL" localSheetId="4">#REF!</definedName>
    <definedName name="MPAUDI6ALL">#REF!</definedName>
    <definedName name="MPAUDIA4ALL" localSheetId="0">#REF!</definedName>
    <definedName name="MPAUDIA4ALL" localSheetId="5">#REF!</definedName>
    <definedName name="MPAUDIA4ALL" localSheetId="4">#REF!</definedName>
    <definedName name="MPAUDIA4ALL">#REF!</definedName>
    <definedName name="MPAUDIA8" localSheetId="0">#REF!</definedName>
    <definedName name="MPAUDIA8" localSheetId="5">#REF!</definedName>
    <definedName name="MPAUDIA8" localSheetId="4">#REF!</definedName>
    <definedName name="MPAUDIA8">#REF!</definedName>
    <definedName name="MPAUDIO200ALL" localSheetId="0">#REF!</definedName>
    <definedName name="MPAUDIO200ALL" localSheetId="5">#REF!</definedName>
    <definedName name="MPAUDIO200ALL" localSheetId="4">#REF!</definedName>
    <definedName name="MPAUDIO200ALL">#REF!</definedName>
    <definedName name="MPAUDIQUAT" localSheetId="0">#REF!</definedName>
    <definedName name="MPAUDIQUAT" localSheetId="5">#REF!</definedName>
    <definedName name="MPAUDIQUAT" localSheetId="4">#REF!</definedName>
    <definedName name="MPAUDIQUAT">#REF!</definedName>
    <definedName name="MPAUDITTSALL" localSheetId="0">#REF!</definedName>
    <definedName name="MPAUDITTSALL" localSheetId="5">#REF!</definedName>
    <definedName name="MPAUDITTSALL" localSheetId="4">#REF!</definedName>
    <definedName name="MPAUDITTSALL">#REF!</definedName>
    <definedName name="MPBKRIV" localSheetId="0">#REF!</definedName>
    <definedName name="MPBKRIV" localSheetId="5">#REF!</definedName>
    <definedName name="MPBKRIV" localSheetId="4">#REF!</definedName>
    <definedName name="MPBKRIV">#REF!</definedName>
    <definedName name="MPBKSUV" localSheetId="0">#REF!</definedName>
    <definedName name="MPBKSUV" localSheetId="5">#REF!</definedName>
    <definedName name="MPBKSUV" localSheetId="4">#REF!</definedName>
    <definedName name="MPBKSUV">#REF!</definedName>
    <definedName name="MPBMW2002" localSheetId="0">#REF!</definedName>
    <definedName name="MPBMW2002" localSheetId="5">#REF!</definedName>
    <definedName name="MPBMW2002" localSheetId="4">#REF!</definedName>
    <definedName name="MPBMW2002">#REF!</definedName>
    <definedName name="MPBMW3ALL" localSheetId="0">#REF!</definedName>
    <definedName name="MPBMW3ALL" localSheetId="5">#REF!</definedName>
    <definedName name="MPBMW3ALL" localSheetId="4">#REF!</definedName>
    <definedName name="MPBMW3ALL">#REF!</definedName>
    <definedName name="MPBMW5ALL" localSheetId="0">#REF!</definedName>
    <definedName name="MPBMW5ALL" localSheetId="5">#REF!</definedName>
    <definedName name="MPBMW5ALL" localSheetId="4">#REF!</definedName>
    <definedName name="MPBMW5ALL">#REF!</definedName>
    <definedName name="MPBMW7ALL" localSheetId="0">#REF!</definedName>
    <definedName name="MPBMW7ALL" localSheetId="5">#REF!</definedName>
    <definedName name="MPBMW7ALL" localSheetId="4">#REF!</definedName>
    <definedName name="MPBMW7ALL">#REF!</definedName>
    <definedName name="MPBMW8" localSheetId="0">#REF!</definedName>
    <definedName name="MPBMW8" localSheetId="5">#REF!</definedName>
    <definedName name="MPBMW8" localSheetId="4">#REF!</definedName>
    <definedName name="MPBMW8">#REF!</definedName>
    <definedName name="MPBMWE63ALL" localSheetId="0">#REF!</definedName>
    <definedName name="MPBMWE63ALL" localSheetId="5">#REF!</definedName>
    <definedName name="MPBMWE63ALL" localSheetId="4">#REF!</definedName>
    <definedName name="MPBMWE63ALL">#REF!</definedName>
    <definedName name="MPBMWEMV" localSheetId="0">#REF!</definedName>
    <definedName name="MPBMWEMV" localSheetId="5">#REF!</definedName>
    <definedName name="MPBMWEMV" localSheetId="4">#REF!</definedName>
    <definedName name="MPBMWEMV">#REF!</definedName>
    <definedName name="MPBMWZ3ALL" localSheetId="0">#REF!</definedName>
    <definedName name="MPBMWZ3ALL" localSheetId="5">#REF!</definedName>
    <definedName name="MPBMWZ3ALL" localSheetId="4">#REF!</definedName>
    <definedName name="MPBMWZ3ALL">#REF!</definedName>
    <definedName name="MPBMWZ7ALL" localSheetId="0">#REF!</definedName>
    <definedName name="MPBMWZ7ALL" localSheetId="5">#REF!</definedName>
    <definedName name="MPBMWZ7ALL" localSheetId="4">#REF!</definedName>
    <definedName name="MPBMWZ7ALL">#REF!</definedName>
    <definedName name="MPBUICKCENTALL" localSheetId="0">#REF!</definedName>
    <definedName name="MPBUICKCENTALL" localSheetId="5">#REF!</definedName>
    <definedName name="MPBUICKCENTALL" localSheetId="4">#REF!</definedName>
    <definedName name="MPBUICKCENTALL">#REF!</definedName>
    <definedName name="MPBUICKHAWKALL" localSheetId="0">#REF!</definedName>
    <definedName name="MPBUICKHAWKALL" localSheetId="5">#REF!</definedName>
    <definedName name="MPBUICKHAWKALL" localSheetId="4">#REF!</definedName>
    <definedName name="MPBUICKHAWKALL">#REF!</definedName>
    <definedName name="MPBUICKLESALL" localSheetId="0">#REF!</definedName>
    <definedName name="MPBUICKLESALL" localSheetId="5">#REF!</definedName>
    <definedName name="MPBUICKLESALL" localSheetId="4">#REF!</definedName>
    <definedName name="MPBUICKLESALL">#REF!</definedName>
    <definedName name="MPBUICKPARKALL" localSheetId="0">#REF!</definedName>
    <definedName name="MPBUICKPARKALL" localSheetId="5">#REF!</definedName>
    <definedName name="MPBUICKPARKALL" localSheetId="4">#REF!</definedName>
    <definedName name="MPBUICKPARKALL">#REF!</definedName>
    <definedName name="MPBUICKREATTAALL" localSheetId="0">#REF!</definedName>
    <definedName name="MPBUICKREATTAALL" localSheetId="5">#REF!</definedName>
    <definedName name="MPBUICKREATTAALL" localSheetId="4">#REF!</definedName>
    <definedName name="MPBUICKREATTAALL">#REF!</definedName>
    <definedName name="MPBUICKREGALALL" localSheetId="0">#REF!</definedName>
    <definedName name="MPBUICKREGALALL" localSheetId="5">#REF!</definedName>
    <definedName name="MPBUICKREGALALL" localSheetId="4">#REF!</definedName>
    <definedName name="MPBUICKREGALALL">#REF!</definedName>
    <definedName name="MPBUICKROADALL" localSheetId="0">#REF!</definedName>
    <definedName name="MPBUICKROADALL" localSheetId="5">#REF!</definedName>
    <definedName name="MPBUICKROADALL" localSheetId="4">#REF!</definedName>
    <definedName name="MPBUICKROADALL">#REF!</definedName>
    <definedName name="MPBUICKSKYLARKALL" localSheetId="0">#REF!</definedName>
    <definedName name="MPBUICKSKYLARKALL" localSheetId="5">#REF!</definedName>
    <definedName name="MPBUICKSKYLARKALL" localSheetId="4">#REF!</definedName>
    <definedName name="MPBUICKSKYLARKALL">#REF!</definedName>
    <definedName name="MPCADALL" localSheetId="0">#REF!</definedName>
    <definedName name="MPCADALL" localSheetId="5">#REF!</definedName>
    <definedName name="MPCADALL" localSheetId="4">#REF!</definedName>
    <definedName name="MPCADALL">#REF!</definedName>
    <definedName name="MPCADCAT" localSheetId="0">#REF!</definedName>
    <definedName name="MPCADCAT" localSheetId="5">#REF!</definedName>
    <definedName name="MPCADCAT" localSheetId="4">#REF!</definedName>
    <definedName name="MPCADCAT">#REF!</definedName>
    <definedName name="MPCADDILACDEVILLEALL" localSheetId="0">#REF!</definedName>
    <definedName name="MPCADDILACDEVILLEALL" localSheetId="5">#REF!</definedName>
    <definedName name="MPCADDILACDEVILLEALL" localSheetId="4">#REF!</definedName>
    <definedName name="MPCADDILACDEVILLEALL">#REF!</definedName>
    <definedName name="MPCADELDORADOALL" localSheetId="0">#REF!</definedName>
    <definedName name="MPCADELDORADOALL" localSheetId="5">#REF!</definedName>
    <definedName name="MPCADELDORADOALL" localSheetId="4">#REF!</definedName>
    <definedName name="MPCADELDORADOALL">#REF!</definedName>
    <definedName name="MPCADESCL" localSheetId="0">#REF!</definedName>
    <definedName name="MPCADESCL" localSheetId="5">#REF!</definedName>
    <definedName name="MPCADESCL" localSheetId="4">#REF!</definedName>
    <definedName name="MPCADESCL">#REF!</definedName>
    <definedName name="MpCADEVOQ" localSheetId="0">#REF!</definedName>
    <definedName name="MpCADEVOQ" localSheetId="5">#REF!</definedName>
    <definedName name="MpCADEVOQ" localSheetId="4">#REF!</definedName>
    <definedName name="MpCADEVOQ">#REF!</definedName>
    <definedName name="MPCADFLTWD" localSheetId="0">#REF!</definedName>
    <definedName name="MPCADFLTWD" localSheetId="5">#REF!</definedName>
    <definedName name="MPCADFLTWD" localSheetId="4">#REF!</definedName>
    <definedName name="MPCADFLTWD">#REF!</definedName>
    <definedName name="MPCADLAV" localSheetId="0">#REF!</definedName>
    <definedName name="MPCADLAV" localSheetId="5">#REF!</definedName>
    <definedName name="MPCADLAV" localSheetId="4">#REF!</definedName>
    <definedName name="MPCADLAV">#REF!</definedName>
    <definedName name="MPCADPU" localSheetId="0">#REF!</definedName>
    <definedName name="MPCADPU" localSheetId="5">#REF!</definedName>
    <definedName name="MPCADPU" localSheetId="4">#REF!</definedName>
    <definedName name="MPCADPU">#REF!</definedName>
    <definedName name="MPCADSEV" localSheetId="0">#REF!</definedName>
    <definedName name="MPCADSEV" localSheetId="5">#REF!</definedName>
    <definedName name="MPCADSEV" localSheetId="4">#REF!</definedName>
    <definedName name="MPCADSEV">#REF!</definedName>
    <definedName name="MPCHAVA" localSheetId="0">#REF!</definedName>
    <definedName name="MPCHAVA" localSheetId="5">#REF!</definedName>
    <definedName name="MPCHAVA" localSheetId="4">#REF!</definedName>
    <definedName name="MPCHAVA">#REF!</definedName>
    <definedName name="MPCHBLAZ4" localSheetId="0">#REF!</definedName>
    <definedName name="MPCHBLAZ4" localSheetId="5">#REF!</definedName>
    <definedName name="MPCHBLAZ4" localSheetId="4">#REF!</definedName>
    <definedName name="MPCHBLAZ4">#REF!</definedName>
    <definedName name="MPCHCAMAROALL" localSheetId="0">#REF!</definedName>
    <definedName name="MPCHCAMAROALL" localSheetId="5">#REF!</definedName>
    <definedName name="MPCHCAMAROALL" localSheetId="4">#REF!</definedName>
    <definedName name="MPCHCAMAROALL">#REF!</definedName>
    <definedName name="MPCHCAPRICALL" localSheetId="0">#REF!</definedName>
    <definedName name="MPCHCAPRICALL" localSheetId="5">#REF!</definedName>
    <definedName name="MPCHCAPRICALL" localSheetId="4">#REF!</definedName>
    <definedName name="MPCHCAPRICALL">#REF!</definedName>
    <definedName name="MPCHCAVALIERALL" localSheetId="0">#REF!</definedName>
    <definedName name="MPCHCAVALIERALL" localSheetId="5">#REF!</definedName>
    <definedName name="MPCHCAVALIERALL" localSheetId="4">#REF!</definedName>
    <definedName name="MPCHCAVALIERALL">#REF!</definedName>
    <definedName name="MPCHCELEBALL" localSheetId="0">#REF!</definedName>
    <definedName name="MPCHCELEBALL" localSheetId="5">#REF!</definedName>
    <definedName name="MPCHCELEBALL" localSheetId="4">#REF!</definedName>
    <definedName name="MPCHCELEBALL">#REF!</definedName>
    <definedName name="MPCHCORS_MALIBUALL" localSheetId="0">#REF!</definedName>
    <definedName name="MPCHCORS_MALIBUALL" localSheetId="5">#REF!</definedName>
    <definedName name="MPCHCORS_MALIBUALL" localSheetId="4">#REF!</definedName>
    <definedName name="MPCHCORS_MALIBUALL">#REF!</definedName>
    <definedName name="MPCHCORVETTEALL" localSheetId="0">#REF!</definedName>
    <definedName name="MPCHCORVETTEALL" localSheetId="5">#REF!</definedName>
    <definedName name="MPCHCORVETTEALL" localSheetId="4">#REF!</definedName>
    <definedName name="MPCHCORVETTEALL">#REF!</definedName>
    <definedName name="MPCHEVASTROALL" localSheetId="0">#REF!</definedName>
    <definedName name="MPCHEVASTROALL" localSheetId="5">#REF!</definedName>
    <definedName name="MPCHEVASTROALL" localSheetId="4">#REF!</definedName>
    <definedName name="MPCHEVASTROALL">#REF!</definedName>
    <definedName name="MPCHEVBLAZERALL" localSheetId="0">#REF!</definedName>
    <definedName name="MPCHEVBLAZERALL" localSheetId="5">#REF!</definedName>
    <definedName name="MPCHEVBLAZERALL" localSheetId="4">#REF!</definedName>
    <definedName name="MPCHEVBLAZERALL">#REF!</definedName>
    <definedName name="MPCHEVCKALL" localSheetId="0">#REF!</definedName>
    <definedName name="MPCHEVCKALL" localSheetId="5">#REF!</definedName>
    <definedName name="MPCHEVCKALL" localSheetId="4">#REF!</definedName>
    <definedName name="MPCHEVCKALL">#REF!</definedName>
    <definedName name="MPCHEVEXPALL" localSheetId="0">#REF!</definedName>
    <definedName name="MPCHEVEXPALL" localSheetId="5">#REF!</definedName>
    <definedName name="MPCHEVEXPALL" localSheetId="4">#REF!</definedName>
    <definedName name="MPCHEVEXPALL">#REF!</definedName>
    <definedName name="MPCHEVLUMCARALL" localSheetId="0">#REF!</definedName>
    <definedName name="MPCHEVLUMCARALL" localSheetId="5">#REF!</definedName>
    <definedName name="MPCHEVLUMCARALL" localSheetId="4">#REF!</definedName>
    <definedName name="MPCHEVLUMCARALL">#REF!</definedName>
    <definedName name="MPCHEVLUMINAALL" localSheetId="0">#REF!</definedName>
    <definedName name="MPCHEVLUMINAALL" localSheetId="5">#REF!</definedName>
    <definedName name="MPCHEVLUMINAALL" localSheetId="4">#REF!</definedName>
    <definedName name="MPCHEVLUMINAALL">#REF!</definedName>
    <definedName name="MPCHEVPRIZMALL" localSheetId="0">#REF!</definedName>
    <definedName name="MPCHEVPRIZMALL" localSheetId="5">#REF!</definedName>
    <definedName name="MPCHEVPRIZMALL" localSheetId="4">#REF!</definedName>
    <definedName name="MPCHEVPRIZMALL">#REF!</definedName>
    <definedName name="MPCHEVS10ALL" localSheetId="0">#REF!</definedName>
    <definedName name="MPCHEVS10ALL" localSheetId="5">#REF!</definedName>
    <definedName name="MPCHEVS10ALL" localSheetId="4">#REF!</definedName>
    <definedName name="MPCHEVS10ALL">#REF!</definedName>
    <definedName name="MPCHEVSUBURBAN" localSheetId="0">#REF!</definedName>
    <definedName name="MPCHEVSUBURBAN" localSheetId="5">#REF!</definedName>
    <definedName name="MPCHEVSUBURBAN" localSheetId="4">#REF!</definedName>
    <definedName name="MPCHEVSUBURBAN">#REF!</definedName>
    <definedName name="MPCHEVTAHOEALL" localSheetId="0">#REF!</definedName>
    <definedName name="MPCHEVTAHOEALL" localSheetId="5">#REF!</definedName>
    <definedName name="MPCHEVTAHOEALL" localSheetId="4">#REF!</definedName>
    <definedName name="MPCHEVTAHOEALL">#REF!</definedName>
    <definedName name="MPCHEVTRACKERALL" localSheetId="0">#REF!</definedName>
    <definedName name="MPCHEVTRACKERALL" localSheetId="5">#REF!</definedName>
    <definedName name="MPCHEVTRACKERALL" localSheetId="4">#REF!</definedName>
    <definedName name="MPCHEVTRACKERALL">#REF!</definedName>
    <definedName name="MPCHMETROALL" localSheetId="0">#REF!</definedName>
    <definedName name="MPCHMETROALL" localSheetId="5">#REF!</definedName>
    <definedName name="MPCHMETROALL" localSheetId="4">#REF!</definedName>
    <definedName name="MPCHMETROALL">#REF!</definedName>
    <definedName name="MPCHR300LHS" localSheetId="0">#REF!</definedName>
    <definedName name="MPCHR300LHS" localSheetId="5">#REF!</definedName>
    <definedName name="MPCHR300LHS" localSheetId="4">#REF!</definedName>
    <definedName name="MPCHR300LHS">#REF!</definedName>
    <definedName name="MPCHRCON" localSheetId="0">#REF!</definedName>
    <definedName name="MPCHRCON" localSheetId="5">#REF!</definedName>
    <definedName name="MPCHRCON" localSheetId="4">#REF!</definedName>
    <definedName name="MPCHRCON">#REF!</definedName>
    <definedName name="MPCHRCONQCP" localSheetId="0">#REF!</definedName>
    <definedName name="MPCHRCONQCP" localSheetId="5">#REF!</definedName>
    <definedName name="MPCHRCONQCP" localSheetId="4">#REF!</definedName>
    <definedName name="MPCHRCONQCP">#REF!</definedName>
    <definedName name="MPCHRIMP" localSheetId="0">#REF!</definedName>
    <definedName name="MPCHRIMP" localSheetId="5">#REF!</definedName>
    <definedName name="MPCHRIMP" localSheetId="4">#REF!</definedName>
    <definedName name="MPCHRIMP">#REF!</definedName>
    <definedName name="MPCHRNY" localSheetId="0">#REF!</definedName>
    <definedName name="MPCHRNY" localSheetId="5">#REF!</definedName>
    <definedName name="MPCHRNY" localSheetId="4">#REF!</definedName>
    <definedName name="MPCHRNY">#REF!</definedName>
    <definedName name="MPCHRNYLHSALL" localSheetId="0">#REF!</definedName>
    <definedName name="MPCHRNYLHSALL" localSheetId="5">#REF!</definedName>
    <definedName name="MPCHRNYLHSALL" localSheetId="4">#REF!</definedName>
    <definedName name="MPCHRNYLHSALL">#REF!</definedName>
    <definedName name="MPCHRSEB" localSheetId="0">#REF!</definedName>
    <definedName name="MPCHRSEB" localSheetId="5">#REF!</definedName>
    <definedName name="MPCHRSEB" localSheetId="4">#REF!</definedName>
    <definedName name="MPCHRSEB">#REF!</definedName>
    <definedName name="MPCHRTC" localSheetId="0">#REF!</definedName>
    <definedName name="MPCHRTC" localSheetId="5">#REF!</definedName>
    <definedName name="MPCHRTC" localSheetId="4">#REF!</definedName>
    <definedName name="MPCHRTC">#REF!</definedName>
    <definedName name="MPCHRYSEB_JXALL" localSheetId="0">#REF!</definedName>
    <definedName name="MPCHRYSEB_JXALL" localSheetId="5">#REF!</definedName>
    <definedName name="MPCHRYSEB_JXALL" localSheetId="4">#REF!</definedName>
    <definedName name="MPCHRYSEB_JXALL">#REF!</definedName>
    <definedName name="MPCHRYSLEBA_CIRRALL" localSheetId="0">#REF!</definedName>
    <definedName name="MPCHRYSLEBA_CIRRALL" localSheetId="5">#REF!</definedName>
    <definedName name="MPCHRYSLEBA_CIRRALL" localSheetId="4">#REF!</definedName>
    <definedName name="MPCHRYSLEBA_CIRRALL">#REF!</definedName>
    <definedName name="MPCHSTORM_SPECTALL" localSheetId="0">#REF!</definedName>
    <definedName name="MPCHSTORM_SPECTALL" localSheetId="5">#REF!</definedName>
    <definedName name="MPCHSTORM_SPECTALL" localSheetId="4">#REF!</definedName>
    <definedName name="MPCHSTORM_SPECTALL">#REF!</definedName>
    <definedName name="MPCHVMONTEALL" localSheetId="0">#REF!</definedName>
    <definedName name="MPCHVMONTEALL" localSheetId="5">#REF!</definedName>
    <definedName name="MPCHVMONTEALL" localSheetId="4">#REF!</definedName>
    <definedName name="MPCHVMONTEALL">#REF!</definedName>
    <definedName name="MPCHVSPECTRUMALL" localSheetId="0">#REF!</definedName>
    <definedName name="MPCHVSPECTRUMALL" localSheetId="5">#REF!</definedName>
    <definedName name="MPCHVSPECTRUMALL" localSheetId="4">#REF!</definedName>
    <definedName name="MPCHVSPECTRUMALL">#REF!</definedName>
    <definedName name="MPCHVSTORMALL" localSheetId="0">#REF!</definedName>
    <definedName name="MPCHVSTORMALL" localSheetId="5">#REF!</definedName>
    <definedName name="MPCHVSTORMALL" localSheetId="4">#REF!</definedName>
    <definedName name="MPCHVSTORMALL">#REF!</definedName>
    <definedName name="MPCRYPT" localSheetId="0">#REF!</definedName>
    <definedName name="MPCRYPT" localSheetId="5">#REF!</definedName>
    <definedName name="MPCRYPT" localSheetId="4">#REF!</definedName>
    <definedName name="MPCRYPT">#REF!</definedName>
    <definedName name="MPCRYTC" localSheetId="0">#REF!</definedName>
    <definedName name="MPCRYTC" localSheetId="5">#REF!</definedName>
    <definedName name="MPCRYTC" localSheetId="4">#REF!</definedName>
    <definedName name="MPCRYTC">#REF!</definedName>
    <definedName name="MPCRYVOY" localSheetId="0">#REF!</definedName>
    <definedName name="MPCRYVOY" localSheetId="5">#REF!</definedName>
    <definedName name="MPCRYVOY" localSheetId="4">#REF!</definedName>
    <definedName name="MPCRYVOY">#REF!</definedName>
    <definedName name="MPCVBERETT" localSheetId="0">#REF!</definedName>
    <definedName name="MPCVBERETT" localSheetId="5">#REF!</definedName>
    <definedName name="MPCVBERETT" localSheetId="4">#REF!</definedName>
    <definedName name="MPCVBERETT">#REF!</definedName>
    <definedName name="MPDAELANOSALL" localSheetId="0">#REF!</definedName>
    <definedName name="MPDAELANOSALL" localSheetId="5">#REF!</definedName>
    <definedName name="MPDAELANOSALL" localSheetId="4">#REF!</definedName>
    <definedName name="MPDAELANOSALL">#REF!</definedName>
    <definedName name="MPDAICHARADEALL" localSheetId="0">#REF!</definedName>
    <definedName name="MPDAICHARADEALL" localSheetId="5">#REF!</definedName>
    <definedName name="MPDAICHARADEALL" localSheetId="4">#REF!</definedName>
    <definedName name="MPDAICHARADEALL">#REF!</definedName>
    <definedName name="MPDAIROCKY" localSheetId="0">#REF!</definedName>
    <definedName name="MPDAIROCKY" localSheetId="5">#REF!</definedName>
    <definedName name="MPDAIROCKY" localSheetId="4">#REF!</definedName>
    <definedName name="MPDAIROCKY">#REF!</definedName>
    <definedName name="MPDG50ALL" localSheetId="0">#REF!</definedName>
    <definedName name="MPDG50ALL" localSheetId="5">#REF!</definedName>
    <definedName name="MPDG50ALL" localSheetId="4">#REF!</definedName>
    <definedName name="MPDG50ALL">#REF!</definedName>
    <definedName name="MPDGCARAVANALL" localSheetId="0">#REF!</definedName>
    <definedName name="MPDGCARAVANALL" localSheetId="5">#REF!</definedName>
    <definedName name="MPDGCARAVANALL" localSheetId="4">#REF!</definedName>
    <definedName name="MPDGCARAVANALL">#REF!</definedName>
    <definedName name="MPDGDAKOTA4NU" localSheetId="0">#REF!</definedName>
    <definedName name="MPDGDAKOTA4NU" localSheetId="5">#REF!</definedName>
    <definedName name="MPDGDAKOTA4NU" localSheetId="4">#REF!</definedName>
    <definedName name="MPDGDAKOTA4NU">#REF!</definedName>
    <definedName name="MPDGDAKOTAALL" localSheetId="0">#REF!</definedName>
    <definedName name="MPDGDAKOTAALL" localSheetId="5">#REF!</definedName>
    <definedName name="MPDGDAKOTAALL" localSheetId="4">#REF!</definedName>
    <definedName name="MPDGDAKOTAALL">#REF!</definedName>
    <definedName name="MPDGDURANGO" localSheetId="0">#REF!</definedName>
    <definedName name="MPDGDURANGO" localSheetId="5">#REF!</definedName>
    <definedName name="MPDGDURANGO" localSheetId="4">#REF!</definedName>
    <definedName name="MPDGDURANGO">#REF!</definedName>
    <definedName name="MPDGRAIDERALL" localSheetId="0">#REF!</definedName>
    <definedName name="MPDGRAIDERALL" localSheetId="5">#REF!</definedName>
    <definedName name="MPDGRAIDERALL" localSheetId="4">#REF!</definedName>
    <definedName name="MPDGRAIDERALL">#REF!</definedName>
    <definedName name="MPDGRAMCHARGER" localSheetId="0">#REF!</definedName>
    <definedName name="MPDGRAMCHARGER" localSheetId="5">#REF!</definedName>
    <definedName name="MPDGRAMCHARGER" localSheetId="4">#REF!</definedName>
    <definedName name="MPDGRAMCHARGER">#REF!</definedName>
    <definedName name="MPDGRAMPUALL" localSheetId="0">#REF!</definedName>
    <definedName name="MPDGRAMPUALL" localSheetId="5">#REF!</definedName>
    <definedName name="MPDGRAMPUALL" localSheetId="4">#REF!</definedName>
    <definedName name="MPDGRAMPUALL">#REF!</definedName>
    <definedName name="MPDGRAMVANALL" localSheetId="0">#REF!</definedName>
    <definedName name="MPDGRAMVANALL" localSheetId="5">#REF!</definedName>
    <definedName name="MPDGRAMVANALL" localSheetId="4">#REF!</definedName>
    <definedName name="MPDGRAMVANALL">#REF!</definedName>
    <definedName name="MPDODCOLTALL" localSheetId="0">#REF!</definedName>
    <definedName name="MPDODCOLTALL" localSheetId="5">#REF!</definedName>
    <definedName name="MPDODCOLTALL" localSheetId="4">#REF!</definedName>
    <definedName name="MPDODCOLTALL">#REF!</definedName>
    <definedName name="MPDODINTRALL" localSheetId="0">#REF!</definedName>
    <definedName name="MPDODINTRALL" localSheetId="5">#REF!</definedName>
    <definedName name="MPDODINTRALL" localSheetId="4">#REF!</definedName>
    <definedName name="MPDODINTRALL">#REF!</definedName>
    <definedName name="MPDODNEON_SHADALL" localSheetId="0">#REF!</definedName>
    <definedName name="MPDODNEON_SHADALL" localSheetId="5">#REF!</definedName>
    <definedName name="MPDODNEON_SHADALL" localSheetId="4">#REF!</definedName>
    <definedName name="MPDODNEON_SHADALL">#REF!</definedName>
    <definedName name="MPDODSPIRIT_STRATALL" localSheetId="0">#REF!</definedName>
    <definedName name="MPDODSPIRIT_STRATALL" localSheetId="5">#REF!</definedName>
    <definedName name="MPDODSPIRIT_STRATALL" localSheetId="4">#REF!</definedName>
    <definedName name="MPDODSPIRIT_STRATALL">#REF!</definedName>
    <definedName name="MPDODVIPERALL" localSheetId="0">#REF!</definedName>
    <definedName name="MPDODVIPERALL" localSheetId="5">#REF!</definedName>
    <definedName name="MPDODVIPERALL" localSheetId="4">#REF!</definedName>
    <definedName name="MPDODVIPERALL">#REF!</definedName>
    <definedName name="MPDOGAVENG" localSheetId="0">#REF!</definedName>
    <definedName name="MPDOGAVENG" localSheetId="5">#REF!</definedName>
    <definedName name="MPDOGAVENG" localSheetId="4">#REF!</definedName>
    <definedName name="MPDOGAVENG">#REF!</definedName>
    <definedName name="MPDOGCOLTVW" localSheetId="0">#REF!</definedName>
    <definedName name="MPDOGCOLTVW" localSheetId="5">#REF!</definedName>
    <definedName name="MPDOGCOLTVW" localSheetId="4">#REF!</definedName>
    <definedName name="MPDOGCOLTVW">#REF!</definedName>
    <definedName name="MPDOGDAYTONA" localSheetId="0">#REF!</definedName>
    <definedName name="MPDOGDAYTONA" localSheetId="5">#REF!</definedName>
    <definedName name="MPDOGDAYTONA" localSheetId="4">#REF!</definedName>
    <definedName name="MPDOGDAYTONA">#REF!</definedName>
    <definedName name="MPDOGDIP" localSheetId="0">#REF!</definedName>
    <definedName name="MPDOGDIP" localSheetId="5">#REF!</definedName>
    <definedName name="MPDOGDIP" localSheetId="4">#REF!</definedName>
    <definedName name="MPDOGDIP">#REF!</definedName>
    <definedName name="MPDOGDYN" localSheetId="0">#REF!</definedName>
    <definedName name="MPDOGDYN" localSheetId="5">#REF!</definedName>
    <definedName name="MPDOGDYN" localSheetId="4">#REF!</definedName>
    <definedName name="MPDOGDYN">#REF!</definedName>
    <definedName name="MPDOGLAN" localSheetId="0">#REF!</definedName>
    <definedName name="MPDOGLAN" localSheetId="5">#REF!</definedName>
    <definedName name="MPDOGLAN" localSheetId="4">#REF!</definedName>
    <definedName name="MPDOGLAN">#REF!</definedName>
    <definedName name="MPDOGOMNI" localSheetId="0">#REF!</definedName>
    <definedName name="MPDOGOMNI" localSheetId="5">#REF!</definedName>
    <definedName name="MPDOGOMNI" localSheetId="4">#REF!</definedName>
    <definedName name="MPDOGOMNI">#REF!</definedName>
    <definedName name="MPDOGSTLTH" localSheetId="0">#REF!</definedName>
    <definedName name="MPDOGSTLTH" localSheetId="5">#REF!</definedName>
    <definedName name="MPDOGSTLTH" localSheetId="4">#REF!</definedName>
    <definedName name="MPDOGSTLTH">#REF!</definedName>
    <definedName name="MPDW100P" localSheetId="0">#REF!</definedName>
    <definedName name="MPDW100P" localSheetId="5">#REF!</definedName>
    <definedName name="MPDW100P" localSheetId="4">#REF!</definedName>
    <definedName name="MPDW100P">#REF!</definedName>
    <definedName name="MPDWESPERO" localSheetId="0">#REF!</definedName>
    <definedName name="MPDWESPERO" localSheetId="5">#REF!</definedName>
    <definedName name="MPDWESPERO" localSheetId="4">#REF!</definedName>
    <definedName name="MPDWESPERO">#REF!</definedName>
    <definedName name="MPDWKORANDO" localSheetId="0">#REF!</definedName>
    <definedName name="MPDWKORANDO" localSheetId="5">#REF!</definedName>
    <definedName name="MPDWKORANDO" localSheetId="4">#REF!</definedName>
    <definedName name="MPDWKORANDO">#REF!</definedName>
    <definedName name="MPDWNUBALL" localSheetId="0">#REF!</definedName>
    <definedName name="MPDWNUBALL" localSheetId="5">#REF!</definedName>
    <definedName name="MPDWNUBALL" localSheetId="4">#REF!</definedName>
    <definedName name="MPDWNUBALL">#REF!</definedName>
    <definedName name="MPEGGTALON" localSheetId="0">#REF!</definedName>
    <definedName name="MPEGGTALON" localSheetId="5">#REF!</definedName>
    <definedName name="MPEGGTALON" localSheetId="4">#REF!</definedName>
    <definedName name="MPEGGTALON">#REF!</definedName>
    <definedName name="MPEGLMEDALL" localSheetId="0">#REF!</definedName>
    <definedName name="MPEGLMEDALL" localSheetId="5">#REF!</definedName>
    <definedName name="MPEGLMEDALL" localSheetId="4">#REF!</definedName>
    <definedName name="MPEGLMEDALL">#REF!</definedName>
    <definedName name="MPEGLPREM_VISALL" localSheetId="0">#REF!</definedName>
    <definedName name="MPEGLPREM_VISALL" localSheetId="5">#REF!</definedName>
    <definedName name="MPEGLPREM_VISALL" localSheetId="4">#REF!</definedName>
    <definedName name="MPEGLPREM_VISALL">#REF!</definedName>
    <definedName name="MPEGLSUMMITALL" localSheetId="0">#REF!</definedName>
    <definedName name="MPEGLSUMMITALL" localSheetId="5">#REF!</definedName>
    <definedName name="MPEGLSUMMITALL" localSheetId="4">#REF!</definedName>
    <definedName name="MPEGLSUMMITALL">#REF!</definedName>
    <definedName name="MPEGLSUMW" localSheetId="0">#REF!</definedName>
    <definedName name="MPEGLSUMW" localSheetId="5">#REF!</definedName>
    <definedName name="MPEGLSUMW" localSheetId="4">#REF!</definedName>
    <definedName name="MPEGLSUMW">#REF!</definedName>
    <definedName name="MPFDAEROALL" localSheetId="0">#REF!</definedName>
    <definedName name="MPFDAEROALL" localSheetId="5">#REF!</definedName>
    <definedName name="MPFDAEROALL" localSheetId="4">#REF!</definedName>
    <definedName name="MPFDAEROALL">#REF!</definedName>
    <definedName name="MPFDASPIREALL" localSheetId="0">#REF!</definedName>
    <definedName name="MPFDASPIREALL" localSheetId="5">#REF!</definedName>
    <definedName name="MPFDASPIREALL" localSheetId="4">#REF!</definedName>
    <definedName name="MPFDASPIREALL">#REF!</definedName>
    <definedName name="MPFDBRONCEXPED" localSheetId="0">#REF!</definedName>
    <definedName name="MPFDBRONCEXPED" localSheetId="5">#REF!</definedName>
    <definedName name="MPFDBRONCEXPED" localSheetId="4">#REF!</definedName>
    <definedName name="MPFDBRONCEXPED">#REF!</definedName>
    <definedName name="MPFDCRWNVICALL" localSheetId="0">#REF!</definedName>
    <definedName name="MPFDCRWNVICALL" localSheetId="5">#REF!</definedName>
    <definedName name="MPFDCRWNVICALL" localSheetId="4">#REF!</definedName>
    <definedName name="MPFDCRWNVICALL">#REF!</definedName>
    <definedName name="MPFDECONCLUB" localSheetId="0">#REF!</definedName>
    <definedName name="MPFDECONCLUB" localSheetId="5">#REF!</definedName>
    <definedName name="MPFDECONCLUB" localSheetId="4">#REF!</definedName>
    <definedName name="MPFDECONCLUB">#REF!</definedName>
    <definedName name="MPFDESCORTALL" localSheetId="0">#REF!</definedName>
    <definedName name="MPFDESCORTALL" localSheetId="5">#REF!</definedName>
    <definedName name="MPFDESCORTALL" localSheetId="4">#REF!</definedName>
    <definedName name="MPFDESCORTALL">#REF!</definedName>
    <definedName name="MPFDEXCUR" localSheetId="0">#REF!</definedName>
    <definedName name="MPFDEXCUR" localSheetId="5">#REF!</definedName>
    <definedName name="MPFDEXCUR" localSheetId="4">#REF!</definedName>
    <definedName name="MPFDEXCUR">#REF!</definedName>
    <definedName name="MPFDEXPLORALL" localSheetId="0">#REF!</definedName>
    <definedName name="MPFDEXPLORALL" localSheetId="5">#REF!</definedName>
    <definedName name="MPFDEXPLORALL" localSheetId="4">#REF!</definedName>
    <definedName name="MPFDEXPLORALL">#REF!</definedName>
    <definedName name="MPFDFOCUSALL" localSheetId="0">#REF!</definedName>
    <definedName name="MPFDFOCUSALL" localSheetId="5">#REF!</definedName>
    <definedName name="MPFDFOCUSALL" localSheetId="4">#REF!</definedName>
    <definedName name="MPFDFOCUSALL">#REF!</definedName>
    <definedName name="MPFDFSERIES" localSheetId="0">#REF!</definedName>
    <definedName name="MPFDFSERIES" localSheetId="5">#REF!</definedName>
    <definedName name="MPFDFSERIES" localSheetId="4">#REF!</definedName>
    <definedName name="MPFDFSERIES">#REF!</definedName>
    <definedName name="MPFDMUSTANGALL" localSheetId="0">#REF!</definedName>
    <definedName name="MPFDMUSTANGALL" localSheetId="5">#REF!</definedName>
    <definedName name="MPFDMUSTANGALL" localSheetId="4">#REF!</definedName>
    <definedName name="MPFDMUSTANGALL">#REF!</definedName>
    <definedName name="MPFDP225X" localSheetId="0">#REF!</definedName>
    <definedName name="MPFDP225X" localSheetId="5">#REF!</definedName>
    <definedName name="MPFDP225X" localSheetId="4">#REF!</definedName>
    <definedName name="MPFDP225X">#REF!</definedName>
    <definedName name="MPFDPB" localSheetId="0">#REF!</definedName>
    <definedName name="MPFDPB" localSheetId="5">#REF!</definedName>
    <definedName name="MPFDPB" localSheetId="4">#REF!</definedName>
    <definedName name="MPFDPB">#REF!</definedName>
    <definedName name="MPFDRANGER4" localSheetId="0">#REF!</definedName>
    <definedName name="MPFDRANGER4" localSheetId="5">#REF!</definedName>
    <definedName name="MPFDRANGER4" localSheetId="4">#REF!</definedName>
    <definedName name="MPFDRANGER4">#REF!</definedName>
    <definedName name="MPFDRANGERALL" localSheetId="0">#REF!</definedName>
    <definedName name="MPFDRANGERALL" localSheetId="5">#REF!</definedName>
    <definedName name="MPFDRANGERALL" localSheetId="4">#REF!</definedName>
    <definedName name="MPFDRANGERALL">#REF!</definedName>
    <definedName name="MPFDTAURUSALL" localSheetId="0">#REF!</definedName>
    <definedName name="MPFDTAURUSALL" localSheetId="5">#REF!</definedName>
    <definedName name="MPFDTAURUSALL" localSheetId="4">#REF!</definedName>
    <definedName name="MPFDTAURUSALL">#REF!</definedName>
    <definedName name="MPFDTBIRDALL" localSheetId="0">#REF!</definedName>
    <definedName name="MPFDTBIRDALL" localSheetId="5">#REF!</definedName>
    <definedName name="MPFDTBIRDALL" localSheetId="4">#REF!</definedName>
    <definedName name="MPFDTBIRDALL">#REF!</definedName>
    <definedName name="MPFDTEMPOALL" localSheetId="0">#REF!</definedName>
    <definedName name="MPFDTEMPOALL" localSheetId="5">#REF!</definedName>
    <definedName name="MPFDTEMPOALL" localSheetId="4">#REF!</definedName>
    <definedName name="MPFDTEMPOALL">#REF!</definedName>
    <definedName name="MPFDU204" localSheetId="0">#REF!</definedName>
    <definedName name="MPFDU204" localSheetId="5">#REF!</definedName>
    <definedName name="MPFDU204" localSheetId="4">#REF!</definedName>
    <definedName name="MPFDU204">#REF!</definedName>
    <definedName name="MPFDU207" localSheetId="0">#REF!</definedName>
    <definedName name="MPFDU207" localSheetId="5">#REF!</definedName>
    <definedName name="MPFDU207" localSheetId="4">#REF!</definedName>
    <definedName name="MPFDU207">#REF!</definedName>
    <definedName name="MPFDU221ALL" localSheetId="0">#REF!</definedName>
    <definedName name="MPFDU221ALL" localSheetId="5">#REF!</definedName>
    <definedName name="MPFDU221ALL" localSheetId="4">#REF!</definedName>
    <definedName name="MPFDU221ALL">#REF!</definedName>
    <definedName name="MPFDWIND" localSheetId="0">#REF!</definedName>
    <definedName name="MPFDWIND" localSheetId="5">#REF!</definedName>
    <definedName name="MPFDWIND" localSheetId="4">#REF!</definedName>
    <definedName name="MPFDWIND">#REF!</definedName>
    <definedName name="MPGMCENVWAR" localSheetId="0">#REF!</definedName>
    <definedName name="MPGMCENVWAR" localSheetId="5">#REF!</definedName>
    <definedName name="MPGMCENVWAR" localSheetId="4">#REF!</definedName>
    <definedName name="MPGMCENVWAR">#REF!</definedName>
    <definedName name="MPGMCJIMMY" localSheetId="0">#REF!</definedName>
    <definedName name="MPGMCJIMMY" localSheetId="5">#REF!</definedName>
    <definedName name="MPGMCJIMMY" localSheetId="4">#REF!</definedName>
    <definedName name="MPGMCJIMMY">#REF!</definedName>
    <definedName name="MPGMCSAFARI" localSheetId="0">#REF!</definedName>
    <definedName name="MPGMCSAFARI" localSheetId="5">#REF!</definedName>
    <definedName name="MPGMCSAFARI" localSheetId="4">#REF!</definedName>
    <definedName name="MPGMCSAFARI">#REF!</definedName>
    <definedName name="MPGMCSAVANA" localSheetId="0">#REF!</definedName>
    <definedName name="MPGMCSAVANA" localSheetId="5">#REF!</definedName>
    <definedName name="MPGMCSAVANA" localSheetId="4">#REF!</definedName>
    <definedName name="MPGMCSAVANA">#REF!</definedName>
    <definedName name="MPGMCSEIRRA" localSheetId="0">#REF!</definedName>
    <definedName name="MPGMCSEIRRA" localSheetId="5">#REF!</definedName>
    <definedName name="MPGMCSEIRRA" localSheetId="4">#REF!</definedName>
    <definedName name="MPGMCSEIRRA">#REF!</definedName>
    <definedName name="MPGMCSONOMA" localSheetId="0">#REF!</definedName>
    <definedName name="MPGMCSONOMA" localSheetId="5">#REF!</definedName>
    <definedName name="MPGMCSONOMA" localSheetId="4">#REF!</definedName>
    <definedName name="MPGMCSONOMA">#REF!</definedName>
    <definedName name="MPGMCSUB" localSheetId="0">#REF!</definedName>
    <definedName name="MPGMCSUB" localSheetId="5">#REF!</definedName>
    <definedName name="MPGMCSUB" localSheetId="4">#REF!</definedName>
    <definedName name="MPGMCSUB">#REF!</definedName>
    <definedName name="MPGMCYUK" localSheetId="0">#REF!</definedName>
    <definedName name="MPGMCYUK" localSheetId="5">#REF!</definedName>
    <definedName name="MPGMCYUK" localSheetId="4">#REF!</definedName>
    <definedName name="MPGMCYUK">#REF!</definedName>
    <definedName name="MPHONACCORDALL" localSheetId="0">#REF!</definedName>
    <definedName name="MPHONACCORDALL" localSheetId="5">#REF!</definedName>
    <definedName name="MPHONACCORDALL" localSheetId="4">#REF!</definedName>
    <definedName name="MPHONACCORDALL">#REF!</definedName>
    <definedName name="MPHONCIVICALL" localSheetId="0">#REF!</definedName>
    <definedName name="MPHONCIVICALL" localSheetId="5">#REF!</definedName>
    <definedName name="MPHONCIVICALL" localSheetId="4">#REF!</definedName>
    <definedName name="MPHONCIVICALL">#REF!</definedName>
    <definedName name="MPHONCIVICDELSOLALL" localSheetId="0">#REF!</definedName>
    <definedName name="MPHONCIVICDELSOLALL" localSheetId="5">#REF!</definedName>
    <definedName name="MPHONCIVICDELSOLALL" localSheetId="4">#REF!</definedName>
    <definedName name="MPHONCIVICDELSOLALL">#REF!</definedName>
    <definedName name="MPHONCRV" localSheetId="0">#REF!</definedName>
    <definedName name="MPHONCRV" localSheetId="5">#REF!</definedName>
    <definedName name="MPHONCRV" localSheetId="4">#REF!</definedName>
    <definedName name="MPHONCRV">#REF!</definedName>
    <definedName name="MPHONEV" localSheetId="0">#REF!</definedName>
    <definedName name="MPHONEV" localSheetId="5">#REF!</definedName>
    <definedName name="MPHONEV" localSheetId="4">#REF!</definedName>
    <definedName name="MPHONEV">#REF!</definedName>
    <definedName name="MPHONMAV" localSheetId="0">#REF!</definedName>
    <definedName name="MPHONMAV" localSheetId="5">#REF!</definedName>
    <definedName name="MPHONMAV" localSheetId="4">#REF!</definedName>
    <definedName name="MPHONMAV">#REF!</definedName>
    <definedName name="MPHONODYP" localSheetId="0">#REF!</definedName>
    <definedName name="MPHONODYP" localSheetId="5">#REF!</definedName>
    <definedName name="MPHONODYP" localSheetId="4">#REF!</definedName>
    <definedName name="MPHONODYP">#REF!</definedName>
    <definedName name="MPHONPASS" localSheetId="0">#REF!</definedName>
    <definedName name="MPHONPASS" localSheetId="5">#REF!</definedName>
    <definedName name="MPHONPASS" localSheetId="4">#REF!</definedName>
    <definedName name="MPHONPASS">#REF!</definedName>
    <definedName name="MPHONPLUDE" localSheetId="0">#REF!</definedName>
    <definedName name="MPHONPLUDE" localSheetId="5">#REF!</definedName>
    <definedName name="MPHONPLUDE" localSheetId="4">#REF!</definedName>
    <definedName name="MPHONPLUDE">#REF!</definedName>
    <definedName name="MPHONSSM" localSheetId="0">#REF!</definedName>
    <definedName name="MPHONSSM" localSheetId="5">#REF!</definedName>
    <definedName name="MPHONSSM" localSheetId="4">#REF!</definedName>
    <definedName name="MPHONSSM">#REF!</definedName>
    <definedName name="MPHONTMP" localSheetId="0">#REF!</definedName>
    <definedName name="MPHONTMP" localSheetId="5">#REF!</definedName>
    <definedName name="MPHONTMP" localSheetId="4">#REF!</definedName>
    <definedName name="MPHONTMP">#REF!</definedName>
    <definedName name="MPHONVV" localSheetId="0">#REF!</definedName>
    <definedName name="MPHONVV" localSheetId="5">#REF!</definedName>
    <definedName name="MPHONVV" localSheetId="4">#REF!</definedName>
    <definedName name="MPHONVV">#REF!</definedName>
    <definedName name="MPHYNACCENTALL" localSheetId="0">#REF!</definedName>
    <definedName name="MPHYNACCENTALL" localSheetId="5">#REF!</definedName>
    <definedName name="MPHYNACCENTALL" localSheetId="4">#REF!</definedName>
    <definedName name="MPHYNACCENTALL">#REF!</definedName>
    <definedName name="MPHYNELANTRAALL" localSheetId="0">#REF!</definedName>
    <definedName name="MPHYNELANTRAALL" localSheetId="5">#REF!</definedName>
    <definedName name="MPHYNELANTRAALL" localSheetId="4">#REF!</definedName>
    <definedName name="MPHYNELANTRAALL">#REF!</definedName>
    <definedName name="MPHYNMINI" localSheetId="0">#REF!</definedName>
    <definedName name="MPHYNMINI" localSheetId="5">#REF!</definedName>
    <definedName name="MPHYNMINI" localSheetId="4">#REF!</definedName>
    <definedName name="MPHYNMINI">#REF!</definedName>
    <definedName name="MPHYNSCPE" localSheetId="0">#REF!</definedName>
    <definedName name="MPHYNSCPE" localSheetId="5">#REF!</definedName>
    <definedName name="MPHYNSCPE" localSheetId="4">#REF!</definedName>
    <definedName name="MPHYNSCPE">#REF!</definedName>
    <definedName name="MPHYNSONATA" localSheetId="0">#REF!</definedName>
    <definedName name="MPHYNSONATA" localSheetId="5">#REF!</definedName>
    <definedName name="MPHYNSONATA" localSheetId="4">#REF!</definedName>
    <definedName name="MPHYNSONATA">#REF!</definedName>
    <definedName name="MPHYNTIB" localSheetId="0">#REF!</definedName>
    <definedName name="MPHYNTIB" localSheetId="5">#REF!</definedName>
    <definedName name="MPHYNTIB" localSheetId="4">#REF!</definedName>
    <definedName name="MPHYNTIB">#REF!</definedName>
    <definedName name="MPHYNXG" localSheetId="0">#REF!</definedName>
    <definedName name="MPHYNXG" localSheetId="5">#REF!</definedName>
    <definedName name="MPHYNXG" localSheetId="4">#REF!</definedName>
    <definedName name="MPHYNXG">#REF!</definedName>
    <definedName name="MPINFG20_24ALL" localSheetId="0">#REF!</definedName>
    <definedName name="MPINFG20_24ALL" localSheetId="5">#REF!</definedName>
    <definedName name="MPINFG20_24ALL" localSheetId="4">#REF!</definedName>
    <definedName name="MPINFG20_24ALL">#REF!</definedName>
    <definedName name="MPINFI30" localSheetId="0">#REF!</definedName>
    <definedName name="MPINFI30" localSheetId="5">#REF!</definedName>
    <definedName name="MPINFI30" localSheetId="4">#REF!</definedName>
    <definedName name="MPINFI30">#REF!</definedName>
    <definedName name="MPINFJ30" localSheetId="0">#REF!</definedName>
    <definedName name="MPINFJ30" localSheetId="5">#REF!</definedName>
    <definedName name="MPINFJ30" localSheetId="4">#REF!</definedName>
    <definedName name="MPINFJ30">#REF!</definedName>
    <definedName name="MPINFM30ALL" localSheetId="0">#REF!</definedName>
    <definedName name="MPINFM30ALL" localSheetId="5">#REF!</definedName>
    <definedName name="MPINFM30ALL" localSheetId="4">#REF!</definedName>
    <definedName name="MPINFM30ALL">#REF!</definedName>
    <definedName name="MPINFQ45" localSheetId="0">#REF!</definedName>
    <definedName name="MPINFQ45" localSheetId="5">#REF!</definedName>
    <definedName name="MPINFQ45" localSheetId="4">#REF!</definedName>
    <definedName name="MPINFQ45">#REF!</definedName>
    <definedName name="MPINFQX4" localSheetId="0">#REF!</definedName>
    <definedName name="MPINFQX4" localSheetId="5">#REF!</definedName>
    <definedName name="MPINFQX4" localSheetId="4">#REF!</definedName>
    <definedName name="MPINFQX4">#REF!</definedName>
    <definedName name="MPISIMPULSEALL" localSheetId="0">#REF!</definedName>
    <definedName name="MPISIMPULSEALL" localSheetId="5">#REF!</definedName>
    <definedName name="MPISIMPULSEALL" localSheetId="4">#REF!</definedName>
    <definedName name="MPISIMPULSEALL">#REF!</definedName>
    <definedName name="MPIZAMIGO" localSheetId="0">#REF!</definedName>
    <definedName name="MPIZAMIGO" localSheetId="5">#REF!</definedName>
    <definedName name="MPIZAMIGO" localSheetId="4">#REF!</definedName>
    <definedName name="MPIZAMIGO">#REF!</definedName>
    <definedName name="MPIZHOMBREALL" localSheetId="0">#REF!</definedName>
    <definedName name="MPIZHOMBREALL" localSheetId="5">#REF!</definedName>
    <definedName name="MPIZHOMBREALL" localSheetId="4">#REF!</definedName>
    <definedName name="MPIZHOMBREALL">#REF!</definedName>
    <definedName name="MPIZIMARKALL" localSheetId="0">#REF!</definedName>
    <definedName name="MPIZIMARKALL" localSheetId="5">#REF!</definedName>
    <definedName name="MPIZIMARKALL" localSheetId="4">#REF!</definedName>
    <definedName name="MPIZIMARKALL">#REF!</definedName>
    <definedName name="MPIZOASISP" localSheetId="0">#REF!</definedName>
    <definedName name="MPIZOASISP" localSheetId="5">#REF!</definedName>
    <definedName name="MPIZOASISP" localSheetId="4">#REF!</definedName>
    <definedName name="MPIZOASISP">#REF!</definedName>
    <definedName name="MPIZPUALL" localSheetId="0">#REF!</definedName>
    <definedName name="MPIZPUALL" localSheetId="5">#REF!</definedName>
    <definedName name="MPIZPUALL" localSheetId="4">#REF!</definedName>
    <definedName name="MPIZPUALL">#REF!</definedName>
    <definedName name="MPIZRODEO" localSheetId="0">#REF!</definedName>
    <definedName name="MPIZRODEO" localSheetId="5">#REF!</definedName>
    <definedName name="MPIZRODEO" localSheetId="4">#REF!</definedName>
    <definedName name="MPIZRODEO">#REF!</definedName>
    <definedName name="MPIZTROOPALL" localSheetId="0">#REF!</definedName>
    <definedName name="MPIZTROOPALL" localSheetId="5">#REF!</definedName>
    <definedName name="MPIZTROOPALL" localSheetId="4">#REF!</definedName>
    <definedName name="MPIZTROOPALL">#REF!</definedName>
    <definedName name="MPIZVCROSS" localSheetId="0">#REF!</definedName>
    <definedName name="MPIZVCROSS" localSheetId="5">#REF!</definedName>
    <definedName name="MPIZVCROSS" localSheetId="4">#REF!</definedName>
    <definedName name="MPIZVCROSS">#REF!</definedName>
    <definedName name="MPJAGSTYPSW" localSheetId="0">#REF!</definedName>
    <definedName name="MPJAGSTYPSW" localSheetId="5">#REF!</definedName>
    <definedName name="MPJAGSTYPSW" localSheetId="4">#REF!</definedName>
    <definedName name="MPJAGSTYPSW">#REF!</definedName>
    <definedName name="MPJAGX200" localSheetId="0">#REF!</definedName>
    <definedName name="MPJAGX200" localSheetId="5">#REF!</definedName>
    <definedName name="MPJAGX200" localSheetId="4">#REF!</definedName>
    <definedName name="MPJAGX200">#REF!</definedName>
    <definedName name="MPJAGX400ALL" localSheetId="0">#REF!</definedName>
    <definedName name="MPJAGX400ALL" localSheetId="5">#REF!</definedName>
    <definedName name="MPJAGX400ALL" localSheetId="4">#REF!</definedName>
    <definedName name="MPJAGX400ALL">#REF!</definedName>
    <definedName name="MPJAGXJALL" localSheetId="0">#REF!</definedName>
    <definedName name="MPJAGXJALL" localSheetId="5">#REF!</definedName>
    <definedName name="MPJAGXJALL" localSheetId="4">#REF!</definedName>
    <definedName name="MPJAGXJALL">#REF!</definedName>
    <definedName name="MPJAGXK8ALL" localSheetId="0">#REF!</definedName>
    <definedName name="MPJAGXK8ALL" localSheetId="5">#REF!</definedName>
    <definedName name="MPJAGXK8ALL" localSheetId="4">#REF!</definedName>
    <definedName name="MPJAGXK8ALL">#REF!</definedName>
    <definedName name="MPJPCHER" localSheetId="0">#REF!</definedName>
    <definedName name="MPJPCHER" localSheetId="5">#REF!</definedName>
    <definedName name="MPJPCHER" localSheetId="4">#REF!</definedName>
    <definedName name="MPJPCHER">#REF!</definedName>
    <definedName name="MPJPCOMAN" localSheetId="0">#REF!</definedName>
    <definedName name="MPJPCOMAN" localSheetId="5">#REF!</definedName>
    <definedName name="MPJPCOMAN" localSheetId="4">#REF!</definedName>
    <definedName name="MPJPCOMAN">#REF!</definedName>
    <definedName name="MPJPGCHER" localSheetId="0">#REF!</definedName>
    <definedName name="MPJPGCHER" localSheetId="5">#REF!</definedName>
    <definedName name="MPJPGCHER" localSheetId="4">#REF!</definedName>
    <definedName name="MPJPGCHER">#REF!</definedName>
    <definedName name="MPJPGWAG" localSheetId="0">#REF!</definedName>
    <definedName name="MPJPGWAG" localSheetId="5">#REF!</definedName>
    <definedName name="MPJPGWAG" localSheetId="4">#REF!</definedName>
    <definedName name="MPJPGWAG">#REF!</definedName>
    <definedName name="MPJPWAG" localSheetId="0">#REF!</definedName>
    <definedName name="MPJPWAG" localSheetId="5">#REF!</definedName>
    <definedName name="MPJPWAG" localSheetId="4">#REF!</definedName>
    <definedName name="MPJPWAG">#REF!</definedName>
    <definedName name="MPJPWRANG" localSheetId="0">#REF!</definedName>
    <definedName name="MPJPWRANG" localSheetId="5">#REF!</definedName>
    <definedName name="MPJPWRANG" localSheetId="4">#REF!</definedName>
    <definedName name="MPJPWRANG">#REF!</definedName>
    <definedName name="MPKIAAVELLAALL" localSheetId="0">#REF!</definedName>
    <definedName name="MPKIAAVELLAALL" localSheetId="5">#REF!</definedName>
    <definedName name="MPKIAAVELLAALL" localSheetId="4">#REF!</definedName>
    <definedName name="MPKIAAVELLAALL">#REF!</definedName>
    <definedName name="MPKIACREDOS" localSheetId="0">#REF!</definedName>
    <definedName name="MPKIACREDOS" localSheetId="5">#REF!</definedName>
    <definedName name="MPKIACREDOS" localSheetId="4">#REF!</definedName>
    <definedName name="MPKIACREDOS">#REF!</definedName>
    <definedName name="MPKIASEDOP" localSheetId="0">#REF!</definedName>
    <definedName name="MPKIASEDOP" localSheetId="5">#REF!</definedName>
    <definedName name="MPKIASEDOP" localSheetId="4">#REF!</definedName>
    <definedName name="MPKIASEDOP">#REF!</definedName>
    <definedName name="MPKIASEPHIA" localSheetId="0">#REF!</definedName>
    <definedName name="MPKIASEPHIA" localSheetId="5">#REF!</definedName>
    <definedName name="MPKIASEPHIA" localSheetId="4">#REF!</definedName>
    <definedName name="MPKIASEPHIA">#REF!</definedName>
    <definedName name="MPKIASPORTALL" localSheetId="0">#REF!</definedName>
    <definedName name="MPKIASPORTALL" localSheetId="5">#REF!</definedName>
    <definedName name="MPKIASPORTALL" localSheetId="4">#REF!</definedName>
    <definedName name="MPKIASPORTALL">#REF!</definedName>
    <definedName name="MPLCNCONT" localSheetId="0">#REF!</definedName>
    <definedName name="MPLCNCONT" localSheetId="5">#REF!</definedName>
    <definedName name="MPLCNCONT" localSheetId="4">#REF!</definedName>
    <definedName name="MPLCNCONT">#REF!</definedName>
    <definedName name="MPLCNMKVIII" localSheetId="0">#REF!</definedName>
    <definedName name="MPLCNMKVIII" localSheetId="5">#REF!</definedName>
    <definedName name="MPLCNMKVIII" localSheetId="4">#REF!</definedName>
    <definedName name="MPLCNMKVIII">#REF!</definedName>
    <definedName name="MPLCNTC" localSheetId="0">#REF!</definedName>
    <definedName name="MPLCNTC" localSheetId="5">#REF!</definedName>
    <definedName name="MPLCNTC" localSheetId="4">#REF!</definedName>
    <definedName name="MPLCNTC">#REF!</definedName>
    <definedName name="MPLEXGS300ALL" localSheetId="0">#REF!</definedName>
    <definedName name="MPLEXGS300ALL" localSheetId="5">#REF!</definedName>
    <definedName name="MPLEXGS300ALL" localSheetId="4">#REF!</definedName>
    <definedName name="MPLEXGS300ALL">#REF!</definedName>
    <definedName name="MPLEXIS220ALL" localSheetId="0">#REF!</definedName>
    <definedName name="MPLEXIS220ALL" localSheetId="5">#REF!</definedName>
    <definedName name="MPLEXIS220ALL" localSheetId="4">#REF!</definedName>
    <definedName name="MPLEXIS220ALL">#REF!</definedName>
    <definedName name="MPLEXLX450" localSheetId="0">#REF!</definedName>
    <definedName name="MPLEXLX450" localSheetId="5">#REF!</definedName>
    <definedName name="MPLEXLX450" localSheetId="4">#REF!</definedName>
    <definedName name="MPLEXLX450">#REF!</definedName>
    <definedName name="MPLEXRX300" localSheetId="0">#REF!</definedName>
    <definedName name="MPLEXRX300" localSheetId="5">#REF!</definedName>
    <definedName name="MPLEXRX300" localSheetId="4">#REF!</definedName>
    <definedName name="MPLEXRX300">#REF!</definedName>
    <definedName name="MPLINCBLAK" localSheetId="0">#REF!</definedName>
    <definedName name="MPLINCBLAK" localSheetId="5">#REF!</definedName>
    <definedName name="MPLINCBLAK" localSheetId="4">#REF!</definedName>
    <definedName name="MPLINCBLAK">#REF!</definedName>
    <definedName name="MPLINCNAV" localSheetId="0">#REF!</definedName>
    <definedName name="MPLINCNAV" localSheetId="5">#REF!</definedName>
    <definedName name="MPLINCNAV" localSheetId="4">#REF!</definedName>
    <definedName name="MPLINCNAV">#REF!</definedName>
    <definedName name="MPLINCU204" localSheetId="0">#REF!</definedName>
    <definedName name="MPLINCU204" localSheetId="5">#REF!</definedName>
    <definedName name="MPLINCU204" localSheetId="4">#REF!</definedName>
    <definedName name="MPLINCU204">#REF!</definedName>
    <definedName name="MPLINCU231" localSheetId="0">#REF!</definedName>
    <definedName name="MPLINCU231" localSheetId="5">#REF!</definedName>
    <definedName name="MPLINCU231" localSheetId="4">#REF!</definedName>
    <definedName name="MPLINCU231">#REF!</definedName>
    <definedName name="MPLNCDEW98" localSheetId="0">#REF!</definedName>
    <definedName name="MPLNCDEW98" localSheetId="5">#REF!</definedName>
    <definedName name="MPLNCDEW98" localSheetId="4">#REF!</definedName>
    <definedName name="MPLNCDEW98">#REF!</definedName>
    <definedName name="MPLXES300" localSheetId="0">#REF!</definedName>
    <definedName name="MPLXES300" localSheetId="5">#REF!</definedName>
    <definedName name="MPLXES300" localSheetId="4">#REF!</definedName>
    <definedName name="MPLXES300">#REF!</definedName>
    <definedName name="MPLXLS400" localSheetId="0">#REF!</definedName>
    <definedName name="MPLXLS400" localSheetId="5">#REF!</definedName>
    <definedName name="MPLXLS400" localSheetId="4">#REF!</definedName>
    <definedName name="MPLXLS400">#REF!</definedName>
    <definedName name="MPLXSC300" localSheetId="0">#REF!</definedName>
    <definedName name="MPLXSC300" localSheetId="5">#REF!</definedName>
    <definedName name="MPLXSC300" localSheetId="4">#REF!</definedName>
    <definedName name="MPLXSC300">#REF!</definedName>
    <definedName name="MPLYACCLAIMALL" localSheetId="0">#REF!</definedName>
    <definedName name="MPLYACCLAIMALL" localSheetId="5">#REF!</definedName>
    <definedName name="MPLYACCLAIMALL" localSheetId="4">#REF!</definedName>
    <definedName name="MPLYACCLAIMALL">#REF!</definedName>
    <definedName name="MPLYCARA" localSheetId="0">#REF!</definedName>
    <definedName name="MPLYCARA" localSheetId="5">#REF!</definedName>
    <definedName name="MPLYCARA" localSheetId="4">#REF!</definedName>
    <definedName name="MPLYCARA">#REF!</definedName>
    <definedName name="MPLYCOLTALL" localSheetId="0">#REF!</definedName>
    <definedName name="MPLYCOLTALL" localSheetId="5">#REF!</definedName>
    <definedName name="MPLYCOLTALL" localSheetId="4">#REF!</definedName>
    <definedName name="MPLYCOLTALL">#REF!</definedName>
    <definedName name="MPLYCOLTVW" localSheetId="0">#REF!</definedName>
    <definedName name="MPLYCOLTVW" localSheetId="5">#REF!</definedName>
    <definedName name="MPLYCOLTVW" localSheetId="4">#REF!</definedName>
    <definedName name="MPLYCOLTVW">#REF!</definedName>
    <definedName name="MPLYFURY" localSheetId="0">#REF!</definedName>
    <definedName name="MPLYFURY" localSheetId="5">#REF!</definedName>
    <definedName name="MPLYFURY" localSheetId="4">#REF!</definedName>
    <definedName name="MPLYFURY">#REF!</definedName>
    <definedName name="MPLYHORIZON" localSheetId="0">#REF!</definedName>
    <definedName name="MPLYHORIZON" localSheetId="5">#REF!</definedName>
    <definedName name="MPLYHORIZON" localSheetId="4">#REF!</definedName>
    <definedName name="MPLYHORIZON">#REF!</definedName>
    <definedName name="MPLYLASER" localSheetId="0">#REF!</definedName>
    <definedName name="MPLYLASER" localSheetId="5">#REF!</definedName>
    <definedName name="MPLYLASER" localSheetId="4">#REF!</definedName>
    <definedName name="MPLYLASER">#REF!</definedName>
    <definedName name="MPLYPROW" localSheetId="0">#REF!</definedName>
    <definedName name="MPLYPROW" localSheetId="5">#REF!</definedName>
    <definedName name="MPLYPROW" localSheetId="4">#REF!</definedName>
    <definedName name="MPLYPROW">#REF!</definedName>
    <definedName name="MPLYSUN_NEONALL" localSheetId="0">#REF!</definedName>
    <definedName name="MPLYSUN_NEONALL" localSheetId="5">#REF!</definedName>
    <definedName name="MPLYSUN_NEONALL" localSheetId="4">#REF!</definedName>
    <definedName name="MPLYSUN_NEONALL">#REF!</definedName>
    <definedName name="MPLYVOYP" localSheetId="0">#REF!</definedName>
    <definedName name="MPLYVOYP" localSheetId="5">#REF!</definedName>
    <definedName name="MPLYVOYP" localSheetId="4">#REF!</definedName>
    <definedName name="MPLYVOYP">#REF!</definedName>
    <definedName name="MPMAZ626ALL" localSheetId="0">#REF!</definedName>
    <definedName name="MPMAZ626ALL" localSheetId="5">#REF!</definedName>
    <definedName name="MPMAZ626ALL" localSheetId="4">#REF!</definedName>
    <definedName name="MPMAZ626ALL">#REF!</definedName>
    <definedName name="MPMAZPROTEGEALL" localSheetId="0">#REF!</definedName>
    <definedName name="MPMAZPROTEGEALL" localSheetId="5">#REF!</definedName>
    <definedName name="MPMAZPROTEGEALL" localSheetId="4">#REF!</definedName>
    <definedName name="MPMAZPROTEGEALL">#REF!</definedName>
    <definedName name="MPMAZRX7ALL" localSheetId="0">#REF!</definedName>
    <definedName name="MPMAZRX7ALL" localSheetId="5">#REF!</definedName>
    <definedName name="MPMAZRX7ALL" localSheetId="4">#REF!</definedName>
    <definedName name="MPMAZRX7ALL">#REF!</definedName>
    <definedName name="MPMBANECAR" localSheetId="0">#REF!</definedName>
    <definedName name="MPMBANECAR" localSheetId="5">#REF!</definedName>
    <definedName name="MPMBANECAR" localSheetId="4">#REF!</definedName>
    <definedName name="MPMBANECAR">#REF!</definedName>
    <definedName name="MPMBCCLASSALL" localSheetId="0">#REF!</definedName>
    <definedName name="MPMBCCLASSALL" localSheetId="5">#REF!</definedName>
    <definedName name="MPMBCCLASSALL" localSheetId="4">#REF!</definedName>
    <definedName name="MPMBCCLASSALL">#REF!</definedName>
    <definedName name="MPMBCLKALL" localSheetId="0">#REF!</definedName>
    <definedName name="MPMBCLKALL" localSheetId="5">#REF!</definedName>
    <definedName name="MPMBCLKALL" localSheetId="4">#REF!</definedName>
    <definedName name="MPMBCLKALL">#REF!</definedName>
    <definedName name="MPMBECLASSALL" localSheetId="0">#REF!</definedName>
    <definedName name="MPMBECLASSALL" localSheetId="5">#REF!</definedName>
    <definedName name="MPMBECLASSALL" localSheetId="4">#REF!</definedName>
    <definedName name="MPMBECLASSALL">#REF!</definedName>
    <definedName name="MPMBMCLASS" localSheetId="0">#REF!</definedName>
    <definedName name="MPMBMCLASS" localSheetId="5">#REF!</definedName>
    <definedName name="MPMBMCLASS" localSheetId="4">#REF!</definedName>
    <definedName name="MPMBMCLASS">#REF!</definedName>
    <definedName name="MPMBSCLASSALL" localSheetId="0">#REF!</definedName>
    <definedName name="MPMBSCLASSALL" localSheetId="5">#REF!</definedName>
    <definedName name="MPMBSCLASSALL" localSheetId="4">#REF!</definedName>
    <definedName name="MPMBSCLASSALL">#REF!</definedName>
    <definedName name="MPMBSL" localSheetId="0">#REF!</definedName>
    <definedName name="MPMBSL" localSheetId="5">#REF!</definedName>
    <definedName name="MPMBSL" localSheetId="4">#REF!</definedName>
    <definedName name="MPMBSL">#REF!</definedName>
    <definedName name="MPMBSLK" localSheetId="0">#REF!</definedName>
    <definedName name="MPMBSLK" localSheetId="5">#REF!</definedName>
    <definedName name="MPMBSLK" localSheetId="4">#REF!</definedName>
    <definedName name="MPMBSLK">#REF!</definedName>
    <definedName name="MPMERCC212" localSheetId="0">#REF!</definedName>
    <definedName name="MPMERCC212" localSheetId="5">#REF!</definedName>
    <definedName name="MPMERCC212" localSheetId="4">#REF!</definedName>
    <definedName name="MPMERCC212">#REF!</definedName>
    <definedName name="MPMERCCAPRI" localSheetId="0">#REF!</definedName>
    <definedName name="MPMERCCAPRI" localSheetId="5">#REF!</definedName>
    <definedName name="MPMERCCAPRI" localSheetId="4">#REF!</definedName>
    <definedName name="MPMERCCAPRI">#REF!</definedName>
    <definedName name="MPMERCCGR" localSheetId="0">#REF!</definedName>
    <definedName name="MPMERCCGR" localSheetId="5">#REF!</definedName>
    <definedName name="MPMERCCGR" localSheetId="4">#REF!</definedName>
    <definedName name="MPMERCCGR">#REF!</definedName>
    <definedName name="MPMERCD219" localSheetId="0">#REF!</definedName>
    <definedName name="MPMERCD219" localSheetId="5">#REF!</definedName>
    <definedName name="MPMERCD219" localSheetId="4">#REF!</definedName>
    <definedName name="MPMERCD219">#REF!</definedName>
    <definedName name="MPMERCMOUNT" localSheetId="0">#REF!</definedName>
    <definedName name="MPMERCMOUNT" localSheetId="5">#REF!</definedName>
    <definedName name="MPMERCMOUNT" localSheetId="4">#REF!</definedName>
    <definedName name="MPMERCMOUNT">#REF!</definedName>
    <definedName name="MPMERCOUGARALL" localSheetId="0">#REF!</definedName>
    <definedName name="MPMERCOUGARALL" localSheetId="5">#REF!</definedName>
    <definedName name="MPMERCOUGARALL" localSheetId="4">#REF!</definedName>
    <definedName name="MPMERCOUGARALL">#REF!</definedName>
    <definedName name="MPMERCTOPAZALL" localSheetId="0">#REF!</definedName>
    <definedName name="MPMERCTOPAZALL" localSheetId="5">#REF!</definedName>
    <definedName name="MPMERCTOPAZALL" localSheetId="4">#REF!</definedName>
    <definedName name="MPMERCTOPAZALL">#REF!</definedName>
    <definedName name="MPMERCTRACERBOTH" localSheetId="0">#REF!</definedName>
    <definedName name="MPMERCTRACERBOTH" localSheetId="5">#REF!</definedName>
    <definedName name="MPMERCTRACERBOTH" localSheetId="4">#REF!</definedName>
    <definedName name="MPMERCTRACERBOTH">#REF!</definedName>
    <definedName name="MPMERCVILLP" localSheetId="0">#REF!</definedName>
    <definedName name="MPMERCVILLP" localSheetId="5">#REF!</definedName>
    <definedName name="MPMERCVILLP" localSheetId="4">#REF!</definedName>
    <definedName name="MPMERCVILLP">#REF!</definedName>
    <definedName name="MPMERMARQALL" localSheetId="0">#REF!</definedName>
    <definedName name="MPMERMARQALL" localSheetId="5">#REF!</definedName>
    <definedName name="MPMERMARQALL" localSheetId="4">#REF!</definedName>
    <definedName name="MPMERMARQALL">#REF!</definedName>
    <definedName name="MPMERSABLEALL" localSheetId="0">#REF!</definedName>
    <definedName name="MPMERSABLEALL" localSheetId="5">#REF!</definedName>
    <definedName name="MPMERSABLEALL" localSheetId="4">#REF!</definedName>
    <definedName name="MPMERSABLEALL">#REF!</definedName>
    <definedName name="MPMIT3000ALL" localSheetId="0">#REF!</definedName>
    <definedName name="MPMIT3000ALL" localSheetId="5">#REF!</definedName>
    <definedName name="MPMIT3000ALL" localSheetId="4">#REF!</definedName>
    <definedName name="MPMIT3000ALL">#REF!</definedName>
    <definedName name="MPMITDIAMANTEALL" localSheetId="0">#REF!</definedName>
    <definedName name="MPMITDIAMANTEALL" localSheetId="5">#REF!</definedName>
    <definedName name="MPMITDIAMANTEALL" localSheetId="4">#REF!</definedName>
    <definedName name="MPMITDIAMANTEALL">#REF!</definedName>
    <definedName name="MPMITECLIPSEALL" localSheetId="0">#REF!</definedName>
    <definedName name="MPMITECLIPSEALL" localSheetId="5">#REF!</definedName>
    <definedName name="MPMITECLIPSEALL" localSheetId="4">#REF!</definedName>
    <definedName name="MPMITECLIPSEALL">#REF!</definedName>
    <definedName name="MPMITEXPOALL" localSheetId="0">#REF!</definedName>
    <definedName name="MPMITEXPOALL" localSheetId="5">#REF!</definedName>
    <definedName name="MPMITEXPOALL" localSheetId="4">#REF!</definedName>
    <definedName name="MPMITEXPOALL">#REF!</definedName>
    <definedName name="MPMITEXPOP" localSheetId="0">#REF!</definedName>
    <definedName name="MPMITEXPOP" localSheetId="5">#REF!</definedName>
    <definedName name="MPMITEXPOP" localSheetId="4">#REF!</definedName>
    <definedName name="MPMITEXPOP">#REF!</definedName>
    <definedName name="MPMITGALANTALL" localSheetId="0">#REF!</definedName>
    <definedName name="MPMITGALANTALL" localSheetId="5">#REF!</definedName>
    <definedName name="MPMITGALANTALL" localSheetId="4">#REF!</definedName>
    <definedName name="MPMITGALANTALL">#REF!</definedName>
    <definedName name="MPMITMIRAGEALL" localSheetId="0">#REF!</definedName>
    <definedName name="MPMITMIRAGEALL" localSheetId="5">#REF!</definedName>
    <definedName name="MPMITMIRAGEALL" localSheetId="4">#REF!</definedName>
    <definedName name="MPMITMIRAGEALL">#REF!</definedName>
    <definedName name="MPMITMONTALL" localSheetId="0">#REF!</definedName>
    <definedName name="MPMITMONTALL" localSheetId="5">#REF!</definedName>
    <definedName name="MPMITMONTALL" localSheetId="4">#REF!</definedName>
    <definedName name="MPMITMONTALL">#REF!</definedName>
    <definedName name="MPMITMONTSPT" localSheetId="0">#REF!</definedName>
    <definedName name="MPMITMONTSPT" localSheetId="5">#REF!</definedName>
    <definedName name="MPMITMONTSPT" localSheetId="4">#REF!</definedName>
    <definedName name="MPMITMONTSPT">#REF!</definedName>
    <definedName name="MPMITMXALL" localSheetId="0">#REF!</definedName>
    <definedName name="MPMITMXALL" localSheetId="5">#REF!</definedName>
    <definedName name="MPMITMXALL" localSheetId="4">#REF!</definedName>
    <definedName name="MPMITMXALL">#REF!</definedName>
    <definedName name="MPMITPREC3" localSheetId="0">#REF!</definedName>
    <definedName name="MPMITPREC3" localSheetId="5">#REF!</definedName>
    <definedName name="MPMITPREC3" localSheetId="4">#REF!</definedName>
    <definedName name="MPMITPREC3">#REF!</definedName>
    <definedName name="MPMITSIG" localSheetId="0">#REF!</definedName>
    <definedName name="MPMITSIG" localSheetId="5">#REF!</definedName>
    <definedName name="MPMITSIG" localSheetId="4">#REF!</definedName>
    <definedName name="MPMITSIG">#REF!</definedName>
    <definedName name="MPMITSUV" localSheetId="0">#REF!</definedName>
    <definedName name="MPMITSUV" localSheetId="5">#REF!</definedName>
    <definedName name="MPMITSUV" localSheetId="4">#REF!</definedName>
    <definedName name="MPMITSUV">#REF!</definedName>
    <definedName name="MPMITVANALL" localSheetId="0">#REF!</definedName>
    <definedName name="MPMITVANALL" localSheetId="5">#REF!</definedName>
    <definedName name="MPMITVANALL" localSheetId="4">#REF!</definedName>
    <definedName name="MPMITVANALL">#REF!</definedName>
    <definedName name="MPMITVANP" localSheetId="0">#REF!</definedName>
    <definedName name="MPMITVANP" localSheetId="5">#REF!</definedName>
    <definedName name="MPMITVANP" localSheetId="4">#REF!</definedName>
    <definedName name="MPMITVANP">#REF!</definedName>
    <definedName name="MPMXD929" localSheetId="0">#REF!</definedName>
    <definedName name="MPMXD929" localSheetId="5">#REF!</definedName>
    <definedName name="MPMXD929" localSheetId="4">#REF!</definedName>
    <definedName name="MPMXD929">#REF!</definedName>
    <definedName name="MPMZBSERIESALL" localSheetId="0">#REF!</definedName>
    <definedName name="MPMZBSERIESALL" localSheetId="5">#REF!</definedName>
    <definedName name="MPMZBSERIESALL" localSheetId="4">#REF!</definedName>
    <definedName name="MPMZBSERIESALL">#REF!</definedName>
    <definedName name="MPMZDMILL" localSheetId="0">#REF!</definedName>
    <definedName name="MPMZDMILL" localSheetId="5">#REF!</definedName>
    <definedName name="MPMZDMILL" localSheetId="4">#REF!</definedName>
    <definedName name="MPMZDMILL">#REF!</definedName>
    <definedName name="MPMZDMX3" localSheetId="0">#REF!</definedName>
    <definedName name="MPMZDMX3" localSheetId="5">#REF!</definedName>
    <definedName name="MPMZDMX3" localSheetId="4">#REF!</definedName>
    <definedName name="MPMZDMX3">#REF!</definedName>
    <definedName name="MPMZDMX5" localSheetId="0">#REF!</definedName>
    <definedName name="MPMZDMX5" localSheetId="5">#REF!</definedName>
    <definedName name="MPMZDMX5" localSheetId="4">#REF!</definedName>
    <definedName name="MPMZDMX5">#REF!</definedName>
    <definedName name="MPMZDMX6" localSheetId="0">#REF!</definedName>
    <definedName name="MPMZDMX6" localSheetId="5">#REF!</definedName>
    <definedName name="MPMZDMX6" localSheetId="4">#REF!</definedName>
    <definedName name="MPMZDMX6">#REF!</definedName>
    <definedName name="MPMZMPV" localSheetId="0">#REF!</definedName>
    <definedName name="MPMZMPV" localSheetId="5">#REF!</definedName>
    <definedName name="MPMZMPV" localSheetId="4">#REF!</definedName>
    <definedName name="MPMZMPV">#REF!</definedName>
    <definedName name="MPMZNAVA" localSheetId="0">#REF!</definedName>
    <definedName name="MPMZNAVA" localSheetId="5">#REF!</definedName>
    <definedName name="MPMZNAVA" localSheetId="4">#REF!</definedName>
    <definedName name="MPMZNAVA">#REF!</definedName>
    <definedName name="MPMZU204" localSheetId="0">#REF!</definedName>
    <definedName name="MPMZU204" localSheetId="5">#REF!</definedName>
    <definedName name="MPMZU204" localSheetId="4">#REF!</definedName>
    <definedName name="MPMZU204">#REF!</definedName>
    <definedName name="MPNIS240SXALL" localSheetId="0">#REF!</definedName>
    <definedName name="MPNIS240SXALL" localSheetId="5">#REF!</definedName>
    <definedName name="MPNIS240SXALL" localSheetId="4">#REF!</definedName>
    <definedName name="MPNIS240SXALL">#REF!</definedName>
    <definedName name="MPNIS300ZXALL" localSheetId="0">#REF!</definedName>
    <definedName name="MPNIS300ZXALL" localSheetId="5">#REF!</definedName>
    <definedName name="MPNIS300ZXALL" localSheetId="4">#REF!</definedName>
    <definedName name="MPNIS300ZXALL">#REF!</definedName>
    <definedName name="MPNISALTEV" localSheetId="0">#REF!</definedName>
    <definedName name="MPNISALTEV" localSheetId="5">#REF!</definedName>
    <definedName name="MPNISALTEV" localSheetId="4">#REF!</definedName>
    <definedName name="MPNISALTEV">#REF!</definedName>
    <definedName name="MPNISALTIMAALL" localSheetId="0">#REF!</definedName>
    <definedName name="MPNISALTIMAALL" localSheetId="5">#REF!</definedName>
    <definedName name="MPNISALTIMAALL" localSheetId="4">#REF!</definedName>
    <definedName name="MPNISALTIMAALL">#REF!</definedName>
    <definedName name="MPNISFRONTALL" localSheetId="0">#REF!</definedName>
    <definedName name="MPNISFRONTALL" localSheetId="5">#REF!</definedName>
    <definedName name="MPNISFRONTALL" localSheetId="4">#REF!</definedName>
    <definedName name="MPNISFRONTALL">#REF!</definedName>
    <definedName name="MPNISMAXALL" localSheetId="0">#REF!</definedName>
    <definedName name="MPNISMAXALL" localSheetId="5">#REF!</definedName>
    <definedName name="MPNISMAXALL" localSheetId="4">#REF!</definedName>
    <definedName name="MPNISMAXALL">#REF!</definedName>
    <definedName name="MPNISPATHALL" localSheetId="0">#REF!</definedName>
    <definedName name="MPNISPATHALL" localSheetId="5">#REF!</definedName>
    <definedName name="MPNISPATHALL" localSheetId="4">#REF!</definedName>
    <definedName name="MPNISPATHALL">#REF!</definedName>
    <definedName name="MPNISQUESTP" localSheetId="0">#REF!</definedName>
    <definedName name="MPNISQUESTP" localSheetId="5">#REF!</definedName>
    <definedName name="MPNISQUESTP" localSheetId="4">#REF!</definedName>
    <definedName name="MPNISQUESTP">#REF!</definedName>
    <definedName name="MPNISSENTRAALL" localSheetId="0">#REF!</definedName>
    <definedName name="MPNISSENTRAALL" localSheetId="5">#REF!</definedName>
    <definedName name="MPNISSENTRAALL" localSheetId="4">#REF!</definedName>
    <definedName name="MPNISSENTRAALL">#REF!</definedName>
    <definedName name="MPNISVANP" localSheetId="0">#REF!</definedName>
    <definedName name="MPNISVANP" localSheetId="5">#REF!</definedName>
    <definedName name="MPNISVANP" localSheetId="4">#REF!</definedName>
    <definedName name="MPNISVANP">#REF!</definedName>
    <definedName name="MPNISWQWALL" localSheetId="0">#REF!</definedName>
    <definedName name="MPNISWQWALL" localSheetId="5">#REF!</definedName>
    <definedName name="MPNISWQWALL" localSheetId="4">#REF!</definedName>
    <definedName name="MPNISWQWALL">#REF!</definedName>
    <definedName name="MPNISXTERRA" localSheetId="0">#REF!</definedName>
    <definedName name="MPNISXTERRA" localSheetId="5">#REF!</definedName>
    <definedName name="MPNISXTERRA" localSheetId="4">#REF!</definedName>
    <definedName name="MPNISXTERRA">#REF!</definedName>
    <definedName name="MPNSN1600" localSheetId="0">#REF!</definedName>
    <definedName name="MPNSN1600" localSheetId="5">#REF!</definedName>
    <definedName name="MPNSN1600" localSheetId="4">#REF!</definedName>
    <definedName name="MPNSN1600">#REF!</definedName>
    <definedName name="MPNSN200SX" localSheetId="0">#REF!</definedName>
    <definedName name="MPNSN200SX" localSheetId="5">#REF!</definedName>
    <definedName name="MPNSN200SX" localSheetId="4">#REF!</definedName>
    <definedName name="MPNSN200SX">#REF!</definedName>
    <definedName name="MPNSNAXXESS" localSheetId="0">#REF!</definedName>
    <definedName name="MPNSNAXXESS" localSheetId="5">#REF!</definedName>
    <definedName name="MPNSNAXXESS" localSheetId="4">#REF!</definedName>
    <definedName name="MPNSNAXXESS">#REF!</definedName>
    <definedName name="MPOLD88ALL" localSheetId="0">#REF!</definedName>
    <definedName name="MPOLD88ALL" localSheetId="5">#REF!</definedName>
    <definedName name="MPOLD88ALL" localSheetId="4">#REF!</definedName>
    <definedName name="MPOLD88ALL">#REF!</definedName>
    <definedName name="MPOLD98ALL" localSheetId="0">#REF!</definedName>
    <definedName name="MPOLD98ALL" localSheetId="5">#REF!</definedName>
    <definedName name="MPOLD98ALL" localSheetId="4">#REF!</definedName>
    <definedName name="MPOLD98ALL">#REF!</definedName>
    <definedName name="MPOLDACH_ALEROALL" localSheetId="0">#REF!</definedName>
    <definedName name="MPOLDACH_ALEROALL" localSheetId="5">#REF!</definedName>
    <definedName name="MPOLDACH_ALEROALL" localSheetId="4">#REF!</definedName>
    <definedName name="MPOLDACH_ALEROALL">#REF!</definedName>
    <definedName name="MPOLDAURORA_TORALL" localSheetId="0">#REF!</definedName>
    <definedName name="MPOLDAURORA_TORALL" localSheetId="5">#REF!</definedName>
    <definedName name="MPOLDAURORA_TORALL" localSheetId="4">#REF!</definedName>
    <definedName name="MPOLDAURORA_TORALL">#REF!</definedName>
    <definedName name="MPOLDBRAV" localSheetId="0">#REF!</definedName>
    <definedName name="MPOLDBRAV" localSheetId="5">#REF!</definedName>
    <definedName name="MPOLDBRAV" localSheetId="4">#REF!</definedName>
    <definedName name="MPOLDBRAV">#REF!</definedName>
    <definedName name="MPOLDCUSTW" localSheetId="0">#REF!</definedName>
    <definedName name="MPOLDCUSTW" localSheetId="5">#REF!</definedName>
    <definedName name="MPOLDCUSTW" localSheetId="4">#REF!</definedName>
    <definedName name="MPOLDCUSTW">#REF!</definedName>
    <definedName name="MPOLDCUTCIERAALL" localSheetId="0">#REF!</definedName>
    <definedName name="MPOLDCUTCIERAALL" localSheetId="5">#REF!</definedName>
    <definedName name="MPOLDCUTCIERAALL" localSheetId="4">#REF!</definedName>
    <definedName name="MPOLDCUTCIERAALL">#REF!</definedName>
    <definedName name="MPOLDCUTSUPALL" localSheetId="0">#REF!</definedName>
    <definedName name="MPOLDCUTSUPALL" localSheetId="5">#REF!</definedName>
    <definedName name="MPOLDCUTSUPALL" localSheetId="4">#REF!</definedName>
    <definedName name="MPOLDCUTSUPALL">#REF!</definedName>
    <definedName name="MPOLDSILHP" localSheetId="0">#REF!</definedName>
    <definedName name="MPOLDSILHP" localSheetId="5">#REF!</definedName>
    <definedName name="MPOLDSILHP" localSheetId="4">#REF!</definedName>
    <definedName name="MPOLDSILHP">#REF!</definedName>
    <definedName name="MPOLDSSUV" localSheetId="0">#REF!</definedName>
    <definedName name="MPOLDSSUV" localSheetId="5">#REF!</definedName>
    <definedName name="MPOLDSSUV" localSheetId="4">#REF!</definedName>
    <definedName name="MPOLDSSUV">#REF!</definedName>
    <definedName name="MPONBONN" localSheetId="0">#REF!</definedName>
    <definedName name="MPONBONN" localSheetId="5">#REF!</definedName>
    <definedName name="MPONBONN" localSheetId="4">#REF!</definedName>
    <definedName name="MPONBONN">#REF!</definedName>
    <definedName name="MPONSAFARW" localSheetId="0">#REF!</definedName>
    <definedName name="MPONSAFARW" localSheetId="5">#REF!</definedName>
    <definedName name="MPONSAFARW" localSheetId="4">#REF!</definedName>
    <definedName name="MPONSAFARW">#REF!</definedName>
    <definedName name="MPONT6000ALL" localSheetId="0">#REF!</definedName>
    <definedName name="MPONT6000ALL" localSheetId="5">#REF!</definedName>
    <definedName name="MPONT6000ALL" localSheetId="4">#REF!</definedName>
    <definedName name="MPONT6000ALL">#REF!</definedName>
    <definedName name="MPONTFIERO" localSheetId="0">#REF!</definedName>
    <definedName name="MPONTFIERO" localSheetId="5">#REF!</definedName>
    <definedName name="MPONTFIERO" localSheetId="4">#REF!</definedName>
    <definedName name="MPONTFIERO">#REF!</definedName>
    <definedName name="MPONTFIREBIRDALL" localSheetId="0">#REF!</definedName>
    <definedName name="MPONTFIREBIRDALL" localSheetId="5">#REF!</definedName>
    <definedName name="MPONTFIREBIRDALL" localSheetId="4">#REF!</definedName>
    <definedName name="MPONTFIREBIRDALL">#REF!</definedName>
    <definedName name="MPONTGRAMALL" localSheetId="0">#REF!</definedName>
    <definedName name="MPONTGRAMALL" localSheetId="5">#REF!</definedName>
    <definedName name="MPONTGRAMALL" localSheetId="4">#REF!</definedName>
    <definedName name="MPONTGRAMALL">#REF!</definedName>
    <definedName name="MPONTGRPRIXALL" localSheetId="0">#REF!</definedName>
    <definedName name="MPONTGRPRIXALL" localSheetId="5">#REF!</definedName>
    <definedName name="MPONTGRPRIXALL" localSheetId="4">#REF!</definedName>
    <definedName name="MPONTGRPRIXALL">#REF!</definedName>
    <definedName name="MPONTLEMANSALL" localSheetId="0">#REF!</definedName>
    <definedName name="MPONTLEMANSALL" localSheetId="5">#REF!</definedName>
    <definedName name="MPONTLEMANSALL" localSheetId="4">#REF!</definedName>
    <definedName name="MPONTLEMANSALL">#REF!</definedName>
    <definedName name="MPONTRECON" localSheetId="0">#REF!</definedName>
    <definedName name="MPONTRECON" localSheetId="5">#REF!</definedName>
    <definedName name="MPONTRECON" localSheetId="4">#REF!</definedName>
    <definedName name="MPONTRECON">#REF!</definedName>
    <definedName name="MPONTSUNALL" localSheetId="0">#REF!</definedName>
    <definedName name="MPONTSUNALL" localSheetId="5">#REF!</definedName>
    <definedName name="MPONTSUNALL" localSheetId="4">#REF!</definedName>
    <definedName name="MPONTSUNALL">#REF!</definedName>
    <definedName name="MPONTT1000ALL" localSheetId="0">#REF!</definedName>
    <definedName name="MPONTT1000ALL" localSheetId="5">#REF!</definedName>
    <definedName name="MPONTT1000ALL" localSheetId="4">#REF!</definedName>
    <definedName name="MPONTT1000ALL">#REF!</definedName>
    <definedName name="MPONTTRANP" localSheetId="0">#REF!</definedName>
    <definedName name="MPONTTRANP" localSheetId="5">#REF!</definedName>
    <definedName name="MPONTTRANP" localSheetId="4">#REF!</definedName>
    <definedName name="MPONTTRANP">#REF!</definedName>
    <definedName name="MPOR9010" localSheetId="0">#REF!</definedName>
    <definedName name="MPOR9010" localSheetId="5">#REF!</definedName>
    <definedName name="MPOR9010" localSheetId="4">#REF!</definedName>
    <definedName name="MPOR9010">#REF!</definedName>
    <definedName name="MPORSCHE911ALL" localSheetId="0">#REF!</definedName>
    <definedName name="MPORSCHE911ALL" localSheetId="5">#REF!</definedName>
    <definedName name="MPORSCHE911ALL" localSheetId="4">#REF!</definedName>
    <definedName name="MPORSCHE911ALL">#REF!</definedName>
    <definedName name="MPORSCHE944_968ALL" localSheetId="0">#REF!</definedName>
    <definedName name="MPORSCHE944_968ALL" localSheetId="5">#REF!</definedName>
    <definedName name="MPORSCHE944_968ALL" localSheetId="4">#REF!</definedName>
    <definedName name="MPORSCHE944_968ALL">#REF!</definedName>
    <definedName name="MPPLYACCLAIMALL" localSheetId="0">#REF!</definedName>
    <definedName name="MPPLYACCLAIMALL" localSheetId="5">#REF!</definedName>
    <definedName name="MPPLYACCLAIMALL" localSheetId="4">#REF!</definedName>
    <definedName name="MPPLYACCLAIMALL">#REF!</definedName>
    <definedName name="MPPLYCARA" localSheetId="0">#REF!</definedName>
    <definedName name="MPPLYCARA" localSheetId="5">#REF!</definedName>
    <definedName name="MPPLYCARA" localSheetId="4">#REF!</definedName>
    <definedName name="MPPLYCARA">#REF!</definedName>
    <definedName name="MPPLYCOLTALL" localSheetId="0">#REF!</definedName>
    <definedName name="MPPLYCOLTALL" localSheetId="5">#REF!</definedName>
    <definedName name="MPPLYCOLTALL" localSheetId="4">#REF!</definedName>
    <definedName name="MPPLYCOLTALL">#REF!</definedName>
    <definedName name="MPPLYCOLTVW" localSheetId="0">#REF!</definedName>
    <definedName name="MPPLYCOLTVW" localSheetId="5">#REF!</definedName>
    <definedName name="MPPLYCOLTVW" localSheetId="4">#REF!</definedName>
    <definedName name="MPPLYCOLTVW">#REF!</definedName>
    <definedName name="MPPLYFURY" localSheetId="0">#REF!</definedName>
    <definedName name="MPPLYFURY" localSheetId="5">#REF!</definedName>
    <definedName name="MPPLYFURY" localSheetId="4">#REF!</definedName>
    <definedName name="MPPLYFURY">#REF!</definedName>
    <definedName name="MPPLYHORIZON" localSheetId="0">#REF!</definedName>
    <definedName name="MPPLYHORIZON" localSheetId="5">#REF!</definedName>
    <definedName name="MPPLYHORIZON" localSheetId="4">#REF!</definedName>
    <definedName name="MPPLYHORIZON">#REF!</definedName>
    <definedName name="MPPLYLASER" localSheetId="0">#REF!</definedName>
    <definedName name="MPPLYLASER" localSheetId="5">#REF!</definedName>
    <definedName name="MPPLYLASER" localSheetId="4">#REF!</definedName>
    <definedName name="MPPLYLASER">#REF!</definedName>
    <definedName name="MPPLYPROW" localSheetId="0">#REF!</definedName>
    <definedName name="MPPLYPROW" localSheetId="5">#REF!</definedName>
    <definedName name="MPPLYPROW" localSheetId="4">#REF!</definedName>
    <definedName name="MPPLYPROW">#REF!</definedName>
    <definedName name="MPPLYSUN_NEONALL" localSheetId="0">#REF!</definedName>
    <definedName name="MPPLYSUN_NEONALL" localSheetId="5">#REF!</definedName>
    <definedName name="MPPLYSUN_NEONALL" localSheetId="4">#REF!</definedName>
    <definedName name="MPPLYSUN_NEONALL">#REF!</definedName>
    <definedName name="MPPLYVOYP" localSheetId="0">#REF!</definedName>
    <definedName name="MPPLYVOYP" localSheetId="5">#REF!</definedName>
    <definedName name="MPPLYVOYP" localSheetId="4">#REF!</definedName>
    <definedName name="MPPLYVOYP">#REF!</definedName>
    <definedName name="MPPONBONN" localSheetId="0">#REF!</definedName>
    <definedName name="MPPONBONN" localSheetId="5">#REF!</definedName>
    <definedName name="MPPONBONN" localSheetId="4">#REF!</definedName>
    <definedName name="MPPONBONN">#REF!</definedName>
    <definedName name="MPPONSAFARW" localSheetId="0">#REF!</definedName>
    <definedName name="MPPONSAFARW" localSheetId="5">#REF!</definedName>
    <definedName name="MPPONSAFARW" localSheetId="4">#REF!</definedName>
    <definedName name="MPPONSAFARW">#REF!</definedName>
    <definedName name="MPPONT6000ALL" localSheetId="0">#REF!</definedName>
    <definedName name="MPPONT6000ALL" localSheetId="5">#REF!</definedName>
    <definedName name="MPPONT6000ALL" localSheetId="4">#REF!</definedName>
    <definedName name="MPPONT6000ALL">#REF!</definedName>
    <definedName name="MPPONTFIERO" localSheetId="0">#REF!</definedName>
    <definedName name="MPPONTFIERO" localSheetId="5">#REF!</definedName>
    <definedName name="MPPONTFIERO" localSheetId="4">#REF!</definedName>
    <definedName name="MPPONTFIERO">#REF!</definedName>
    <definedName name="MPPONTFIREBIRDALL" localSheetId="0">#REF!</definedName>
    <definedName name="MPPONTFIREBIRDALL" localSheetId="5">#REF!</definedName>
    <definedName name="MPPONTFIREBIRDALL" localSheetId="4">#REF!</definedName>
    <definedName name="MPPONTFIREBIRDALL">#REF!</definedName>
    <definedName name="MPPONTGRAMALL" localSheetId="0">#REF!</definedName>
    <definedName name="MPPONTGRAMALL" localSheetId="5">#REF!</definedName>
    <definedName name="MPPONTGRAMALL" localSheetId="4">#REF!</definedName>
    <definedName name="MPPONTGRAMALL">#REF!</definedName>
    <definedName name="MPPONTGRPRIXALL" localSheetId="0">#REF!</definedName>
    <definedName name="MPPONTGRPRIXALL" localSheetId="5">#REF!</definedName>
    <definedName name="MPPONTGRPRIXALL" localSheetId="4">#REF!</definedName>
    <definedName name="MPPONTGRPRIXALL">#REF!</definedName>
    <definedName name="MPPONTLEMANSALL" localSheetId="0">#REF!</definedName>
    <definedName name="MPPONTLEMANSALL" localSheetId="5">#REF!</definedName>
    <definedName name="MPPONTLEMANSALL" localSheetId="4">#REF!</definedName>
    <definedName name="MPPONTLEMANSALL">#REF!</definedName>
    <definedName name="MPPONTRECON" localSheetId="0">#REF!</definedName>
    <definedName name="MPPONTRECON" localSheetId="5">#REF!</definedName>
    <definedName name="MPPONTRECON" localSheetId="4">#REF!</definedName>
    <definedName name="MPPONTRECON">#REF!</definedName>
    <definedName name="MPPONTSUNALL" localSheetId="0">#REF!</definedName>
    <definedName name="MPPONTSUNALL" localSheetId="5">#REF!</definedName>
    <definedName name="MPPONTSUNALL" localSheetId="4">#REF!</definedName>
    <definedName name="MPPONTSUNALL">#REF!</definedName>
    <definedName name="MPPONTT1000ALL" localSheetId="0">#REF!</definedName>
    <definedName name="MPPONTT1000ALL" localSheetId="5">#REF!</definedName>
    <definedName name="MPPONTT1000ALL" localSheetId="4">#REF!</definedName>
    <definedName name="MPPONTT1000ALL">#REF!</definedName>
    <definedName name="MPPONTTRANP" localSheetId="0">#REF!</definedName>
    <definedName name="MPPONTTRANP" localSheetId="5">#REF!</definedName>
    <definedName name="MPPONTTRANP" localSheetId="4">#REF!</definedName>
    <definedName name="MPPONTTRANP">#REF!</definedName>
    <definedName name="MPPOR9010" localSheetId="0">#REF!</definedName>
    <definedName name="MPPOR9010" localSheetId="5">#REF!</definedName>
    <definedName name="MPPOR9010" localSheetId="4">#REF!</definedName>
    <definedName name="MPPOR9010">#REF!</definedName>
    <definedName name="MPPORSCHE911ALL" localSheetId="0">#REF!</definedName>
    <definedName name="MPPORSCHE911ALL" localSheetId="5">#REF!</definedName>
    <definedName name="MPPORSCHE911ALL" localSheetId="4">#REF!</definedName>
    <definedName name="MPPORSCHE911ALL">#REF!</definedName>
    <definedName name="MPPORSCHE944_968ALL" localSheetId="0">#REF!</definedName>
    <definedName name="MPPORSCHE944_968ALL" localSheetId="5">#REF!</definedName>
    <definedName name="MPPORSCHE944_968ALL" localSheetId="4">#REF!</definedName>
    <definedName name="MPPORSCHE944_968ALL">#REF!</definedName>
    <definedName name="MPPSCH928" localSheetId="0">#REF!</definedName>
    <definedName name="MPPSCH928" localSheetId="5">#REF!</definedName>
    <definedName name="MPPSCH928" localSheetId="4">#REF!</definedName>
    <definedName name="MPPSCH928">#REF!</definedName>
    <definedName name="MPPSCHBOX" localSheetId="0">#REF!</definedName>
    <definedName name="MPPSCHBOX" localSheetId="5">#REF!</definedName>
    <definedName name="MPPSCHBOX" localSheetId="4">#REF!</definedName>
    <definedName name="MPPSCHBOX">#REF!</definedName>
    <definedName name="MPROV600ALL" localSheetId="0">#REF!</definedName>
    <definedName name="MPROV600ALL" localSheetId="5">#REF!</definedName>
    <definedName name="MPROV600ALL" localSheetId="4">#REF!</definedName>
    <definedName name="MPROV600ALL">#REF!</definedName>
    <definedName name="MPROVDEFALL" localSheetId="0">#REF!</definedName>
    <definedName name="MPROVDEFALL" localSheetId="5">#REF!</definedName>
    <definedName name="MPROVDEFALL" localSheetId="4">#REF!</definedName>
    <definedName name="MPROVDEFALL">#REF!</definedName>
    <definedName name="MPROVDISC4" localSheetId="0">#REF!</definedName>
    <definedName name="MPROVDISC4" localSheetId="5">#REF!</definedName>
    <definedName name="MPROVDISC4" localSheetId="4">#REF!</definedName>
    <definedName name="MPROVDISC4">#REF!</definedName>
    <definedName name="MPROVFREEALL" localSheetId="0">#REF!</definedName>
    <definedName name="MPROVFREEALL" localSheetId="5">#REF!</definedName>
    <definedName name="MPROVFREEALL" localSheetId="4">#REF!</definedName>
    <definedName name="MPROVFREEALL">#REF!</definedName>
    <definedName name="MPROVROVALL" localSheetId="0">#REF!</definedName>
    <definedName name="MPROVROVALL" localSheetId="5">#REF!</definedName>
    <definedName name="MPROVROVALL" localSheetId="4">#REF!</definedName>
    <definedName name="MPROVROVALL">#REF!</definedName>
    <definedName name="MPRVR600" localSheetId="0">#REF!</definedName>
    <definedName name="MPRVR600" localSheetId="5">#REF!</definedName>
    <definedName name="MPRVR600" localSheetId="4">#REF!</definedName>
    <definedName name="MPRVR600">#REF!</definedName>
    <definedName name="MPRVR600W" localSheetId="0">#REF!</definedName>
    <definedName name="MPRVR600W" localSheetId="5">#REF!</definedName>
    <definedName name="MPRVR600W" localSheetId="4">#REF!</definedName>
    <definedName name="MPRVR600W">#REF!</definedName>
    <definedName name="MPRVR800" localSheetId="0">#REF!</definedName>
    <definedName name="MPRVR800" localSheetId="5">#REF!</definedName>
    <definedName name="MPRVR800" localSheetId="4">#REF!</definedName>
    <definedName name="MPRVR800">#REF!</definedName>
    <definedName name="MPSAAB900ALL" localSheetId="0">#REF!</definedName>
    <definedName name="MPSAAB900ALL" localSheetId="5">#REF!</definedName>
    <definedName name="MPSAAB900ALL" localSheetId="4">#REF!</definedName>
    <definedName name="MPSAAB900ALL">#REF!</definedName>
    <definedName name="MPSAAB95ALL" localSheetId="0">#REF!</definedName>
    <definedName name="MPSAAB95ALL" localSheetId="5">#REF!</definedName>
    <definedName name="MPSAAB95ALL" localSheetId="4">#REF!</definedName>
    <definedName name="MPSAAB95ALL">#REF!</definedName>
    <definedName name="MPSATSC" localSheetId="0">#REF!</definedName>
    <definedName name="MPSATSC" localSheetId="5">#REF!</definedName>
    <definedName name="MPSATSC" localSheetId="4">#REF!</definedName>
    <definedName name="MPSATSC">#REF!</definedName>
    <definedName name="MPSATSLSWALL" localSheetId="0">#REF!</definedName>
    <definedName name="MPSATSLSWALL" localSheetId="5">#REF!</definedName>
    <definedName name="MPSATSLSWALL" localSheetId="4">#REF!</definedName>
    <definedName name="MPSATSLSWALL">#REF!</definedName>
    <definedName name="MPSATSLV" localSheetId="0">#REF!</definedName>
    <definedName name="MPSATSLV" localSheetId="5">#REF!</definedName>
    <definedName name="MPSATSLV" localSheetId="4">#REF!</definedName>
    <definedName name="MPSATSLV">#REF!</definedName>
    <definedName name="MPSATSRALL" localSheetId="0">#REF!</definedName>
    <definedName name="MPSATSRALL" localSheetId="5">#REF!</definedName>
    <definedName name="MPSATSRALL" localSheetId="4">#REF!</definedName>
    <definedName name="MPSATSRALL">#REF!</definedName>
    <definedName name="MPSATVPU" localSheetId="0">#REF!</definedName>
    <definedName name="MPSATVPU" localSheetId="5">#REF!</definedName>
    <definedName name="MPSATVPU" localSheetId="4">#REF!</definedName>
    <definedName name="MPSATVPU">#REF!</definedName>
    <definedName name="MPSBFOREST4" localSheetId="0">#REF!</definedName>
    <definedName name="MPSBFOREST4" localSheetId="5">#REF!</definedName>
    <definedName name="MPSBFOREST4" localSheetId="4">#REF!</definedName>
    <definedName name="MPSBFOREST4">#REF!</definedName>
    <definedName name="MPSCH928" localSheetId="0">#REF!</definedName>
    <definedName name="MPSCH928" localSheetId="5">#REF!</definedName>
    <definedName name="MPSCH928" localSheetId="4">#REF!</definedName>
    <definedName name="MPSCH928">#REF!</definedName>
    <definedName name="MPSCHBOX" localSheetId="0">#REF!</definedName>
    <definedName name="MPSCHBOX" localSheetId="5">#REF!</definedName>
    <definedName name="MPSCHBOX" localSheetId="4">#REF!</definedName>
    <definedName name="MPSCHBOX">#REF!</definedName>
    <definedName name="MPSUBJUSTYALL" localSheetId="0">#REF!</definedName>
    <definedName name="MPSUBJUSTYALL" localSheetId="5">#REF!</definedName>
    <definedName name="MPSUBJUSTYALL" localSheetId="4">#REF!</definedName>
    <definedName name="MPSUBJUSTYALL">#REF!</definedName>
    <definedName name="MPSUBLEGACYALL" localSheetId="0">#REF!</definedName>
    <definedName name="MPSUBLEGACYALL" localSheetId="5">#REF!</definedName>
    <definedName name="MPSUBLEGACYALL" localSheetId="4">#REF!</definedName>
    <definedName name="MPSUBLEGACYALL">#REF!</definedName>
    <definedName name="MPSUBLOY_IMPALL" localSheetId="0">#REF!</definedName>
    <definedName name="MPSUBLOY_IMPALL" localSheetId="5">#REF!</definedName>
    <definedName name="MPSUBLOY_IMPALL" localSheetId="4">#REF!</definedName>
    <definedName name="MPSUBLOY_IMPALL">#REF!</definedName>
    <definedName name="MPSUBSVX" localSheetId="0">#REF!</definedName>
    <definedName name="MPSUBSVX" localSheetId="5">#REF!</definedName>
    <definedName name="MPSUBSVX" localSheetId="4">#REF!</definedName>
    <definedName name="MPSUBSVX">#REF!</definedName>
    <definedName name="MPSUBXT" localSheetId="0">#REF!</definedName>
    <definedName name="MPSUBXT" localSheetId="5">#REF!</definedName>
    <definedName name="MPSUBXT" localSheetId="4">#REF!</definedName>
    <definedName name="MPSUBXT">#REF!</definedName>
    <definedName name="MPSUZESTEEMALL" localSheetId="0">#REF!</definedName>
    <definedName name="MPSUZESTEEMALL" localSheetId="5">#REF!</definedName>
    <definedName name="MPSUZESTEEMALL" localSheetId="4">#REF!</definedName>
    <definedName name="MPSUZESTEEMALL">#REF!</definedName>
    <definedName name="MPSUZSWIFTALL" localSheetId="0">#REF!</definedName>
    <definedName name="MPSUZSWIFTALL" localSheetId="5">#REF!</definedName>
    <definedName name="MPSUZSWIFTALL" localSheetId="4">#REF!</definedName>
    <definedName name="MPSUZSWIFTALL">#REF!</definedName>
    <definedName name="MPSZSAM" localSheetId="0">#REF!</definedName>
    <definedName name="MPSZSAM" localSheetId="5">#REF!</definedName>
    <definedName name="MPSZSAM" localSheetId="4">#REF!</definedName>
    <definedName name="MPSZSAM">#REF!</definedName>
    <definedName name="MPSZSIDEALL" localSheetId="0">#REF!</definedName>
    <definedName name="MPSZSIDEALL" localSheetId="5">#REF!</definedName>
    <definedName name="MPSZSIDEALL" localSheetId="4">#REF!</definedName>
    <definedName name="MPSZSIDEALL">#REF!</definedName>
    <definedName name="MPSZX90" localSheetId="0">#REF!</definedName>
    <definedName name="MPSZX90" localSheetId="5">#REF!</definedName>
    <definedName name="MPSZX90" localSheetId="4">#REF!</definedName>
    <definedName name="MPSZX90">#REF!</definedName>
    <definedName name="MPTITLE" localSheetId="0">#REF!</definedName>
    <definedName name="MPTITLE" localSheetId="5">#REF!</definedName>
    <definedName name="MPTITLE" localSheetId="4">#REF!</definedName>
    <definedName name="MPTITLE">#REF!</definedName>
    <definedName name="MPTOY013N" localSheetId="0">#REF!</definedName>
    <definedName name="MPTOY013N" localSheetId="5">#REF!</definedName>
    <definedName name="MPTOY013N" localSheetId="4">#REF!</definedName>
    <definedName name="MPTOY013N">#REF!</definedName>
    <definedName name="MPTOY4RUNALL" localSheetId="0">#REF!</definedName>
    <definedName name="MPTOY4RUNALL" localSheetId="5">#REF!</definedName>
    <definedName name="MPTOY4RUNALL" localSheetId="4">#REF!</definedName>
    <definedName name="MPTOY4RUNALL">#REF!</definedName>
    <definedName name="MPTOYCAMRYALL" localSheetId="0">#REF!</definedName>
    <definedName name="MPTOYCAMRYALL" localSheetId="5">#REF!</definedName>
    <definedName name="MPTOYCAMRYALL" localSheetId="4">#REF!</definedName>
    <definedName name="MPTOYCAMRYALL">#REF!</definedName>
    <definedName name="MPTOYCELICAALL" localSheetId="0">#REF!</definedName>
    <definedName name="MPTOYCELICAALL" localSheetId="5">#REF!</definedName>
    <definedName name="MPTOYCELICAALL" localSheetId="4">#REF!</definedName>
    <definedName name="MPTOYCELICAALL">#REF!</definedName>
    <definedName name="MPTOYCOROLLAALL" localSheetId="0">#REF!</definedName>
    <definedName name="MPTOYCOROLLAALL" localSheetId="5">#REF!</definedName>
    <definedName name="MPTOYCOROLLAALL" localSheetId="4">#REF!</definedName>
    <definedName name="MPTOYCOROLLAALL">#REF!</definedName>
    <definedName name="MPTOYCRES_AVALALL" localSheetId="0">#REF!</definedName>
    <definedName name="MPTOYCRES_AVALALL" localSheetId="5">#REF!</definedName>
    <definedName name="MPTOYCRES_AVALALL" localSheetId="4">#REF!</definedName>
    <definedName name="MPTOYCRES_AVALALL">#REF!</definedName>
    <definedName name="MPTOYLAND" localSheetId="0">#REF!</definedName>
    <definedName name="MPTOYLAND" localSheetId="5">#REF!</definedName>
    <definedName name="MPTOYLAND" localSheetId="4">#REF!</definedName>
    <definedName name="MPTOYLAND">#REF!</definedName>
    <definedName name="MPTOYLSUV" localSheetId="0">#REF!</definedName>
    <definedName name="MPTOYLSUV" localSheetId="5">#REF!</definedName>
    <definedName name="MPTOYLSUV" localSheetId="4">#REF!</definedName>
    <definedName name="MPTOYLSUV">#REF!</definedName>
    <definedName name="MPTOYPASEOALL" localSheetId="0">#REF!</definedName>
    <definedName name="MPTOYPASEOALL" localSheetId="5">#REF!</definedName>
    <definedName name="MPTOYPASEOALL" localSheetId="4">#REF!</definedName>
    <definedName name="MPTOYPASEOALL">#REF!</definedName>
    <definedName name="MPTOYRAVALL" localSheetId="0">#REF!</definedName>
    <definedName name="MPTOYRAVALL" localSheetId="5">#REF!</definedName>
    <definedName name="MPTOYRAVALL" localSheetId="4">#REF!</definedName>
    <definedName name="MPTOYRAVALL">#REF!</definedName>
    <definedName name="MPTOYSOLARAALL" localSheetId="0">#REF!</definedName>
    <definedName name="MPTOYSOLARAALL" localSheetId="5">#REF!</definedName>
    <definedName name="MPTOYSOLARAALL" localSheetId="4">#REF!</definedName>
    <definedName name="MPTOYSOLARAALL">#REF!</definedName>
    <definedName name="MPTOYT100ALL" localSheetId="0">#REF!</definedName>
    <definedName name="MPTOYT100ALL" localSheetId="5">#REF!</definedName>
    <definedName name="MPTOYT100ALL" localSheetId="4">#REF!</definedName>
    <definedName name="MPTOYT100ALL">#REF!</definedName>
    <definedName name="MPTOYTACOMAALL" localSheetId="0">#REF!</definedName>
    <definedName name="MPTOYTACOMAALL" localSheetId="5">#REF!</definedName>
    <definedName name="MPTOYTACOMAALL" localSheetId="4">#REF!</definedName>
    <definedName name="MPTOYTACOMAALL">#REF!</definedName>
    <definedName name="MPTOYTERCELALL" localSheetId="0">#REF!</definedName>
    <definedName name="MPTOYTERCELALL" localSheetId="5">#REF!</definedName>
    <definedName name="MPTOYTERCELALL" localSheetId="4">#REF!</definedName>
    <definedName name="MPTOYTERCELALL">#REF!</definedName>
    <definedName name="MPTOYTUNDRA" localSheetId="0">#REF!</definedName>
    <definedName name="MPTOYTUNDRA" localSheetId="5">#REF!</definedName>
    <definedName name="MPTOYTUNDRA" localSheetId="4">#REF!</definedName>
    <definedName name="MPTOYTUNDRA">#REF!</definedName>
    <definedName name="MPTOYVANALL" localSheetId="0">#REF!</definedName>
    <definedName name="MPTOYVANALL" localSheetId="5">#REF!</definedName>
    <definedName name="MPTOYVANALL" localSheetId="4">#REF!</definedName>
    <definedName name="MPTOYVANALL">#REF!</definedName>
    <definedName name="MPTYMR2" localSheetId="0">#REF!</definedName>
    <definedName name="MPTYMR2" localSheetId="5">#REF!</definedName>
    <definedName name="MPTYMR2" localSheetId="4">#REF!</definedName>
    <definedName name="MPTYMR2">#REF!</definedName>
    <definedName name="MPTYMRS" localSheetId="0">#REF!</definedName>
    <definedName name="MPTYMRS" localSheetId="5">#REF!</definedName>
    <definedName name="MPTYMRS" localSheetId="4">#REF!</definedName>
    <definedName name="MPTYMRS">#REF!</definedName>
    <definedName name="MPTYPRIUS" localSheetId="0">#REF!</definedName>
    <definedName name="MPTYPRIUS" localSheetId="5">#REF!</definedName>
    <definedName name="MPTYPRIUS" localSheetId="4">#REF!</definedName>
    <definedName name="MPTYPRIUS">#REF!</definedName>
    <definedName name="MPTYSUPRA" localSheetId="0">#REF!</definedName>
    <definedName name="MPTYSUPRA" localSheetId="5">#REF!</definedName>
    <definedName name="MPTYSUPRA" localSheetId="4">#REF!</definedName>
    <definedName name="MPTYSUPRA">#REF!</definedName>
    <definedName name="MPUA">[5]ATRUCK!$F$352:$V$352</definedName>
    <definedName name="MPUDO">[5]ATRUCK!$F$350:$V$350</definedName>
    <definedName name="MPUE">[5]ATRUCK!$F$351:$V$351</definedName>
    <definedName name="MPUEC" localSheetId="0">[5]ATRUCK!#REF!</definedName>
    <definedName name="MPUEC" localSheetId="5">[5]ATRUCK!#REF!</definedName>
    <definedName name="MPUEC" localSheetId="4">[5]ATRUCK!#REF!</definedName>
    <definedName name="MPUEC">[5]ATRUCK!#REF!</definedName>
    <definedName name="MPURC" localSheetId="0">[5]ATRUCK!#REF!</definedName>
    <definedName name="MPURC" localSheetId="5">[5]ATRUCK!#REF!</definedName>
    <definedName name="MPURC" localSheetId="4">[5]ATRUCK!#REF!</definedName>
    <definedName name="MPURC">[5]ATRUCK!#REF!</definedName>
    <definedName name="MPUTOTAL" localSheetId="0">[5]ATRUCK!#REF!</definedName>
    <definedName name="MPUTOTAL" localSheetId="5">[5]ATRUCK!#REF!</definedName>
    <definedName name="MPUTOTAL" localSheetId="4">[5]ATRUCK!#REF!</definedName>
    <definedName name="MPUTOTAL">[5]ATRUCK!#REF!</definedName>
    <definedName name="MPVLV760" localSheetId="0">#REF!</definedName>
    <definedName name="MPVLV760" localSheetId="5">#REF!</definedName>
    <definedName name="MPVLV760" localSheetId="4">#REF!</definedName>
    <definedName name="MPVLV760">#REF!</definedName>
    <definedName name="MPVOLVAN" localSheetId="0">#REF!</definedName>
    <definedName name="MPVOLVAN" localSheetId="5">#REF!</definedName>
    <definedName name="MPVOLVAN" localSheetId="4">#REF!</definedName>
    <definedName name="MPVOLVAN">#REF!</definedName>
    <definedName name="MPVOLVO_850_70" localSheetId="0">#REF!</definedName>
    <definedName name="MPVOLVO_850_70" localSheetId="5">#REF!</definedName>
    <definedName name="MPVOLVO_850_70" localSheetId="4">#REF!</definedName>
    <definedName name="MPVOLVO_850_70">#REF!</definedName>
    <definedName name="MPVOLVO_C70" localSheetId="0">#REF!</definedName>
    <definedName name="MPVOLVO_C70" localSheetId="5">#REF!</definedName>
    <definedName name="MPVOLVO_C70" localSheetId="4">#REF!</definedName>
    <definedName name="MPVOLVO_C70">#REF!</definedName>
    <definedName name="MPVOLVO240" localSheetId="0">#REF!</definedName>
    <definedName name="MPVOLVO240" localSheetId="5">#REF!</definedName>
    <definedName name="MPVOLVO240" localSheetId="4">#REF!</definedName>
    <definedName name="MPVOLVO240">#REF!</definedName>
    <definedName name="MPVOLVO760_780_740" localSheetId="0">#REF!</definedName>
    <definedName name="MPVOLVO760_780_740" localSheetId="5">#REF!</definedName>
    <definedName name="MPVOLVO760_780_740" localSheetId="4">#REF!</definedName>
    <definedName name="MPVOLVO760_780_740">#REF!</definedName>
    <definedName name="MPVOLVO850_70" localSheetId="0">#REF!</definedName>
    <definedName name="MPVOLVO850_70" localSheetId="5">#REF!</definedName>
    <definedName name="MPVOLVO850_70" localSheetId="4">#REF!</definedName>
    <definedName name="MPVOLVO850_70">#REF!</definedName>
    <definedName name="MPVOLVO960_940_90" localSheetId="0">#REF!</definedName>
    <definedName name="MPVOLVO960_940_90" localSheetId="5">#REF!</definedName>
    <definedName name="MPVOLVO960_940_90" localSheetId="4">#REF!</definedName>
    <definedName name="MPVOLVO960_940_90">#REF!</definedName>
    <definedName name="MPVOLVOS40" localSheetId="0">#REF!</definedName>
    <definedName name="MPVOLVOS40" localSheetId="5">#REF!</definedName>
    <definedName name="MPVOLVOS40" localSheetId="4">#REF!</definedName>
    <definedName name="MPVOLVOS40">#REF!</definedName>
    <definedName name="MPVOLVOS40ALL" localSheetId="0">#REF!</definedName>
    <definedName name="MPVOLVOS40ALL" localSheetId="5">#REF!</definedName>
    <definedName name="MPVOLVOS40ALL" localSheetId="4">#REF!</definedName>
    <definedName name="MPVOLVOS40ALL">#REF!</definedName>
    <definedName name="MPVOLVOSUV" localSheetId="0">#REF!</definedName>
    <definedName name="MPVOLVOSUV" localSheetId="5">#REF!</definedName>
    <definedName name="MPVOLVOSUV" localSheetId="4">#REF!</definedName>
    <definedName name="MPVOLVOSUV">#REF!</definedName>
    <definedName name="MPVWBEETLEALL" localSheetId="0">#REF!</definedName>
    <definedName name="MPVWBEETLEALL" localSheetId="5">#REF!</definedName>
    <definedName name="MPVWBEETLEALL" localSheetId="4">#REF!</definedName>
    <definedName name="MPVWBEETLEALL">#REF!</definedName>
    <definedName name="MPVWCABRIO" localSheetId="0">#REF!</definedName>
    <definedName name="MPVWCABRIO" localSheetId="5">#REF!</definedName>
    <definedName name="MPVWCABRIO" localSheetId="4">#REF!</definedName>
    <definedName name="MPVWCABRIO">#REF!</definedName>
    <definedName name="MPVWCORR" localSheetId="0">#REF!</definedName>
    <definedName name="MPVWCORR" localSheetId="5">#REF!</definedName>
    <definedName name="MPVWCORR" localSheetId="4">#REF!</definedName>
    <definedName name="MPVWCORR">#REF!</definedName>
    <definedName name="MPVWD1" localSheetId="0">#REF!</definedName>
    <definedName name="MPVWD1" localSheetId="5">#REF!</definedName>
    <definedName name="MPVWD1" localSheetId="4">#REF!</definedName>
    <definedName name="MPVWD1">#REF!</definedName>
    <definedName name="MPVWEUROP" localSheetId="0">#REF!</definedName>
    <definedName name="MPVWEUROP" localSheetId="5">#REF!</definedName>
    <definedName name="MPVWEUROP" localSheetId="4">#REF!</definedName>
    <definedName name="MPVWEUROP">#REF!</definedName>
    <definedName name="MPVWFOXALL" localSheetId="0">#REF!</definedName>
    <definedName name="MPVWFOXALL" localSheetId="5">#REF!</definedName>
    <definedName name="MPVWFOXALL" localSheetId="4">#REF!</definedName>
    <definedName name="MPVWFOXALL">#REF!</definedName>
    <definedName name="MPVWGOLFALL" localSheetId="0">#REF!</definedName>
    <definedName name="MPVWGOLFALL" localSheetId="5">#REF!</definedName>
    <definedName name="MPVWGOLFALL" localSheetId="4">#REF!</definedName>
    <definedName name="MPVWGOLFALL">#REF!</definedName>
    <definedName name="MPVWJETTAALL" localSheetId="0">#REF!</definedName>
    <definedName name="MPVWJETTAALL" localSheetId="5">#REF!</definedName>
    <definedName name="MPVWJETTAALL" localSheetId="4">#REF!</definedName>
    <definedName name="MPVWJETTAALL">#REF!</definedName>
    <definedName name="MPVWPASSATALL" localSheetId="0">#REF!</definedName>
    <definedName name="MPVWPASSATALL" localSheetId="5">#REF!</definedName>
    <definedName name="MPVWPASSATALL" localSheetId="4">#REF!</definedName>
    <definedName name="MPVWPASSATALL">#REF!</definedName>
    <definedName name="MPVWSUV" localSheetId="0">#REF!</definedName>
    <definedName name="MPVWSUV" localSheetId="5">#REF!</definedName>
    <definedName name="MPVWSUV" localSheetId="4">#REF!</definedName>
    <definedName name="MPVWSUV">#REF!</definedName>
    <definedName name="MROVDEFALL" localSheetId="0">#REF!</definedName>
    <definedName name="MROVDEFALL" localSheetId="5">#REF!</definedName>
    <definedName name="MROVDEFALL" localSheetId="4">#REF!</definedName>
    <definedName name="MROVDEFALL">#REF!</definedName>
    <definedName name="MROVDISC4" localSheetId="0">#REF!</definedName>
    <definedName name="MROVDISC4" localSheetId="5">#REF!</definedName>
    <definedName name="MROVDISC4" localSheetId="4">#REF!</definedName>
    <definedName name="MROVDISC4">#REF!</definedName>
    <definedName name="MROVFREE" localSheetId="0">#REF!</definedName>
    <definedName name="MROVFREE" localSheetId="5">#REF!</definedName>
    <definedName name="MROVFREE" localSheetId="4">#REF!</definedName>
    <definedName name="MROVFREE">#REF!</definedName>
    <definedName name="MROVMROVALL" localSheetId="0">#REF!</definedName>
    <definedName name="MROVMROVALL" localSheetId="5">#REF!</definedName>
    <definedName name="MROVMROVALL" localSheetId="4">#REF!</definedName>
    <definedName name="MROVMROVALL">#REF!</definedName>
    <definedName name="MROVROVALL" localSheetId="0">#REF!</definedName>
    <definedName name="MROVROVALL" localSheetId="5">#REF!</definedName>
    <definedName name="MROVROVALL" localSheetId="4">#REF!</definedName>
    <definedName name="MROVROVALL">#REF!</definedName>
    <definedName name="MRVR600" localSheetId="0">#REF!</definedName>
    <definedName name="MRVR600" localSheetId="5">#REF!</definedName>
    <definedName name="MRVR600" localSheetId="4">#REF!</definedName>
    <definedName name="MRVR600">#REF!</definedName>
    <definedName name="MRVR600W" localSheetId="0">#REF!</definedName>
    <definedName name="MRVR600W" localSheetId="5">#REF!</definedName>
    <definedName name="MRVR600W" localSheetId="4">#REF!</definedName>
    <definedName name="MRVR600W">#REF!</definedName>
    <definedName name="MRVR800" localSheetId="0">#REF!</definedName>
    <definedName name="MRVR800" localSheetId="5">#REF!</definedName>
    <definedName name="MRVR800" localSheetId="4">#REF!</definedName>
    <definedName name="MRVR800">#REF!</definedName>
    <definedName name="MSAAB900ALL" localSheetId="0">#REF!</definedName>
    <definedName name="MSAAB900ALL" localSheetId="5">#REF!</definedName>
    <definedName name="MSAAB900ALL" localSheetId="4">#REF!</definedName>
    <definedName name="MSAAB900ALL">#REF!</definedName>
    <definedName name="MSAAB95ALL" localSheetId="0">#REF!</definedName>
    <definedName name="MSAAB95ALL" localSheetId="5">#REF!</definedName>
    <definedName name="MSAAB95ALL" localSheetId="4">#REF!</definedName>
    <definedName name="MSAAB95ALL">#REF!</definedName>
    <definedName name="MSATSC" localSheetId="0">#REF!</definedName>
    <definedName name="MSATSC" localSheetId="5">#REF!</definedName>
    <definedName name="MSATSC" localSheetId="4">#REF!</definedName>
    <definedName name="MSATSC">#REF!</definedName>
    <definedName name="MSATSLSWALL" localSheetId="0">#REF!</definedName>
    <definedName name="MSATSLSWALL" localSheetId="5">#REF!</definedName>
    <definedName name="MSATSLSWALL" localSheetId="4">#REF!</definedName>
    <definedName name="MSATSLSWALL">#REF!</definedName>
    <definedName name="MSATSLV" localSheetId="0">#REF!</definedName>
    <definedName name="MSATSLV" localSheetId="5">#REF!</definedName>
    <definedName name="MSATSLV" localSheetId="4">#REF!</definedName>
    <definedName name="MSATSLV">#REF!</definedName>
    <definedName name="MSATSRALL" localSheetId="0">#REF!</definedName>
    <definedName name="MSATSRALL" localSheetId="5">#REF!</definedName>
    <definedName name="MSATSRALL" localSheetId="4">#REF!</definedName>
    <definedName name="MSATSRALL">#REF!</definedName>
    <definedName name="MSATVPU" localSheetId="0">#REF!</definedName>
    <definedName name="MSATVPU" localSheetId="5">#REF!</definedName>
    <definedName name="MSATVPU" localSheetId="4">#REF!</definedName>
    <definedName name="MSATVPU">#REF!</definedName>
    <definedName name="MSBFOREST4" localSheetId="0">#REF!</definedName>
    <definedName name="MSBFOREST4" localSheetId="5">#REF!</definedName>
    <definedName name="MSBFOREST4" localSheetId="4">#REF!</definedName>
    <definedName name="MSBFOREST4">#REF!</definedName>
    <definedName name="MSUBJUSTYALL" localSheetId="0">#REF!</definedName>
    <definedName name="MSUBJUSTYALL" localSheetId="5">#REF!</definedName>
    <definedName name="MSUBJUSTYALL" localSheetId="4">#REF!</definedName>
    <definedName name="MSUBJUSTYALL">#REF!</definedName>
    <definedName name="MSUBLEG" localSheetId="0">#REF!</definedName>
    <definedName name="MSUBLEG" localSheetId="5">#REF!</definedName>
    <definedName name="MSUBLEG" localSheetId="4">#REF!</definedName>
    <definedName name="MSUBLEG">#REF!</definedName>
    <definedName name="MSUBLEGACYALL" localSheetId="0">#REF!</definedName>
    <definedName name="MSUBLEGACYALL" localSheetId="5">#REF!</definedName>
    <definedName name="MSUBLEGACYALL" localSheetId="4">#REF!</definedName>
    <definedName name="MSUBLEGACYALL">#REF!</definedName>
    <definedName name="MSUBLEGOUT" localSheetId="0">#REF!</definedName>
    <definedName name="MSUBLEGOUT" localSheetId="5">#REF!</definedName>
    <definedName name="MSUBLEGOUT" localSheetId="4">#REF!</definedName>
    <definedName name="MSUBLEGOUT">#REF!</definedName>
    <definedName name="MSUBLOY_IMPALL" localSheetId="0">#REF!</definedName>
    <definedName name="MSUBLOY_IMPALL" localSheetId="5">#REF!</definedName>
    <definedName name="MSUBLOY_IMPALL" localSheetId="4">#REF!</definedName>
    <definedName name="MSUBLOY_IMPALL">#REF!</definedName>
    <definedName name="MSUBOUTSPT" localSheetId="0">#REF!</definedName>
    <definedName name="MSUBOUTSPT" localSheetId="5">#REF!</definedName>
    <definedName name="MSUBOUTSPT" localSheetId="4">#REF!</definedName>
    <definedName name="MSUBOUTSPT">#REF!</definedName>
    <definedName name="MSUBSVX" localSheetId="0">#REF!</definedName>
    <definedName name="MSUBSVX" localSheetId="5">#REF!</definedName>
    <definedName name="MSUBSVX" localSheetId="4">#REF!</definedName>
    <definedName name="MSUBSVX">#REF!</definedName>
    <definedName name="MSUBXT" localSheetId="0">#REF!</definedName>
    <definedName name="MSUBXT" localSheetId="5">#REF!</definedName>
    <definedName name="MSUBXT" localSheetId="4">#REF!</definedName>
    <definedName name="MSUBXT">#REF!</definedName>
    <definedName name="MSUZESTEEMALL" localSheetId="0">#REF!</definedName>
    <definedName name="MSUZESTEEMALL" localSheetId="5">#REF!</definedName>
    <definedName name="MSUZESTEEMALL" localSheetId="4">#REF!</definedName>
    <definedName name="MSUZESTEEMALL">#REF!</definedName>
    <definedName name="MSUZGVIT" localSheetId="0">#REF!</definedName>
    <definedName name="MSUZGVIT" localSheetId="5">#REF!</definedName>
    <definedName name="MSUZGVIT" localSheetId="4">#REF!</definedName>
    <definedName name="MSUZGVIT">#REF!</definedName>
    <definedName name="MSUZSWIFTALL" localSheetId="0">#REF!</definedName>
    <definedName name="MSUZSWIFTALL" localSheetId="5">#REF!</definedName>
    <definedName name="MSUZSWIFTALL" localSheetId="4">#REF!</definedName>
    <definedName name="MSUZSWIFTALL">#REF!</definedName>
    <definedName name="MSZSAM" localSheetId="0">#REF!</definedName>
    <definedName name="MSZSAM" localSheetId="5">#REF!</definedName>
    <definedName name="MSZSAM" localSheetId="4">#REF!</definedName>
    <definedName name="MSZSAM">#REF!</definedName>
    <definedName name="MSZSIDEALL" localSheetId="0">#REF!</definedName>
    <definedName name="MSZSIDEALL" localSheetId="5">#REF!</definedName>
    <definedName name="MSZSIDEALL" localSheetId="4">#REF!</definedName>
    <definedName name="MSZSIDEALL">#REF!</definedName>
    <definedName name="MSZX90" localSheetId="0">#REF!</definedName>
    <definedName name="MSZX90" localSheetId="5">#REF!</definedName>
    <definedName name="MSZX90" localSheetId="4">#REF!</definedName>
    <definedName name="MSZX90">#REF!</definedName>
    <definedName name="MTOY013N" localSheetId="0">#REF!</definedName>
    <definedName name="MTOY013N" localSheetId="5">#REF!</definedName>
    <definedName name="MTOY013N" localSheetId="4">#REF!</definedName>
    <definedName name="MTOY013N">#REF!</definedName>
    <definedName name="MTOY4RUNALL" localSheetId="0">#REF!</definedName>
    <definedName name="MTOY4RUNALL" localSheetId="5">#REF!</definedName>
    <definedName name="MTOY4RUNALL" localSheetId="4">#REF!</definedName>
    <definedName name="MTOY4RUNALL">#REF!</definedName>
    <definedName name="MTOYCAMRYALL" localSheetId="0">#REF!</definedName>
    <definedName name="MTOYCAMRYALL" localSheetId="5">#REF!</definedName>
    <definedName name="MTOYCAMRYALL" localSheetId="4">#REF!</definedName>
    <definedName name="MTOYCAMRYALL">#REF!</definedName>
    <definedName name="MTOYCELICAALL" localSheetId="0">#REF!</definedName>
    <definedName name="MTOYCELICAALL" localSheetId="5">#REF!</definedName>
    <definedName name="MTOYCELICAALL" localSheetId="4">#REF!</definedName>
    <definedName name="MTOYCELICAALL">#REF!</definedName>
    <definedName name="MTOYCOROLLAALL" localSheetId="0">#REF!</definedName>
    <definedName name="MTOYCOROLLAALL" localSheetId="5">#REF!</definedName>
    <definedName name="MTOYCOROLLAALL" localSheetId="4">#REF!</definedName>
    <definedName name="MTOYCOROLLAALL">#REF!</definedName>
    <definedName name="MTOYCRES_AVALALL" localSheetId="0">#REF!</definedName>
    <definedName name="MTOYCRES_AVALALL" localSheetId="5">#REF!</definedName>
    <definedName name="MTOYCRES_AVALALL" localSheetId="4">#REF!</definedName>
    <definedName name="MTOYCRES_AVALALL">#REF!</definedName>
    <definedName name="MTOYLAND" localSheetId="0">#REF!</definedName>
    <definedName name="MTOYLAND" localSheetId="5">#REF!</definedName>
    <definedName name="MTOYLAND" localSheetId="4">#REF!</definedName>
    <definedName name="MTOYLAND">#REF!</definedName>
    <definedName name="MTOYLSUV" localSheetId="0">#REF!</definedName>
    <definedName name="MTOYLSUV" localSheetId="5">#REF!</definedName>
    <definedName name="MTOYLSUV" localSheetId="4">#REF!</definedName>
    <definedName name="MTOYLSUV">#REF!</definedName>
    <definedName name="MTOYPASEOALL" localSheetId="0">#REF!</definedName>
    <definedName name="MTOYPASEOALL" localSheetId="5">#REF!</definedName>
    <definedName name="MTOYPASEOALL" localSheetId="4">#REF!</definedName>
    <definedName name="MTOYPASEOALL">#REF!</definedName>
    <definedName name="MTOYRAVALL" localSheetId="0">#REF!</definedName>
    <definedName name="MTOYRAVALL" localSheetId="5">#REF!</definedName>
    <definedName name="MTOYRAVALL" localSheetId="4">#REF!</definedName>
    <definedName name="MTOYRAVALL">#REF!</definedName>
    <definedName name="MTOYSOLARAALL" localSheetId="0">#REF!</definedName>
    <definedName name="MTOYSOLARAALL" localSheetId="5">#REF!</definedName>
    <definedName name="MTOYSOLARAALL" localSheetId="4">#REF!</definedName>
    <definedName name="MTOYSOLARAALL">#REF!</definedName>
    <definedName name="MTOYT100ALL" localSheetId="0">#REF!</definedName>
    <definedName name="MTOYT100ALL" localSheetId="5">#REF!</definedName>
    <definedName name="MTOYT100ALL" localSheetId="4">#REF!</definedName>
    <definedName name="MTOYT100ALL">#REF!</definedName>
    <definedName name="MTOYTACOMAALL" localSheetId="0">#REF!</definedName>
    <definedName name="MTOYTACOMAALL" localSheetId="5">#REF!</definedName>
    <definedName name="MTOYTACOMAALL" localSheetId="4">#REF!</definedName>
    <definedName name="MTOYTACOMAALL">#REF!</definedName>
    <definedName name="MTOYTERCELALL" localSheetId="0">#REF!</definedName>
    <definedName name="MTOYTERCELALL" localSheetId="5">#REF!</definedName>
    <definedName name="MTOYTERCELALL" localSheetId="4">#REF!</definedName>
    <definedName name="MTOYTERCELALL">#REF!</definedName>
    <definedName name="MTOYTUNDRA" localSheetId="0">#REF!</definedName>
    <definedName name="MTOYTUNDRA" localSheetId="5">#REF!</definedName>
    <definedName name="MTOYTUNDRA" localSheetId="4">#REF!</definedName>
    <definedName name="MTOYTUNDRA">#REF!</definedName>
    <definedName name="MTOYVANALL" localSheetId="0">#REF!</definedName>
    <definedName name="MTOYVANALL" localSheetId="5">#REF!</definedName>
    <definedName name="MTOYVANALL" localSheetId="4">#REF!</definedName>
    <definedName name="MTOYVANALL">#REF!</definedName>
    <definedName name="MTYMR2" localSheetId="0">#REF!</definedName>
    <definedName name="MTYMR2" localSheetId="5">#REF!</definedName>
    <definedName name="MTYMR2" localSheetId="4">#REF!</definedName>
    <definedName name="MTYMR2">#REF!</definedName>
    <definedName name="MTYMRS" localSheetId="0">#REF!</definedName>
    <definedName name="MTYMRS" localSheetId="5">#REF!</definedName>
    <definedName name="MTYMRS" localSheetId="4">#REF!</definedName>
    <definedName name="MTYMRS">#REF!</definedName>
    <definedName name="MTYPRIUS" localSheetId="0">#REF!</definedName>
    <definedName name="MTYPRIUS" localSheetId="5">#REF!</definedName>
    <definedName name="MTYPRIUS" localSheetId="4">#REF!</definedName>
    <definedName name="MTYPRIUS">#REF!</definedName>
    <definedName name="MTYSUPRA" localSheetId="0">#REF!</definedName>
    <definedName name="MTYSUPRA" localSheetId="5">#REF!</definedName>
    <definedName name="MTYSUPRA" localSheetId="4">#REF!</definedName>
    <definedName name="MTYSUPRA">#REF!</definedName>
    <definedName name="MVOLS70_V70" localSheetId="0">#REF!</definedName>
    <definedName name="MVOLS70_V70" localSheetId="5">#REF!</definedName>
    <definedName name="MVOLS70_V70" localSheetId="4">#REF!</definedName>
    <definedName name="MVOLS70_V70">#REF!</definedName>
    <definedName name="MVOLS80" localSheetId="0">#REF!</definedName>
    <definedName name="MVOLS80" localSheetId="5">#REF!</definedName>
    <definedName name="MVOLS80" localSheetId="4">#REF!</definedName>
    <definedName name="MVOLS80">#REF!</definedName>
    <definedName name="MVOLVO240" localSheetId="0">#REF!</definedName>
    <definedName name="MVOLVO240" localSheetId="5">#REF!</definedName>
    <definedName name="MVOLVO240" localSheetId="4">#REF!</definedName>
    <definedName name="MVOLVO240">#REF!</definedName>
    <definedName name="MVOLVO760_780_740" localSheetId="0">#REF!</definedName>
    <definedName name="MVOLVO760_780_740" localSheetId="5">#REF!</definedName>
    <definedName name="MVOLVO760_780_740" localSheetId="4">#REF!</definedName>
    <definedName name="MVOLVO760_780_740">#REF!</definedName>
    <definedName name="MVOLVO850_70" localSheetId="0">#REF!</definedName>
    <definedName name="MVOLVO850_70" localSheetId="5">#REF!</definedName>
    <definedName name="MVOLVO850_70" localSheetId="4">#REF!</definedName>
    <definedName name="MVOLVO850_70">#REF!</definedName>
    <definedName name="MVOLVO960_940_90" localSheetId="0">#REF!</definedName>
    <definedName name="MVOLVO960_940_90" localSheetId="5">#REF!</definedName>
    <definedName name="MVOLVO960_940_90" localSheetId="4">#REF!</definedName>
    <definedName name="MVOLVO960_940_90">#REF!</definedName>
    <definedName name="MVOLVOC70" localSheetId="0">#REF!</definedName>
    <definedName name="MVOLVOC70" localSheetId="5">#REF!</definedName>
    <definedName name="MVOLVOC70" localSheetId="4">#REF!</definedName>
    <definedName name="MVOLVOC70">#REF!</definedName>
    <definedName name="MVOLVOS40" localSheetId="0">#REF!</definedName>
    <definedName name="MVOLVOS40" localSheetId="5">#REF!</definedName>
    <definedName name="MVOLVOS40" localSheetId="4">#REF!</definedName>
    <definedName name="MVOLVOS40">#REF!</definedName>
    <definedName name="MVOLVOSUV" localSheetId="0">#REF!</definedName>
    <definedName name="MVOLVOSUV" localSheetId="5">#REF!</definedName>
    <definedName name="MVOLVOSUV" localSheetId="4">#REF!</definedName>
    <definedName name="MVOLVOSUV">#REF!</definedName>
    <definedName name="MVVOLVAN" localSheetId="0">#REF!</definedName>
    <definedName name="MVVOLVAN" localSheetId="5">#REF!</definedName>
    <definedName name="MVVOLVAN" localSheetId="4">#REF!</definedName>
    <definedName name="MVVOLVAN">#REF!</definedName>
    <definedName name="MVWBEETLEALL" localSheetId="0">#REF!</definedName>
    <definedName name="MVWBEETLEALL" localSheetId="5">#REF!</definedName>
    <definedName name="MVWBEETLEALL" localSheetId="4">#REF!</definedName>
    <definedName name="MVWBEETLEALL">#REF!</definedName>
    <definedName name="MVWCABRIO" localSheetId="0">#REF!</definedName>
    <definedName name="MVWCABRIO" localSheetId="5">#REF!</definedName>
    <definedName name="MVWCABRIO" localSheetId="4">#REF!</definedName>
    <definedName name="MVWCABRIO">#REF!</definedName>
    <definedName name="MVWCORR" localSheetId="0">#REF!</definedName>
    <definedName name="MVWCORR" localSheetId="5">#REF!</definedName>
    <definedName name="MVWCORR" localSheetId="4">#REF!</definedName>
    <definedName name="MVWCORR">#REF!</definedName>
    <definedName name="MVWD1" localSheetId="0">#REF!</definedName>
    <definedName name="MVWD1" localSheetId="5">#REF!</definedName>
    <definedName name="MVWD1" localSheetId="4">#REF!</definedName>
    <definedName name="MVWD1">#REF!</definedName>
    <definedName name="MVWEUROP" localSheetId="0">#REF!</definedName>
    <definedName name="MVWEUROP" localSheetId="5">#REF!</definedName>
    <definedName name="MVWEUROP" localSheetId="4">#REF!</definedName>
    <definedName name="MVWEUROP">#REF!</definedName>
    <definedName name="MVWFOXALL" localSheetId="0">#REF!</definedName>
    <definedName name="MVWFOXALL" localSheetId="5">#REF!</definedName>
    <definedName name="MVWFOXALL" localSheetId="4">#REF!</definedName>
    <definedName name="MVWFOXALL">#REF!</definedName>
    <definedName name="MVWGOLFALL" localSheetId="0">#REF!</definedName>
    <definedName name="MVWGOLFALL" localSheetId="5">#REF!</definedName>
    <definedName name="MVWGOLFALL" localSheetId="4">#REF!</definedName>
    <definedName name="MVWGOLFALL">#REF!</definedName>
    <definedName name="MVWJETTAALL" localSheetId="0">#REF!</definedName>
    <definedName name="MVWJETTAALL" localSheetId="5">#REF!</definedName>
    <definedName name="MVWJETTAALL" localSheetId="4">#REF!</definedName>
    <definedName name="MVWJETTAALL">#REF!</definedName>
    <definedName name="MVWPASSATALL" localSheetId="0">#REF!</definedName>
    <definedName name="MVWPASSATALL" localSheetId="5">#REF!</definedName>
    <definedName name="MVWPASSATALL" localSheetId="4">#REF!</definedName>
    <definedName name="MVWPASSATALL">#REF!</definedName>
    <definedName name="MVWSUV" localSheetId="0">#REF!</definedName>
    <definedName name="MVWSUV" localSheetId="5">#REF!</definedName>
    <definedName name="MVWSUV" localSheetId="4">#REF!</definedName>
    <definedName name="MVWSUV">#REF!</definedName>
    <definedName name="MZBSERIESALL" localSheetId="0">#REF!</definedName>
    <definedName name="MZBSERIESALL" localSheetId="5">#REF!</definedName>
    <definedName name="MZBSERIESALL" localSheetId="4">#REF!</definedName>
    <definedName name="MZBSERIESALL">#REF!</definedName>
    <definedName name="MZMPV">[5]ATRUCK!$F$58:$V$58</definedName>
    <definedName name="MZNAVA">[5]ATRUCK!$F$121:$V$121</definedName>
    <definedName name="MZPATH">[5]ATRUCK!$F$122:$V$122</definedName>
    <definedName name="MZR">[5]ATRUCK!$F$24:$V$24</definedName>
    <definedName name="MZX">[5]ATRUCK!$F$12:$V$12</definedName>
    <definedName name="N2CP" localSheetId="0">[4]ACARS!#REF!</definedName>
    <definedName name="N2CP" localSheetId="5">[4]ACARS!#REF!</definedName>
    <definedName name="N2CP" localSheetId="4">[4]ACARS!#REF!</definedName>
    <definedName name="N2CP">[4]ACARS!#REF!</definedName>
    <definedName name="NACINTEG_18AALL" localSheetId="0">#REF!</definedName>
    <definedName name="NACINTEG_18AALL" localSheetId="5">#REF!</definedName>
    <definedName name="NACINTEG_18AALL" localSheetId="4">#REF!</definedName>
    <definedName name="NACINTEG_18AALL">#REF!</definedName>
    <definedName name="NACSLX">[5]ATRUCK!$C$100:$AC$100</definedName>
    <definedName name="NACURALEGALL" localSheetId="0">#REF!</definedName>
    <definedName name="NACURALEGALL" localSheetId="5">#REF!</definedName>
    <definedName name="NACURALEGALL" localSheetId="4">#REF!</definedName>
    <definedName name="NACURALEGALL">#REF!</definedName>
    <definedName name="NACURATLALL" localSheetId="0">#REF!</definedName>
    <definedName name="NACURATLALL" localSheetId="5">#REF!</definedName>
    <definedName name="NACURATLALL" localSheetId="4">#REF!</definedName>
    <definedName name="NACURATLALL">#REF!</definedName>
    <definedName name="NACURATLS" localSheetId="0">#REF!</definedName>
    <definedName name="NACURATLS" localSheetId="5">#REF!</definedName>
    <definedName name="NACURATLS" localSheetId="4">#REF!</definedName>
    <definedName name="NACURATLS">#REF!</definedName>
    <definedName name="NACURATOTAL" localSheetId="0">#REF!</definedName>
    <definedName name="NACURATOTAL" localSheetId="5">#REF!</definedName>
    <definedName name="NACURATOTAL" localSheetId="4">#REF!</definedName>
    <definedName name="NACURATOTAL">#REF!</definedName>
    <definedName name="NALFAROMEOTOTAL" localSheetId="0">#REF!</definedName>
    <definedName name="NALFAROMEOTOTAL" localSheetId="5">#REF!</definedName>
    <definedName name="NALFAROMEOTOTAL" localSheetId="4">#REF!</definedName>
    <definedName name="NALFAROMEOTOTAL">#REF!</definedName>
    <definedName name="Name" localSheetId="5">#REF!</definedName>
    <definedName name="Name" localSheetId="4">#REF!</definedName>
    <definedName name="Name">#REF!</definedName>
    <definedName name="NAMEMONIC" localSheetId="0">[4]ACARS!#REF!</definedName>
    <definedName name="NAMEMONIC" localSheetId="5">[4]ACARS!#REF!</definedName>
    <definedName name="NAMEMONIC" localSheetId="4">[4]ACARS!#REF!</definedName>
    <definedName name="NAMEMONIC">[4]ACARS!#REF!</definedName>
    <definedName name="NAUDI6ALL" localSheetId="0">#REF!</definedName>
    <definedName name="NAUDI6ALL" localSheetId="5">#REF!</definedName>
    <definedName name="NAUDI6ALL" localSheetId="4">#REF!</definedName>
    <definedName name="NAUDI6ALL">#REF!</definedName>
    <definedName name="NAUDIA4ALL" localSheetId="0">#REF!</definedName>
    <definedName name="NAUDIA4ALL" localSheetId="5">#REF!</definedName>
    <definedName name="NAUDIA4ALL" localSheetId="4">#REF!</definedName>
    <definedName name="NAUDIA4ALL">#REF!</definedName>
    <definedName name="NAUDIO200ALL" localSheetId="0">#REF!</definedName>
    <definedName name="NAUDIO200ALL" localSheetId="5">#REF!</definedName>
    <definedName name="NAUDIO200ALL" localSheetId="4">#REF!</definedName>
    <definedName name="NAUDIO200ALL">#REF!</definedName>
    <definedName name="NAUDISUV" localSheetId="0">[5]ATRUCK!#REF!</definedName>
    <definedName name="NAUDISUV" localSheetId="5">[5]ATRUCK!#REF!</definedName>
    <definedName name="NAUDISUV" localSheetId="4">[5]ATRUCK!#REF!</definedName>
    <definedName name="NAUDISUV">[5]ATRUCK!#REF!</definedName>
    <definedName name="NAUDITOTAL" localSheetId="0">#REF!</definedName>
    <definedName name="NAUDITOTAL" localSheetId="5">#REF!</definedName>
    <definedName name="NAUDITOTAL" localSheetId="4">#REF!</definedName>
    <definedName name="NAUDITOTAL">#REF!</definedName>
    <definedName name="NAUDITTSALL" localSheetId="0">#REF!</definedName>
    <definedName name="NAUDITTSALL" localSheetId="5">#REF!</definedName>
    <definedName name="NAUDITTSALL" localSheetId="4">#REF!</definedName>
    <definedName name="NAUDITTSALL">#REF!</definedName>
    <definedName name="NBKSUV">[5]ATRUCK!$C$157:$AC$157</definedName>
    <definedName name="NBMW3ALL" localSheetId="0">#REF!</definedName>
    <definedName name="NBMW3ALL" localSheetId="5">#REF!</definedName>
    <definedName name="NBMW3ALL" localSheetId="4">#REF!</definedName>
    <definedName name="NBMW3ALL">#REF!</definedName>
    <definedName name="NBMW3HBALL" localSheetId="0">#REF!</definedName>
    <definedName name="NBMW3HBALL" localSheetId="5">#REF!</definedName>
    <definedName name="NBMW3HBALL" localSheetId="4">#REF!</definedName>
    <definedName name="NBMW3HBALL">#REF!</definedName>
    <definedName name="NBMW5ALL" localSheetId="0">#REF!</definedName>
    <definedName name="NBMW5ALL" localSheetId="5">#REF!</definedName>
    <definedName name="NBMW5ALL" localSheetId="4">#REF!</definedName>
    <definedName name="NBMW5ALL">#REF!</definedName>
    <definedName name="NBMW7ALL" localSheetId="0">#REF!</definedName>
    <definedName name="NBMW7ALL" localSheetId="5">#REF!</definedName>
    <definedName name="NBMW7ALL" localSheetId="4">#REF!</definedName>
    <definedName name="NBMW7ALL">#REF!</definedName>
    <definedName name="NBMWE63ALL" localSheetId="0">#REF!</definedName>
    <definedName name="NBMWE63ALL" localSheetId="5">#REF!</definedName>
    <definedName name="NBMWE63ALL" localSheetId="4">#REF!</definedName>
    <definedName name="NBMWE63ALL">#REF!</definedName>
    <definedName name="NBMWEMV">[5]ATRUCK!$C$101:$AC$101</definedName>
    <definedName name="NBMWTOTAL" localSheetId="0">#REF!</definedName>
    <definedName name="NBMWTOTAL" localSheetId="5">#REF!</definedName>
    <definedName name="NBMWTOTAL" localSheetId="4">#REF!</definedName>
    <definedName name="NBMWTOTAL">#REF!</definedName>
    <definedName name="NBMWZ3ALL" localSheetId="0">#REF!</definedName>
    <definedName name="NBMWZ3ALL" localSheetId="5">#REF!</definedName>
    <definedName name="NBMWZ3ALL" localSheetId="4">#REF!</definedName>
    <definedName name="NBMWZ3ALL">#REF!</definedName>
    <definedName name="NBMWZ7ALL" localSheetId="0">#REF!</definedName>
    <definedName name="NBMWZ7ALL" localSheetId="5">#REF!</definedName>
    <definedName name="NBMWZ7ALL" localSheetId="4">#REF!</definedName>
    <definedName name="NBMWZ7ALL">#REF!</definedName>
    <definedName name="NBUICKCENTALL" localSheetId="0">#REF!</definedName>
    <definedName name="NBUICKCENTALL" localSheetId="5">#REF!</definedName>
    <definedName name="NBUICKCENTALL" localSheetId="4">#REF!</definedName>
    <definedName name="NBUICKCENTALL">#REF!</definedName>
    <definedName name="NBUICKCENTSEDANALL" localSheetId="0">#REF!</definedName>
    <definedName name="NBUICKCENTSEDANALL" localSheetId="5">#REF!</definedName>
    <definedName name="NBUICKCENTSEDANALL" localSheetId="4">#REF!</definedName>
    <definedName name="NBUICKCENTSEDANALL">#REF!</definedName>
    <definedName name="NBUICKHAWKALL" localSheetId="0">#REF!</definedName>
    <definedName name="NBUICKHAWKALL" localSheetId="5">#REF!</definedName>
    <definedName name="NBUICKHAWKALL" localSheetId="4">#REF!</definedName>
    <definedName name="NBUICKHAWKALL">#REF!</definedName>
    <definedName name="NBUICKLESALL" localSheetId="0">#REF!</definedName>
    <definedName name="NBUICKLESALL" localSheetId="5">#REF!</definedName>
    <definedName name="NBUICKLESALL" localSheetId="4">#REF!</definedName>
    <definedName name="NBUICKLESALL">#REF!</definedName>
    <definedName name="NBUICKPARKALL" localSheetId="0">#REF!</definedName>
    <definedName name="NBUICKPARKALL" localSheetId="5">#REF!</definedName>
    <definedName name="NBUICKPARKALL" localSheetId="4">#REF!</definedName>
    <definedName name="NBUICKPARKALL">#REF!</definedName>
    <definedName name="NBUICKREATTAALL" localSheetId="0">#REF!</definedName>
    <definedName name="NBUICKREATTAALL" localSheetId="5">#REF!</definedName>
    <definedName name="NBUICKREATTAALL" localSheetId="4">#REF!</definedName>
    <definedName name="NBUICKREATTAALL">#REF!</definedName>
    <definedName name="NBUICKREGALALL" localSheetId="0">#REF!</definedName>
    <definedName name="NBUICKREGALALL" localSheetId="5">#REF!</definedName>
    <definedName name="NBUICKREGALALL" localSheetId="4">#REF!</definedName>
    <definedName name="NBUICKREGALALL">#REF!</definedName>
    <definedName name="NBUICKROADALL" localSheetId="0">#REF!</definedName>
    <definedName name="NBUICKROADALL" localSheetId="5">#REF!</definedName>
    <definedName name="NBUICKROADALL" localSheetId="4">#REF!</definedName>
    <definedName name="NBUICKROADALL">#REF!</definedName>
    <definedName name="NBUICKSKYLARKALL" localSheetId="0">#REF!</definedName>
    <definedName name="NBUICKSKYLARKALL" localSheetId="5">#REF!</definedName>
    <definedName name="NBUICKSKYLARKALL" localSheetId="4">#REF!</definedName>
    <definedName name="NBUICKSKYLARKALL">#REF!</definedName>
    <definedName name="NBUICKTOTAL" localSheetId="0">#REF!</definedName>
    <definedName name="NBUICKTOTAL" localSheetId="5">#REF!</definedName>
    <definedName name="NBUICKTOTAL" localSheetId="4">#REF!</definedName>
    <definedName name="NBUICKTOTAL">#REF!</definedName>
    <definedName name="NCADDILACDEVILLEALL" localSheetId="0">#REF!</definedName>
    <definedName name="NCADDILACDEVILLEALL" localSheetId="5">#REF!</definedName>
    <definedName name="NCADDILACDEVILLEALL" localSheetId="4">#REF!</definedName>
    <definedName name="NCADDILACDEVILLEALL">#REF!</definedName>
    <definedName name="NCADELDORADOALL" localSheetId="0">#REF!</definedName>
    <definedName name="NCADELDORADOALL" localSheetId="5">#REF!</definedName>
    <definedName name="NCADELDORADOALL" localSheetId="4">#REF!</definedName>
    <definedName name="NCADELDORADOALL">#REF!</definedName>
    <definedName name="NCADESCL">[5]ATRUCK!$C$102:$AC$102</definedName>
    <definedName name="NCADILLACTOTAL" localSheetId="0">#REF!</definedName>
    <definedName name="NCADILLACTOTAL" localSheetId="5">#REF!</definedName>
    <definedName name="NCADILLACTOTAL" localSheetId="4">#REF!</definedName>
    <definedName name="NCADILLACTOTAL">#REF!</definedName>
    <definedName name="NCADLAV">[5]ATRUCK!$C$104:$AC$104</definedName>
    <definedName name="NCADPU">[5]ATRUCK!$C$71:$AC$71</definedName>
    <definedName name="NCHASTROC">[5]ATRUCK!$C$36:$AC$36</definedName>
    <definedName name="NCHASTROP">[5]ATRUCK!$C$44:$AC$44</definedName>
    <definedName name="NCHAVA">[5]ATRUCK!$C$72:$AC$72</definedName>
    <definedName name="NCHBLAZ4">[5]ATRUCK!$C$124:$AC$124</definedName>
    <definedName name="NCHBLAZP4">[5]ATRUCK!$C$28:$AC$28</definedName>
    <definedName name="NCHCAMAROALL" localSheetId="0">#REF!</definedName>
    <definedName name="NCHCAMAROALL" localSheetId="5">#REF!</definedName>
    <definedName name="NCHCAMAROALL" localSheetId="4">#REF!</definedName>
    <definedName name="NCHCAMAROALL">#REF!</definedName>
    <definedName name="NCHCAPRICALL" localSheetId="0">#REF!</definedName>
    <definedName name="NCHCAPRICALL" localSheetId="5">#REF!</definedName>
    <definedName name="NCHCAPRICALL" localSheetId="4">#REF!</definedName>
    <definedName name="NCHCAPRICALL">#REF!</definedName>
    <definedName name="NCHCAVALIERALL" localSheetId="0">#REF!</definedName>
    <definedName name="NCHCAVALIERALL" localSheetId="5">#REF!</definedName>
    <definedName name="NCHCAVALIERALL" localSheetId="4">#REF!</definedName>
    <definedName name="NCHCAVALIERALL">#REF!</definedName>
    <definedName name="NCHCELEBALL" localSheetId="0">#REF!</definedName>
    <definedName name="NCHCELEBALL" localSheetId="5">#REF!</definedName>
    <definedName name="NCHCELEBALL" localSheetId="4">#REF!</definedName>
    <definedName name="NCHCELEBALL">#REF!</definedName>
    <definedName name="NCHCHEVETTEALL" localSheetId="0">#REF!</definedName>
    <definedName name="NCHCHEVETTEALL" localSheetId="5">#REF!</definedName>
    <definedName name="NCHCHEVETTEALL" localSheetId="4">#REF!</definedName>
    <definedName name="NCHCHEVETTEALL">#REF!</definedName>
    <definedName name="NCHCKR">[5]ATRUCK!$C$83:$AC$83</definedName>
    <definedName name="NCHCKX">[5]ATRUCK!$C$77:$AC$77</definedName>
    <definedName name="NCHCORS_MALIBUALL" localSheetId="0">#REF!</definedName>
    <definedName name="NCHCORS_MALIBUALL" localSheetId="5">#REF!</definedName>
    <definedName name="NCHCORS_MALIBUALL" localSheetId="4">#REF!</definedName>
    <definedName name="NCHCORS_MALIBUALL">#REF!</definedName>
    <definedName name="NCHCORSICAALL" localSheetId="0">#REF!</definedName>
    <definedName name="NCHCORSICAALL" localSheetId="5">#REF!</definedName>
    <definedName name="NCHCORSICAALL" localSheetId="4">#REF!</definedName>
    <definedName name="NCHCORSICAALL">#REF!</definedName>
    <definedName name="NCHCORVETTEALL" localSheetId="0">#REF!</definedName>
    <definedName name="NCHCORVETTEALL" localSheetId="5">#REF!</definedName>
    <definedName name="NCHCORVETTEALL" localSheetId="4">#REF!</definedName>
    <definedName name="NCHCORVETTEALL">#REF!</definedName>
    <definedName name="NCHELCAM">[5]ATRUCK!$C$84:$AC$84</definedName>
    <definedName name="NCHEVLUMINAALL" localSheetId="0">#REF!</definedName>
    <definedName name="NCHEVLUMINAALL" localSheetId="5">#REF!</definedName>
    <definedName name="NCHEVLUMINAALL" localSheetId="4">#REF!</definedName>
    <definedName name="NCHEVLUMINAALL">#REF!</definedName>
    <definedName name="NCHEVPRIZMALL" localSheetId="0">#REF!</definedName>
    <definedName name="NCHEVPRIZMALL" localSheetId="5">#REF!</definedName>
    <definedName name="NCHEVPRIZMALL" localSheetId="4">#REF!</definedName>
    <definedName name="NCHEVPRIZMALL">#REF!</definedName>
    <definedName name="NCHEVROLETTOTAL" localSheetId="0">#REF!</definedName>
    <definedName name="NCHEVROLETTOTAL" localSheetId="5">#REF!</definedName>
    <definedName name="NCHEVROLETTOTAL" localSheetId="4">#REF!</definedName>
    <definedName name="NCHEVROLETTOTAL">#REF!</definedName>
    <definedName name="NCHEXPC">[5]ATRUCK!$C$91:$AC$91</definedName>
    <definedName name="NCHEXPP">[5]ATRUCK!$C$95:$AC$95</definedName>
    <definedName name="NCHLHS" localSheetId="0">#REF!</definedName>
    <definedName name="NCHLHS" localSheetId="5">#REF!</definedName>
    <definedName name="NCHLHS" localSheetId="4">#REF!</definedName>
    <definedName name="NCHLHS">#REF!</definedName>
    <definedName name="NCHLUMINAC">[5]ATRUCK!$C$37:$AC$37</definedName>
    <definedName name="NCHMETROALL" localSheetId="0">#REF!</definedName>
    <definedName name="NCHMETROALL" localSheetId="5">#REF!</definedName>
    <definedName name="NCHMETROALL" localSheetId="4">#REF!</definedName>
    <definedName name="NCHMETROALL">#REF!</definedName>
    <definedName name="NCHRLEBA_SEBALL" localSheetId="0">#REF!</definedName>
    <definedName name="NCHRLEBA_SEBALL" localSheetId="5">#REF!</definedName>
    <definedName name="NCHRLEBA_SEBALL" localSheetId="4">#REF!</definedName>
    <definedName name="NCHRLEBA_SEBALL">#REF!</definedName>
    <definedName name="NCHRNYLHSALL" localSheetId="0">#REF!</definedName>
    <definedName name="NCHRNYLHSALL" localSheetId="5">#REF!</definedName>
    <definedName name="NCHRNYLHSALL" localSheetId="4">#REF!</definedName>
    <definedName name="NCHRNYLHSALL">#REF!</definedName>
    <definedName name="NCHRPT">[5]ATRUCK!$C$171:$AC$171</definedName>
    <definedName name="NCHRSEBJXALL" localSheetId="0">#REF!</definedName>
    <definedName name="NCHRSEBJXALL" localSheetId="5">#REF!</definedName>
    <definedName name="NCHRSEBJXALL" localSheetId="4">#REF!</definedName>
    <definedName name="NCHRSEBJXALL">#REF!</definedName>
    <definedName name="NCHRYSEB_JXALL" localSheetId="0">#REF!</definedName>
    <definedName name="NCHRYSEB_JXALL" localSheetId="5">#REF!</definedName>
    <definedName name="NCHRYSEB_JXALL" localSheetId="4">#REF!</definedName>
    <definedName name="NCHRYSEB_JXALL">#REF!</definedName>
    <definedName name="NCHRYSEBLEBJXALL" localSheetId="0">#REF!</definedName>
    <definedName name="NCHRYSEBLEBJXALL" localSheetId="5">#REF!</definedName>
    <definedName name="NCHRYSEBLEBJXALL" localSheetId="4">#REF!</definedName>
    <definedName name="NCHRYSEBLEBJXALL">#REF!</definedName>
    <definedName name="NCHRYSLEBA_CIRRALL" localSheetId="0">#REF!</definedName>
    <definedName name="NCHRYSLEBA_CIRRALL" localSheetId="5">#REF!</definedName>
    <definedName name="NCHRYSLEBA_CIRRALL" localSheetId="4">#REF!</definedName>
    <definedName name="NCHRYSLEBA_CIRRALL">#REF!</definedName>
    <definedName name="NCHRYSLERGRANDTOTAL" localSheetId="0">#REF!</definedName>
    <definedName name="NCHRYSLERGRANDTOTAL" localSheetId="5">#REF!</definedName>
    <definedName name="NCHRYSLERGRANDTOTAL" localSheetId="4">#REF!</definedName>
    <definedName name="NCHRYSLERGRANDTOTAL">#REF!</definedName>
    <definedName name="NCHRYSLERTOTAL" localSheetId="0">#REF!</definedName>
    <definedName name="NCHRYSLERTOTAL" localSheetId="5">#REF!</definedName>
    <definedName name="NCHRYSLERTOTAL" localSheetId="4">#REF!</definedName>
    <definedName name="NCHRYSLERTOTAL">#REF!</definedName>
    <definedName name="NCHS10R">[5]ATRUCK!$C$16:$AC$16</definedName>
    <definedName name="NCHS10X">[5]ATRUCK!$C$5:$AC$5</definedName>
    <definedName name="NCHSUBURB">[5]ATRUCK!$C$196:$AC$196</definedName>
    <definedName name="NCHTAHOE">[5]ATRUCK!$C$192:$AC$192</definedName>
    <definedName name="NCHTAHOE4">[5]ATRUCK!$C$197:$AC$197</definedName>
    <definedName name="NCHTRACK">[5]ATRUCK!$C$181:$AC$181</definedName>
    <definedName name="NCHTRACK4">[5]ATRUCK!$C$187:$AC$187</definedName>
    <definedName name="NCHVENTP">[5]ATRUCK!$C$45:$AC$45</definedName>
    <definedName name="NCHVMONTEALL" localSheetId="0">#REF!</definedName>
    <definedName name="NCHVMONTEALL" localSheetId="5">#REF!</definedName>
    <definedName name="NCHVMONTEALL" localSheetId="4">#REF!</definedName>
    <definedName name="NCHVMONTEALL">#REF!</definedName>
    <definedName name="NCHVNOVAALL" localSheetId="0">#REF!</definedName>
    <definedName name="NCHVNOVAALL" localSheetId="5">#REF!</definedName>
    <definedName name="NCHVNOVAALL" localSheetId="4">#REF!</definedName>
    <definedName name="NCHVNOVAALL">#REF!</definedName>
    <definedName name="NCHVSPECTRUMALL" localSheetId="0">#REF!</definedName>
    <definedName name="NCHVSPECTRUMALL" localSheetId="5">#REF!</definedName>
    <definedName name="NCHVSPECTRUMALL" localSheetId="4">#REF!</definedName>
    <definedName name="NCHVSPECTRUMALL">#REF!</definedName>
    <definedName name="NCHVSPRINTALL" localSheetId="0">#REF!</definedName>
    <definedName name="NCHVSPRINTALL" localSheetId="5">#REF!</definedName>
    <definedName name="NCHVSPRINTALL" localSheetId="4">#REF!</definedName>
    <definedName name="NCHVSPRINTALL">#REF!</definedName>
    <definedName name="NCHVSTORMALL" localSheetId="0">#REF!</definedName>
    <definedName name="NCHVSTORMALL" localSheetId="5">#REF!</definedName>
    <definedName name="NCHVSTORMALL" localSheetId="4">#REF!</definedName>
    <definedName name="NCHVSTORMALL">#REF!</definedName>
    <definedName name="NCHYVOY">[5]ATRUCK!$C$47:$AC$47</definedName>
    <definedName name="NCRYTC">[5]ATRUCK!$C$46:$AC$46</definedName>
    <definedName name="NCVBLAZ">[5]ATRUCK!$C$117:$AC$117</definedName>
    <definedName name="NDAEKORAN">[5]ATRUCK!$C$165:$AC$165</definedName>
    <definedName name="NDAELANOSALL" localSheetId="0">#REF!</definedName>
    <definedName name="NDAELANOSALL" localSheetId="5">#REF!</definedName>
    <definedName name="NDAELANOSALL" localSheetId="4">#REF!</definedName>
    <definedName name="NDAELANOSALL">#REF!</definedName>
    <definedName name="NDAEWOOTOTAL" localSheetId="0">#REF!</definedName>
    <definedName name="NDAEWOOTOTAL" localSheetId="5">#REF!</definedName>
    <definedName name="NDAEWOOTOTAL" localSheetId="4">#REF!</definedName>
    <definedName name="NDAEWOOTOTAL">#REF!</definedName>
    <definedName name="NDAICHARADEALL" localSheetId="0">#REF!</definedName>
    <definedName name="NDAICHARADEALL" localSheetId="5">#REF!</definedName>
    <definedName name="NDAICHARADEALL" localSheetId="4">#REF!</definedName>
    <definedName name="NDAICHARADEALL">#REF!</definedName>
    <definedName name="NDAIHATSUTOTAL" localSheetId="0">#REF!</definedName>
    <definedName name="NDAIHATSUTOTAL" localSheetId="5">#REF!</definedName>
    <definedName name="NDAIHATSUTOTAL" localSheetId="4">#REF!</definedName>
    <definedName name="NDAIHATSUTOTAL">#REF!</definedName>
    <definedName name="NDAIROCKY">[5]ATRUCK!$C$182:$AC$182</definedName>
    <definedName name="NDG50R">[5]ATRUCK!$C$19:$AC$19</definedName>
    <definedName name="NDG50X">[5]ATRUCK!$C$7:$AC$7</definedName>
    <definedName name="NDGCARAVANC">[5]ATRUCK!$C$38:$AC$38</definedName>
    <definedName name="NDGCARAVANP">[5]ATRUCK!$C$49:$AC$49</definedName>
    <definedName name="NDGDAKOTA4NU">[5]ATRUCK!$C$29:$AC$29</definedName>
    <definedName name="NDGDAKOTAR">[5]ATRUCK!$C$151:$AC$151</definedName>
    <definedName name="NDGDAKOTARNU">[5]ATRUCK!$C$17:$AC$17</definedName>
    <definedName name="NDGDAKOTAX">[5]ATRUCK!$C$82:$AC$82</definedName>
    <definedName name="NDGDAKOTAXNU">[5]ATRUCK!$C$6:$AC$6</definedName>
    <definedName name="NDGDURANGO">[5]ATRUCK!$C$125:$AC$125</definedName>
    <definedName name="NDGRAID">[5]ATRUCK!$C$135:$AC$135</definedName>
    <definedName name="NDGRAMC">[5]ATRUCK!$C$92:$AC$92</definedName>
    <definedName name="NDGRAMCHARG">[5]ATRUCK!$C$193:$AC$193</definedName>
    <definedName name="NDGRAMP">[5]ATRUCK!$C$96:$AC$96</definedName>
    <definedName name="NDGRAMR">[5]ATRUCK!$C$85:$AC$85</definedName>
    <definedName name="NDGRAMX">[5]ATRUCK!$C$78:$AC$78</definedName>
    <definedName name="NDODCOLTALL" localSheetId="0">#REF!</definedName>
    <definedName name="NDODCOLTALL" localSheetId="5">#REF!</definedName>
    <definedName name="NDODCOLTALL" localSheetId="4">#REF!</definedName>
    <definedName name="NDODCOLTALL">#REF!</definedName>
    <definedName name="NDODGETOTAL" localSheetId="0">#REF!</definedName>
    <definedName name="NDODGETOTAL" localSheetId="5">#REF!</definedName>
    <definedName name="NDODGETOTAL" localSheetId="4">#REF!</definedName>
    <definedName name="NDODGETOTAL">#REF!</definedName>
    <definedName name="NDODINTRALL" localSheetId="0">#REF!</definedName>
    <definedName name="NDODINTRALL" localSheetId="5">#REF!</definedName>
    <definedName name="NDODINTRALL" localSheetId="4">#REF!</definedName>
    <definedName name="NDODINTRALL">#REF!</definedName>
    <definedName name="NDODNEON_SHADALL" localSheetId="0">#REF!</definedName>
    <definedName name="NDODNEON_SHADALL" localSheetId="5">#REF!</definedName>
    <definedName name="NDODNEON_SHADALL" localSheetId="4">#REF!</definedName>
    <definedName name="NDODNEON_SHADALL">#REF!</definedName>
    <definedName name="NDODSPIRIT_STRATALL" localSheetId="0">#REF!</definedName>
    <definedName name="NDODSPIRIT_STRATALL" localSheetId="5">#REF!</definedName>
    <definedName name="NDODSPIRIT_STRATALL" localSheetId="4">#REF!</definedName>
    <definedName name="NDODSPIRIT_STRATALL">#REF!</definedName>
    <definedName name="NDODVIPERALL" localSheetId="0">#REF!</definedName>
    <definedName name="NDODVIPERALL" localSheetId="5">#REF!</definedName>
    <definedName name="NDODVIPERALL" localSheetId="4">#REF!</definedName>
    <definedName name="NDODVIPERALL">#REF!</definedName>
    <definedName name="NDOGNEONV" localSheetId="0">[5]ATRUCK!#REF!</definedName>
    <definedName name="NDOGNEONV" localSheetId="5">[5]ATRUCK!#REF!</definedName>
    <definedName name="NDOGNEONV" localSheetId="4">[5]ATRUCK!#REF!</definedName>
    <definedName name="NDOGNEONV">[5]ATRUCK!#REF!</definedName>
    <definedName name="NDOGSEQ" localSheetId="0">[5]ATRUCK!#REF!</definedName>
    <definedName name="NDOGSEQ" localSheetId="5">[5]ATRUCK!#REF!</definedName>
    <definedName name="NDOGSEQ" localSheetId="4">[5]ATRUCK!#REF!</definedName>
    <definedName name="NDOGSEQ">[5]ATRUCK!#REF!</definedName>
    <definedName name="NDOGSPIRIT_STRAT4" localSheetId="0">#REF!</definedName>
    <definedName name="NDOGSPIRIT_STRAT4" localSheetId="5">#REF!</definedName>
    <definedName name="NDOGSPIRIT_STRAT4" localSheetId="4">#REF!</definedName>
    <definedName name="NDOGSPIRIT_STRAT4">#REF!</definedName>
    <definedName name="NDOMESTOT" localSheetId="0">#REF!</definedName>
    <definedName name="NDOMESTOT" localSheetId="5">#REF!</definedName>
    <definedName name="NDOMESTOT" localSheetId="4">#REF!</definedName>
    <definedName name="NDOMESTOT">#REF!</definedName>
    <definedName name="NDW100P">[5]ATRUCK!$C$48:$AC$48</definedName>
    <definedName name="NDWNUBALL" localSheetId="0">#REF!</definedName>
    <definedName name="NDWNUBALL" localSheetId="5">#REF!</definedName>
    <definedName name="NDWNUBALL" localSheetId="4">#REF!</definedName>
    <definedName name="NDWNUBALL">#REF!</definedName>
    <definedName name="NEAGLETOTAL" localSheetId="0">#REF!</definedName>
    <definedName name="NEAGLETOTAL" localSheetId="5">#REF!</definedName>
    <definedName name="NEAGLETOTAL" localSheetId="4">#REF!</definedName>
    <definedName name="NEAGLETOTAL">#REF!</definedName>
    <definedName name="NEGLMEDALL" localSheetId="0">#REF!</definedName>
    <definedName name="NEGLMEDALL" localSheetId="5">#REF!</definedName>
    <definedName name="NEGLMEDALL" localSheetId="4">#REF!</definedName>
    <definedName name="NEGLMEDALL">#REF!</definedName>
    <definedName name="NEGLPREM_VISALL" localSheetId="0">#REF!</definedName>
    <definedName name="NEGLPREM_VISALL" localSheetId="5">#REF!</definedName>
    <definedName name="NEGLPREM_VISALL" localSheetId="4">#REF!</definedName>
    <definedName name="NEGLPREM_VISALL">#REF!</definedName>
    <definedName name="NEGLSUMMITALL" localSheetId="0">#REF!</definedName>
    <definedName name="NEGLSUMMITALL" localSheetId="5">#REF!</definedName>
    <definedName name="NEGLSUMMITALL" localSheetId="4">#REF!</definedName>
    <definedName name="NEGLSUMMITALL">#REF!</definedName>
    <definedName name="NFD150X">[5]ATRUCK!$C$79:$AC$79</definedName>
    <definedName name="NFDAEROC">[5]ATRUCK!$C$39:$AC$39</definedName>
    <definedName name="NFDAEROP">[5]ATRUCK!$C$51:$AC$51</definedName>
    <definedName name="NFDASPIREALL" localSheetId="0">#REF!</definedName>
    <definedName name="NFDASPIREALL" localSheetId="5">#REF!</definedName>
    <definedName name="NFDASPIREALL" localSheetId="4">#REF!</definedName>
    <definedName name="NFDASPIREALL">#REF!</definedName>
    <definedName name="NFDBRONCO">[5]ATRUCK!$C$194:$AC$194</definedName>
    <definedName name="NFDCLUB">[5]ATRUCK!$C$98:$AC$98</definedName>
    <definedName name="NFDCONTOUR4" localSheetId="0">#REF!</definedName>
    <definedName name="NFDCONTOUR4" localSheetId="5">#REF!</definedName>
    <definedName name="NFDCONTOUR4" localSheetId="4">#REF!</definedName>
    <definedName name="NFDCONTOUR4">#REF!</definedName>
    <definedName name="NFDCRWNVICALL" localSheetId="0">#REF!</definedName>
    <definedName name="NFDCRWNVICALL" localSheetId="5">#REF!</definedName>
    <definedName name="NFDCRWNVICALL" localSheetId="4">#REF!</definedName>
    <definedName name="NFDCRWNVICALL">#REF!</definedName>
    <definedName name="NFDECON">[5]ATRUCK!$C$93:$AC$93</definedName>
    <definedName name="NFDESCORTALL" localSheetId="0">#REF!</definedName>
    <definedName name="NFDESCORTALL" localSheetId="5">#REF!</definedName>
    <definedName name="NFDESCORTALL" localSheetId="4">#REF!</definedName>
    <definedName name="NFDESCORTALL">#REF!</definedName>
    <definedName name="NFDEXCUR">[5]ATRUCK!$C$198:$AC$198</definedName>
    <definedName name="NFDEXPED">[5]ATRUCK!$C$199:$AC$199</definedName>
    <definedName name="NFDEXPLOR">[5]ATRUCK!$C$119:$AC$119</definedName>
    <definedName name="NFDEXPLOR4">[5]ATRUCK!$C$126:$AC$126</definedName>
    <definedName name="NFDF150R">[5]ATRUCK!$C$86:$AC$86</definedName>
    <definedName name="NFDMUSTANGALL" localSheetId="0">#REF!</definedName>
    <definedName name="NFDMUSTANGALL" localSheetId="5">#REF!</definedName>
    <definedName name="NFDMUSTANGALL" localSheetId="4">#REF!</definedName>
    <definedName name="NFDMUSTANGALL">#REF!</definedName>
    <definedName name="NFDP225X">[5]ATRUCK!$C$73:$AC$73</definedName>
    <definedName name="NFDPHN131R" localSheetId="0">[5]ATRUCK!#REF!</definedName>
    <definedName name="NFDPHN131R" localSheetId="5">[5]ATRUCK!#REF!</definedName>
    <definedName name="NFDPHN131R" localSheetId="4">[5]ATRUCK!#REF!</definedName>
    <definedName name="NFDPHN131R">[5]ATRUCK!#REF!</definedName>
    <definedName name="NFDPHN131X" localSheetId="0">[5]ATRUCK!#REF!</definedName>
    <definedName name="NFDPHN131X" localSheetId="5">[5]ATRUCK!#REF!</definedName>
    <definedName name="NFDPHN131X" localSheetId="4">[5]ATRUCK!#REF!</definedName>
    <definedName name="NFDPHN131X">[5]ATRUCK!#REF!</definedName>
    <definedName name="NFDPN96R" localSheetId="0">[5]ATRUCK!#REF!</definedName>
    <definedName name="NFDPN96R" localSheetId="5">[5]ATRUCK!#REF!</definedName>
    <definedName name="NFDPN96R" localSheetId="4">[5]ATRUCK!#REF!</definedName>
    <definedName name="NFDPN96R">[5]ATRUCK!#REF!</definedName>
    <definedName name="NFDPN96X" localSheetId="0">[5]ATRUCK!#REF!</definedName>
    <definedName name="NFDPN96X" localSheetId="5">[5]ATRUCK!#REF!</definedName>
    <definedName name="NFDPN96X" localSheetId="4">[5]ATRUCK!#REF!</definedName>
    <definedName name="NFDPN96X">[5]ATRUCK!#REF!</definedName>
    <definedName name="NFDRANGER4">[5]ATRUCK!$C$30:$AC$30</definedName>
    <definedName name="NFDRANGERR">[5]ATRUCK!$C$20:$AC$20</definedName>
    <definedName name="NFDRANGERX">[5]ATRUCK!$C$8:$AC$8</definedName>
    <definedName name="NFDTAURUSALL" localSheetId="0">#REF!</definedName>
    <definedName name="NFDTAURUSALL" localSheetId="5">#REF!</definedName>
    <definedName name="NFDTAURUSALL" localSheetId="4">#REF!</definedName>
    <definedName name="NFDTAURUSALL">#REF!</definedName>
    <definedName name="NFDTBIRDOLDALL" localSheetId="0">#REF!</definedName>
    <definedName name="NFDTBIRDOLDALL" localSheetId="5">#REF!</definedName>
    <definedName name="NFDTBIRDOLDALL" localSheetId="4">#REF!</definedName>
    <definedName name="NFDTBIRDOLDALL">#REF!</definedName>
    <definedName name="NFDTEMPOALL" localSheetId="0">#REF!</definedName>
    <definedName name="NFDTEMPOALL" localSheetId="5">#REF!</definedName>
    <definedName name="NFDTEMPOALL" localSheetId="4">#REF!</definedName>
    <definedName name="NFDTEMPOALL">#REF!</definedName>
    <definedName name="NFDU204">[5]ATRUCK!$C$138:$AC$138</definedName>
    <definedName name="NFDU207">[5]ATRUCK!$C$118:$AC$118</definedName>
    <definedName name="NFDU2214">[5]ATRUCK!$C$172:$AC$172</definedName>
    <definedName name="NFDWINDC">[5]ATRUCK!$C$40:$AC$40</definedName>
    <definedName name="NFDWINDP">[5]ATRUCK!$C$52:$AC$52</definedName>
    <definedName name="NFORDGRANDTOTAL" localSheetId="0">#REF!</definedName>
    <definedName name="NFORDGRANDTOTAL" localSheetId="5">#REF!</definedName>
    <definedName name="NFORDGRANDTOTAL" localSheetId="4">#REF!</definedName>
    <definedName name="NFORDGRANDTOTAL">#REF!</definedName>
    <definedName name="NFORDTOTAL" localSheetId="0">#REF!</definedName>
    <definedName name="NFORDTOTAL" localSheetId="5">#REF!</definedName>
    <definedName name="NFORDTOTAL" localSheetId="4">#REF!</definedName>
    <definedName name="NFORDTOTAL">#REF!</definedName>
    <definedName name="NGMAVTOTAL" localSheetId="0">#REF!</definedName>
    <definedName name="NGMAVTOTAL" localSheetId="5">#REF!</definedName>
    <definedName name="NGMAVTOTAL" localSheetId="4">#REF!</definedName>
    <definedName name="NGMAVTOTAL">#REF!</definedName>
    <definedName name="NGMCCAB">[5]ATRUCK!$C$88:$AC$88</definedName>
    <definedName name="NGMCENVW4">[5]ATRUCK!$C$31:$AC$31</definedName>
    <definedName name="NGMCJIM">[5]ATRUCK!$C$120:$AC$120</definedName>
    <definedName name="NGMCJIM4">[5]ATRUCK!$C$128:$AC$128</definedName>
    <definedName name="NGMCSAFARIC">[5]ATRUCK!$C$41:$AC$41</definedName>
    <definedName name="NGMCSAFARIP">[5]ATRUCK!$C$53:$AC$53</definedName>
    <definedName name="NGMCSAVAC">[5]ATRUCK!$C$94:$AC$94</definedName>
    <definedName name="NGMCSAVAP">[5]ATRUCK!$C$99:$AC$99</definedName>
    <definedName name="NGMCSIERR">[5]ATRUCK!$C$87:$AC$87</definedName>
    <definedName name="NGMCSIERX">[5]ATRUCK!$C$80:$AC$80</definedName>
    <definedName name="NGMCSONR">[5]ATRUCK!$C$21:$AC$21</definedName>
    <definedName name="NGMCSONX">[5]ATRUCK!$C$9:$AC$9</definedName>
    <definedName name="NGMCSUBUR">[5]ATRUCK!$C$200:$AC$200</definedName>
    <definedName name="NGMCTOTAL" localSheetId="0">#REF!</definedName>
    <definedName name="NGMCTOTAL" localSheetId="5">#REF!</definedName>
    <definedName name="NGMCTOTAL" localSheetId="4">#REF!</definedName>
    <definedName name="NGMCTOTAL">#REF!</definedName>
    <definedName name="NGMCYUK">[5]ATRUCK!$C$195:$AC$195</definedName>
    <definedName name="NGMCYUK4">[5]ATRUCK!$C$201:$AC$201</definedName>
    <definedName name="NGMTOTAL" localSheetId="0">#REF!</definedName>
    <definedName name="NGMTOTAL" localSheetId="5">#REF!</definedName>
    <definedName name="NGMTOTAL" localSheetId="4">#REF!</definedName>
    <definedName name="NGMTOTAL">#REF!</definedName>
    <definedName name="NGRANDTOT__FROM_ACARS" localSheetId="0">#REF!</definedName>
    <definedName name="NGRANDTOT__FROM_ACARS" localSheetId="5">#REF!</definedName>
    <definedName name="NGRANDTOT__FROM_ACARS" localSheetId="4">#REF!</definedName>
    <definedName name="NGRANDTOT__FROM_ACARS">#REF!</definedName>
    <definedName name="NGTOTAL">[5]ATRUCK!$C$204:$AC$204</definedName>
    <definedName name="NHONACCORDALL" localSheetId="0">#REF!</definedName>
    <definedName name="NHONACCORDALL" localSheetId="5">#REF!</definedName>
    <definedName name="NHONACCORDALL" localSheetId="4">#REF!</definedName>
    <definedName name="NHONACCORDALL">#REF!</definedName>
    <definedName name="NHONCIVICALL" localSheetId="0">#REF!</definedName>
    <definedName name="NHONCIVICALL" localSheetId="5">#REF!</definedName>
    <definedName name="NHONCIVICALL" localSheetId="4">#REF!</definedName>
    <definedName name="NHONCIVICALL">#REF!</definedName>
    <definedName name="NHONCIVICDELSOLALL" localSheetId="0">#REF!</definedName>
    <definedName name="NHONCIVICDELSOLALL" localSheetId="5">#REF!</definedName>
    <definedName name="NHONCIVICDELSOLALL" localSheetId="4">#REF!</definedName>
    <definedName name="NHONCIVICDELSOLALL">#REF!</definedName>
    <definedName name="NHONCRV">[5]ATRUCK!$C$173:$AC$173</definedName>
    <definedName name="NHONDATOTAL" localSheetId="0">#REF!</definedName>
    <definedName name="NHONDATOTAL" localSheetId="5">#REF!</definedName>
    <definedName name="NHONDATOTAL" localSheetId="4">#REF!</definedName>
    <definedName name="NHONDATOTAL">#REF!</definedName>
    <definedName name="NHONMAV">[5]ATRUCK!$C$139:$AC$139</definedName>
    <definedName name="NHONODYP">[5]ATRUCK!$C$54:$AC$54</definedName>
    <definedName name="NHONPASS">[5]ATRUCK!$C$140:$AC$140</definedName>
    <definedName name="NHONTMP">[5]ATRUCK!$C$55:$AC$55</definedName>
    <definedName name="NHYNACCENTALL" localSheetId="0">#REF!</definedName>
    <definedName name="NHYNACCENTALL" localSheetId="5">#REF!</definedName>
    <definedName name="NHYNACCENTALL" localSheetId="4">#REF!</definedName>
    <definedName name="NHYNACCENTALL">#REF!</definedName>
    <definedName name="NHYNELANTRAALL" localSheetId="0">#REF!</definedName>
    <definedName name="NHYNELANTRAALL" localSheetId="5">#REF!</definedName>
    <definedName name="NHYNELANTRAALL" localSheetId="4">#REF!</definedName>
    <definedName name="NHYNELANTRAALL">#REF!</definedName>
    <definedName name="NHYNMINI">[5]ATRUCK!$C$174:$AC$174</definedName>
    <definedName name="NHYUNDAITOTAL" localSheetId="0">#REF!</definedName>
    <definedName name="NHYUNDAITOTAL" localSheetId="5">#REF!</definedName>
    <definedName name="NHYUNDAITOTAL" localSheetId="4">#REF!</definedName>
    <definedName name="NHYUNDAITOTAL">#REF!</definedName>
    <definedName name="NINFG20_24ALL" localSheetId="0">#REF!</definedName>
    <definedName name="NINFG20_24ALL" localSheetId="5">#REF!</definedName>
    <definedName name="NINFG20_24ALL" localSheetId="4">#REF!</definedName>
    <definedName name="NINFG20_24ALL">#REF!</definedName>
    <definedName name="NINFINITITOTAL" localSheetId="0">#REF!</definedName>
    <definedName name="NINFINITITOTAL" localSheetId="5">#REF!</definedName>
    <definedName name="NINFINITITOTAL" localSheetId="4">#REF!</definedName>
    <definedName name="NINFINITITOTAL">#REF!</definedName>
    <definedName name="NINFM30ALL" localSheetId="0">#REF!</definedName>
    <definedName name="NINFM30ALL" localSheetId="5">#REF!</definedName>
    <definedName name="NINFM30ALL" localSheetId="4">#REF!</definedName>
    <definedName name="NINFM30ALL">#REF!</definedName>
    <definedName name="NINFQX4">[5]ATRUCK!$C$105:$AC$105</definedName>
    <definedName name="NIS240SXALL" localSheetId="0">#REF!</definedName>
    <definedName name="NIS240SXALL" localSheetId="5">#REF!</definedName>
    <definedName name="NIS240SXALL" localSheetId="4">#REF!</definedName>
    <definedName name="NIS240SXALL">#REF!</definedName>
    <definedName name="NIS300ZXALL" localSheetId="0">#REF!</definedName>
    <definedName name="NIS300ZXALL" localSheetId="5">#REF!</definedName>
    <definedName name="NIS300ZXALL" localSheetId="4">#REF!</definedName>
    <definedName name="NIS300ZXALL">#REF!</definedName>
    <definedName name="NISALTEV" localSheetId="0">[4]ACARS!#REF!</definedName>
    <definedName name="NISALTEV" localSheetId="5">[4]ACARS!#REF!</definedName>
    <definedName name="NISALTEV" localSheetId="4">[4]ACARS!#REF!</definedName>
    <definedName name="NISALTEV">[4]ACARS!#REF!</definedName>
    <definedName name="NISALTIMAALL" localSheetId="0">#REF!</definedName>
    <definedName name="NISALTIMAALL" localSheetId="5">#REF!</definedName>
    <definedName name="NISALTIMAALL" localSheetId="4">#REF!</definedName>
    <definedName name="NISALTIMAALL">#REF!</definedName>
    <definedName name="NISFRONT4">[5]ATRUCK!$F$32:$V$32</definedName>
    <definedName name="NISFRONTALL" localSheetId="0">#REF!</definedName>
    <definedName name="NISFRONTALL" localSheetId="5">#REF!</definedName>
    <definedName name="NISFRONTALL" localSheetId="4">#REF!</definedName>
    <definedName name="NISFRONTALL">#REF!</definedName>
    <definedName name="NISIMPULSEALL" localSheetId="0">#REF!</definedName>
    <definedName name="NISIMPULSEALL" localSheetId="5">#REF!</definedName>
    <definedName name="NISIMPULSEALL" localSheetId="4">#REF!</definedName>
    <definedName name="NISIMPULSEALL">#REF!</definedName>
    <definedName name="NISLSUT">[5]ATRUCK!$F$75:$V$75</definedName>
    <definedName name="NISLTR">[5]ATRUCK!$F$89:$V$89</definedName>
    <definedName name="NISMAXALL" localSheetId="0">#REF!</definedName>
    <definedName name="NISMAXALL" localSheetId="5">#REF!</definedName>
    <definedName name="NISMAXALL" localSheetId="4">#REF!</definedName>
    <definedName name="NISMAXALL">#REF!</definedName>
    <definedName name="NISOLDMAXALL" localSheetId="0">#REF!</definedName>
    <definedName name="NISOLDMAXALL" localSheetId="5">#REF!</definedName>
    <definedName name="NISOLDMAXALL" localSheetId="4">#REF!</definedName>
    <definedName name="NISOLDMAXALL">#REF!</definedName>
    <definedName name="NISPATH4">[5]ATRUCK!$F$131:$V$131</definedName>
    <definedName name="NISPATHALL" localSheetId="0">#REF!</definedName>
    <definedName name="NISPATHALL" localSheetId="5">#REF!</definedName>
    <definedName name="NISPATHALL" localSheetId="4">#REF!</definedName>
    <definedName name="NISPATHALL">#REF!</definedName>
    <definedName name="NISPUR">[5]ATRUCK!$F$26:$V$26</definedName>
    <definedName name="NISPUX">[5]ATRUCK!$F$14:$V$14</definedName>
    <definedName name="NISQUESTP">[5]ATRUCK!$F$63:$V$63</definedName>
    <definedName name="NISSANTOTAL" localSheetId="0">#REF!</definedName>
    <definedName name="NISSANTOTAL" localSheetId="5">#REF!</definedName>
    <definedName name="NISSANTOTAL" localSheetId="4">#REF!</definedName>
    <definedName name="NISSANTOTAL">#REF!</definedName>
    <definedName name="NISSENTRAALL" localSheetId="0">#REF!</definedName>
    <definedName name="NISSENTRAALL" localSheetId="5">#REF!</definedName>
    <definedName name="NISSENTRAALL" localSheetId="4">#REF!</definedName>
    <definedName name="NISSENTRAALL">#REF!</definedName>
    <definedName name="NISSUT">[5]ATRUCK!$F$33:$V$33</definedName>
    <definedName name="NISUZUTOTAL" localSheetId="0">#REF!</definedName>
    <definedName name="NISUZUTOTAL" localSheetId="5">#REF!</definedName>
    <definedName name="NISUZUTOTAL" localSheetId="4">#REF!</definedName>
    <definedName name="NISUZUTOTAL">#REF!</definedName>
    <definedName name="NISVANP">[5]ATRUCK!$F$62:$V$62</definedName>
    <definedName name="NISWQW4">[5]ATRUCK!$F$146:$V$146</definedName>
    <definedName name="NIZAMIGO">[5]ATRUCK!$C$169:$AC$169</definedName>
    <definedName name="NIZHOMBR">[5]ATRUCK!$C$22:$AC$22</definedName>
    <definedName name="NIZHOMBREX">[5]ATRUCK!$C$10:$AC$10</definedName>
    <definedName name="NIZIMARKALL" localSheetId="0">#REF!</definedName>
    <definedName name="NIZIMARKALL" localSheetId="5">#REF!</definedName>
    <definedName name="NIZIMARKALL" localSheetId="4">#REF!</definedName>
    <definedName name="NIZIMARKALL">#REF!</definedName>
    <definedName name="NIZOASISP">[5]ATRUCK!$C$56:$AC$56</definedName>
    <definedName name="NIZPUR">[5]ATRUCK!$C$23:$AC$23</definedName>
    <definedName name="NIZPUX">[5]ATRUCK!$C$11:$AC$11</definedName>
    <definedName name="NIZRODEO">[5]ATRUCK!$C$141:$AC$141</definedName>
    <definedName name="NIZTROOP">[5]ATRUCK!$C$154:$AC$154</definedName>
    <definedName name="NIZTROOP4">[5]ATRUCK!$C$158:$AC$158</definedName>
    <definedName name="NIZVCROSS">[5]ATRUCK!$C$155:$AC$155</definedName>
    <definedName name="NJAGUARTOTAL" localSheetId="0">#REF!</definedName>
    <definedName name="NJAGUARTOTAL" localSheetId="5">#REF!</definedName>
    <definedName name="NJAGUARTOTAL" localSheetId="4">#REF!</definedName>
    <definedName name="NJAGUARTOTAL">#REF!</definedName>
    <definedName name="NJAGX400ALL" localSheetId="0">#REF!</definedName>
    <definedName name="NJAGX400ALL" localSheetId="5">#REF!</definedName>
    <definedName name="NJAGX400ALL" localSheetId="4">#REF!</definedName>
    <definedName name="NJAGX400ALL">#REF!</definedName>
    <definedName name="NJAGXJALL" localSheetId="0">#REF!</definedName>
    <definedName name="NJAGXJALL" localSheetId="5">#REF!</definedName>
    <definedName name="NJAGXJALL" localSheetId="4">#REF!</definedName>
    <definedName name="NJAGXJALL">#REF!</definedName>
    <definedName name="NJAGXK8ALL" localSheetId="0">#REF!</definedName>
    <definedName name="NJAGXK8ALL" localSheetId="5">#REF!</definedName>
    <definedName name="NJAGXK8ALL" localSheetId="4">#REF!</definedName>
    <definedName name="NJAGXK8ALL">#REF!</definedName>
    <definedName name="NJEEPTOTAL" localSheetId="0">#REF!</definedName>
    <definedName name="NJEEPTOTAL" localSheetId="5">#REF!</definedName>
    <definedName name="NJEEPTOTAL" localSheetId="4">#REF!</definedName>
    <definedName name="NJEEPTOTAL">#REF!</definedName>
    <definedName name="NJPCHER">[5]ATRUCK!$C$137:$AC$137</definedName>
    <definedName name="NJPCHER4">[5]ATRUCK!$C$142:$AC$142</definedName>
    <definedName name="NJPCOMAN">[5]ATRUCK!$C$152:$AC$152</definedName>
    <definedName name="NJPGCHER">[5]ATRUCK!$C$129:$AC$129</definedName>
    <definedName name="NJPGWAG">[5]ATRUCK!$C$106:$AC$106</definedName>
    <definedName name="NJPWAG">[5]ATRUCK!$C$136:$AC$136</definedName>
    <definedName name="NJPWRANG">[5]ATRUCK!$C$166:$AC$166</definedName>
    <definedName name="NKIAAVELLAALL" localSheetId="0">#REF!</definedName>
    <definedName name="NKIAAVELLAALL" localSheetId="5">#REF!</definedName>
    <definedName name="NKIAAVELLAALL" localSheetId="4">#REF!</definedName>
    <definedName name="NKIAAVELLAALL">#REF!</definedName>
    <definedName name="NKIASEDOP">[5]ATRUCK!$C$57:$AC$57</definedName>
    <definedName name="NKIASPORT">[5]ATRUCK!$C$183:$AC$183</definedName>
    <definedName name="NKIASPORT4">[5]ATRUCK!$C$188:$AC$188</definedName>
    <definedName name="NKIATOTAL" localSheetId="0">#REF!</definedName>
    <definedName name="NKIATOTAL" localSheetId="5">#REF!</definedName>
    <definedName name="NKIATOTAL" localSheetId="4">#REF!</definedName>
    <definedName name="NKIATOTAL">#REF!</definedName>
    <definedName name="NL2CP" localSheetId="0">[4]ACARS!#REF!</definedName>
    <definedName name="NL2CP" localSheetId="5">[4]ACARS!#REF!</definedName>
    <definedName name="NL2CP" localSheetId="4">[4]ACARS!#REF!</definedName>
    <definedName name="NL2CP">[4]ACARS!#REF!</definedName>
    <definedName name="NL2SD" localSheetId="0">[4]ACARS!#REF!</definedName>
    <definedName name="NL2SD" localSheetId="5">[4]ACARS!#REF!</definedName>
    <definedName name="NL2SD" localSheetId="4">[4]ACARS!#REF!</definedName>
    <definedName name="NL2SD">[4]ACARS!#REF!</definedName>
    <definedName name="NL2SU" localSheetId="0">[5]ATRUCK!#REF!</definedName>
    <definedName name="NL2SU" localSheetId="5">[5]ATRUCK!#REF!</definedName>
    <definedName name="NL2SU" localSheetId="4">[5]ATRUCK!#REF!</definedName>
    <definedName name="NL2SU">[5]ATRUCK!#REF!</definedName>
    <definedName name="NL3CP" localSheetId="0">[4]ACARS!#REF!</definedName>
    <definedName name="NL3CP" localSheetId="5">[4]ACARS!#REF!</definedName>
    <definedName name="NL3CP" localSheetId="4">[4]ACARS!#REF!</definedName>
    <definedName name="NL3CP">[4]ACARS!#REF!</definedName>
    <definedName name="NL3HB" localSheetId="0">[4]ACARS!#REF!</definedName>
    <definedName name="NL3HB" localSheetId="5">[4]ACARS!#REF!</definedName>
    <definedName name="NL3HB" localSheetId="4">[4]ACARS!#REF!</definedName>
    <definedName name="NL3HB">[4]ACARS!#REF!</definedName>
    <definedName name="NL4SU" localSheetId="0">[5]ATRUCK!#REF!</definedName>
    <definedName name="NL4SU" localSheetId="5">[5]ATRUCK!#REF!</definedName>
    <definedName name="NL4SU" localSheetId="4">[5]ATRUCK!#REF!</definedName>
    <definedName name="NL4SU">[5]ATRUCK!#REF!</definedName>
    <definedName name="NLANDROVERTOTAL" localSheetId="0">#REF!</definedName>
    <definedName name="NLANDROVERTOTAL" localSheetId="5">#REF!</definedName>
    <definedName name="NLANDROVERTOTAL" localSheetId="4">#REF!</definedName>
    <definedName name="NLANDROVERTOTAL">#REF!</definedName>
    <definedName name="NLCV" localSheetId="0">[4]ACARS!#REF!</definedName>
    <definedName name="NLCV" localSheetId="5">[4]ACARS!#REF!</definedName>
    <definedName name="NLCV" localSheetId="4">[4]ACARS!#REF!</definedName>
    <definedName name="NLCV">[4]ACARS!#REF!</definedName>
    <definedName name="NLEXGS300ALL" localSheetId="0">#REF!</definedName>
    <definedName name="NLEXGS300ALL" localSheetId="5">#REF!</definedName>
    <definedName name="NLEXGS300ALL" localSheetId="4">#REF!</definedName>
    <definedName name="NLEXGS300ALL">#REF!</definedName>
    <definedName name="NLEXIS220ALL" localSheetId="0">#REF!</definedName>
    <definedName name="NLEXIS220ALL" localSheetId="5">#REF!</definedName>
    <definedName name="NLEXIS220ALL" localSheetId="4">#REF!</definedName>
    <definedName name="NLEXIS220ALL">#REF!</definedName>
    <definedName name="NLEXLX450">[5]ATRUCK!$C$109:$AC$109</definedName>
    <definedName name="NLEXRX300">[5]ATRUCK!$C$110:$AC$110</definedName>
    <definedName name="NLEXUSTOTAL" localSheetId="0">#REF!</definedName>
    <definedName name="NLEXUSTOTAL" localSheetId="5">#REF!</definedName>
    <definedName name="NLEXUSTOTAL" localSheetId="4">#REF!</definedName>
    <definedName name="NLEXUSTOTAL">#REF!</definedName>
    <definedName name="NLINCBLAK">[5]ATRUCK!$C$74:$AC$74</definedName>
    <definedName name="NLINCNAV">[5]ATRUCK!$C$111:$AC$111</definedName>
    <definedName name="NLINCOLNTOTAL" localSheetId="0">#REF!</definedName>
    <definedName name="NLINCOLNTOTAL" localSheetId="5">#REF!</definedName>
    <definedName name="NLINCOLNTOTAL" localSheetId="4">#REF!</definedName>
    <definedName name="NLINCOLNTOTAL">#REF!</definedName>
    <definedName name="NLINCU204">[5]ATRUCK!$C$160:$AC$160</definedName>
    <definedName name="NLINCU231">[5]ATRUCK!$C$112:$AC$112</definedName>
    <definedName name="NLSUA">[5]ATRUCK!$F$373:$V$373</definedName>
    <definedName name="NLSUDO">[5]ATRUCK!$F$371:$V$371</definedName>
    <definedName name="NLSUE">[5]ATRUCK!$F$372:$V$372</definedName>
    <definedName name="NLSUTOTAL" localSheetId="0">[5]ATRUCK!#REF!</definedName>
    <definedName name="NLSUTOTAL" localSheetId="5">[5]ATRUCK!#REF!</definedName>
    <definedName name="NLSUTOTAL" localSheetId="4">[5]ATRUCK!#REF!</definedName>
    <definedName name="NLSUTOTAL">[5]ATRUCK!#REF!</definedName>
    <definedName name="NLW" localSheetId="0">[4]ACARS!#REF!</definedName>
    <definedName name="NLW" localSheetId="5">[4]ACARS!#REF!</definedName>
    <definedName name="NLW" localSheetId="4">[4]ACARS!#REF!</definedName>
    <definedName name="NLW">[4]ACARS!#REF!</definedName>
    <definedName name="NMAZ626ALL" localSheetId="0">#REF!</definedName>
    <definedName name="NMAZ626ALL" localSheetId="5">#REF!</definedName>
    <definedName name="NMAZ626ALL" localSheetId="4">#REF!</definedName>
    <definedName name="NMAZ626ALL">#REF!</definedName>
    <definedName name="NMAZDATOTAL" localSheetId="0">#REF!</definedName>
    <definedName name="NMAZDATOTAL" localSheetId="5">#REF!</definedName>
    <definedName name="NMAZDATOTAL" localSheetId="4">#REF!</definedName>
    <definedName name="NMAZDATOTAL">#REF!</definedName>
    <definedName name="NMAZPROTEGEALL" localSheetId="0">#REF!</definedName>
    <definedName name="NMAZPROTEGEALL" localSheetId="5">#REF!</definedName>
    <definedName name="NMAZPROTEGEALL" localSheetId="4">#REF!</definedName>
    <definedName name="NMAZPROTEGEALL">#REF!</definedName>
    <definedName name="NMAZRX7ALL" localSheetId="0">#REF!</definedName>
    <definedName name="NMAZRX7ALL" localSheetId="5">#REF!</definedName>
    <definedName name="NMAZRX7ALL" localSheetId="4">#REF!</definedName>
    <definedName name="NMAZRX7ALL">#REF!</definedName>
    <definedName name="NMBANECAR" localSheetId="0">[4]ACARS!#REF!</definedName>
    <definedName name="NMBANECAR" localSheetId="5">[4]ACARS!#REF!</definedName>
    <definedName name="NMBANECAR" localSheetId="4">[4]ACARS!#REF!</definedName>
    <definedName name="NMBANECAR">[4]ACARS!#REF!</definedName>
    <definedName name="NMBCCLASSALL" localSheetId="0">#REF!</definedName>
    <definedName name="NMBCCLASSALL" localSheetId="5">#REF!</definedName>
    <definedName name="NMBCCLASSALL" localSheetId="4">#REF!</definedName>
    <definedName name="NMBCCLASSALL">#REF!</definedName>
    <definedName name="NMBCLKALL" localSheetId="0">#REF!</definedName>
    <definedName name="NMBCLKALL" localSheetId="5">#REF!</definedName>
    <definedName name="NMBCLKALL" localSheetId="4">#REF!</definedName>
    <definedName name="NMBCLKALL">#REF!</definedName>
    <definedName name="NMBECLASSALL" localSheetId="0">#REF!</definedName>
    <definedName name="NMBECLASSALL" localSheetId="5">#REF!</definedName>
    <definedName name="NMBECLASSALL" localSheetId="4">#REF!</definedName>
    <definedName name="NMBECLASSALL">#REF!</definedName>
    <definedName name="NMBMCLASS">[5]ATRUCK!$C$113:$AC$113</definedName>
    <definedName name="NMBSCLASSALL" localSheetId="0">#REF!</definedName>
    <definedName name="NMBSCLASSALL" localSheetId="5">#REF!</definedName>
    <definedName name="NMBSCLASSALL" localSheetId="4">#REF!</definedName>
    <definedName name="NMBSCLASSALL">#REF!</definedName>
    <definedName name="NMBYCLASS" localSheetId="0">[5]ATRUCK!#REF!</definedName>
    <definedName name="NMBYCLASS" localSheetId="5">[5]ATRUCK!#REF!</definedName>
    <definedName name="NMBYCLASS" localSheetId="4">[5]ATRUCK!#REF!</definedName>
    <definedName name="NMBYCLASS">[5]ATRUCK!#REF!</definedName>
    <definedName name="NMERCC212">[5]ATRUCK!$C$176:$AC$176</definedName>
    <definedName name="NMERCD219">[5]ATRUCK!$C$130:$AC$130</definedName>
    <definedName name="NMERCEDESTOTAL" localSheetId="0">#REF!</definedName>
    <definedName name="NMERCEDESTOTAL" localSheetId="5">#REF!</definedName>
    <definedName name="NMERCEDESTOTAL" localSheetId="4">#REF!</definedName>
    <definedName name="NMERCEDESTOTAL">#REF!</definedName>
    <definedName name="NMERCMOUNT">[5]ATRUCK!$C$161:$AC$161</definedName>
    <definedName name="NMERCMYSTIQUE4ALL" localSheetId="0">#REF!</definedName>
    <definedName name="NMERCMYSTIQUE4ALL" localSheetId="5">#REF!</definedName>
    <definedName name="NMERCMYSTIQUE4ALL" localSheetId="4">#REF!</definedName>
    <definedName name="NMERCMYSTIQUE4ALL">#REF!</definedName>
    <definedName name="NMERCOUGARALL" localSheetId="0">#REF!</definedName>
    <definedName name="NMERCOUGARALL" localSheetId="5">#REF!</definedName>
    <definedName name="NMERCOUGARALL" localSheetId="4">#REF!</definedName>
    <definedName name="NMERCOUGARALL">#REF!</definedName>
    <definedName name="NMERCTOPAZALL" localSheetId="0">#REF!</definedName>
    <definedName name="NMERCTOPAZALL" localSheetId="5">#REF!</definedName>
    <definedName name="NMERCTOPAZALL" localSheetId="4">#REF!</definedName>
    <definedName name="NMERCTOPAZALL">#REF!</definedName>
    <definedName name="NMERCURYTOTAL" localSheetId="0">#REF!</definedName>
    <definedName name="NMERCURYTOTAL" localSheetId="5">#REF!</definedName>
    <definedName name="NMERCURYTOTAL" localSheetId="4">#REF!</definedName>
    <definedName name="NMERCURYTOTAL">#REF!</definedName>
    <definedName name="NMERCVILLP">[5]ATRUCK!$C$59:$AC$59</definedName>
    <definedName name="NMERKURTOTAL" localSheetId="0">#REF!</definedName>
    <definedName name="NMERKURTOTAL" localSheetId="5">#REF!</definedName>
    <definedName name="NMERKURTOTAL" localSheetId="4">#REF!</definedName>
    <definedName name="NMERKURTOTAL">#REF!</definedName>
    <definedName name="NMERMARQALL" localSheetId="0">#REF!</definedName>
    <definedName name="NMERMARQALL" localSheetId="5">#REF!</definedName>
    <definedName name="NMERMARQALL" localSheetId="4">#REF!</definedName>
    <definedName name="NMERMARQALL">#REF!</definedName>
    <definedName name="NMERSABLEALL" localSheetId="0">#REF!</definedName>
    <definedName name="NMERSABLEALL" localSheetId="5">#REF!</definedName>
    <definedName name="NMERSABLEALL" localSheetId="4">#REF!</definedName>
    <definedName name="NMERSABLEALL">#REF!</definedName>
    <definedName name="NMERTRACERALL" localSheetId="0">#REF!</definedName>
    <definedName name="NMERTRACERALL" localSheetId="5">#REF!</definedName>
    <definedName name="NMERTRACERALL" localSheetId="4">#REF!</definedName>
    <definedName name="NMERTRACERALL">#REF!</definedName>
    <definedName name="NMIT3000ALL" localSheetId="0">#REF!</definedName>
    <definedName name="NMIT3000ALL" localSheetId="5">#REF!</definedName>
    <definedName name="NMIT3000ALL" localSheetId="4">#REF!</definedName>
    <definedName name="NMIT3000ALL">#REF!</definedName>
    <definedName name="NMITC">[5]ATRUCK!$C$42:$AC$42</definedName>
    <definedName name="NMITDIAMANTEALL" localSheetId="0">#REF!</definedName>
    <definedName name="NMITDIAMANTEALL" localSheetId="5">#REF!</definedName>
    <definedName name="NMITDIAMANTEALL" localSheetId="4">#REF!</definedName>
    <definedName name="NMITDIAMANTEALL">#REF!</definedName>
    <definedName name="NMITECLIPSEALL" localSheetId="0">#REF!</definedName>
    <definedName name="NMITECLIPSEALL" localSheetId="5">#REF!</definedName>
    <definedName name="NMITECLIPSEALL" localSheetId="4">#REF!</definedName>
    <definedName name="NMITECLIPSEALL">#REF!</definedName>
    <definedName name="NMITEXPOALL" localSheetId="0">#REF!</definedName>
    <definedName name="NMITEXPOALL" localSheetId="5">#REF!</definedName>
    <definedName name="NMITEXPOALL" localSheetId="4">#REF!</definedName>
    <definedName name="NMITEXPOALL">#REF!</definedName>
    <definedName name="NMITEXPOP">[5]ATRUCK!$C$60:$AC$60</definedName>
    <definedName name="NMITMAXR">[5]ATRUCK!$C$25:$AC$25</definedName>
    <definedName name="NMITMAXX">[5]ATRUCK!$C$13:$AC$13</definedName>
    <definedName name="NMITMIRAGEALL" localSheetId="0">#REF!</definedName>
    <definedName name="NMITMIRAGEALL" localSheetId="5">#REF!</definedName>
    <definedName name="NMITMIRAGEALL" localSheetId="4">#REF!</definedName>
    <definedName name="NMITMIRAGEALL">#REF!</definedName>
    <definedName name="NMITMONT">[5]ATRUCK!$C$156:$AC$156</definedName>
    <definedName name="NMITMONT4">[5]ATRUCK!$C$162:$AC$162</definedName>
    <definedName name="NMITMONTSPT">[5]ATRUCK!$C$145:$AC$145</definedName>
    <definedName name="NMITPRECALL" localSheetId="0">#REF!</definedName>
    <definedName name="NMITPRECALL" localSheetId="5">#REF!</definedName>
    <definedName name="NMITPRECALL" localSheetId="4">#REF!</definedName>
    <definedName name="NMITPRECALL">#REF!</definedName>
    <definedName name="NMITSUBISHITOTAL" localSheetId="0">#REF!</definedName>
    <definedName name="NMITSUBISHITOTAL" localSheetId="5">#REF!</definedName>
    <definedName name="NMITSUBISHITOTAL" localSheetId="4">#REF!</definedName>
    <definedName name="NMITSUBISHITOTAL">#REF!</definedName>
    <definedName name="NMITSUV">[5]ATRUCK!$C$190:$AC$190</definedName>
    <definedName name="NMITVANP">[5]ATRUCK!$C$61:$AC$61</definedName>
    <definedName name="NMZMPV">[5]ATRUCK!$C$58:$AC$58</definedName>
    <definedName name="NMZNAVA">[5]ATRUCK!$C$121:$AC$121</definedName>
    <definedName name="NMZPATH">[5]ATRUCK!$C$122:$AC$122</definedName>
    <definedName name="NMZR">[5]ATRUCK!$C$24:$AC$24</definedName>
    <definedName name="NMZU204">[5]ATRUCK!$C$144:$AC$144</definedName>
    <definedName name="NMZX">[5]ATRUCK!$C$12:$AC$12</definedName>
    <definedName name="NNIS240SXALL" localSheetId="0">#REF!</definedName>
    <definedName name="NNIS240SXALL" localSheetId="5">#REF!</definedName>
    <definedName name="NNIS240SXALL" localSheetId="4">#REF!</definedName>
    <definedName name="NNIS240SXALL">#REF!</definedName>
    <definedName name="NNIS300ZXALL" localSheetId="0">#REF!</definedName>
    <definedName name="NNIS300ZXALL" localSheetId="5">#REF!</definedName>
    <definedName name="NNIS300ZXALL" localSheetId="4">#REF!</definedName>
    <definedName name="NNIS300ZXALL">#REF!</definedName>
    <definedName name="NNISALTEV" localSheetId="0">[4]ACARS!#REF!</definedName>
    <definedName name="NNISALTEV" localSheetId="5">[4]ACARS!#REF!</definedName>
    <definedName name="NNISALTEV" localSheetId="4">[4]ACARS!#REF!</definedName>
    <definedName name="NNISALTEV">[4]ACARS!#REF!</definedName>
    <definedName name="NNISALTIMAALL" localSheetId="0">#REF!</definedName>
    <definedName name="NNISALTIMAALL" localSheetId="5">#REF!</definedName>
    <definedName name="NNISALTIMAALL" localSheetId="4">#REF!</definedName>
    <definedName name="NNISALTIMAALL">#REF!</definedName>
    <definedName name="NNISFRONT4">[5]ATRUCK!$C$32:$AC$32</definedName>
    <definedName name="NNISLSUT">[5]ATRUCK!$C$75:$AC$75</definedName>
    <definedName name="NNISLTR">[5]ATRUCK!$C$89:$AC$89</definedName>
    <definedName name="NNISMAXALL" localSheetId="0">#REF!</definedName>
    <definedName name="NNISMAXALL" localSheetId="5">#REF!</definedName>
    <definedName name="NNISMAXALL" localSheetId="4">#REF!</definedName>
    <definedName name="NNISMAXALL">#REF!</definedName>
    <definedName name="NNISOLDMAXALL" localSheetId="0">#REF!</definedName>
    <definedName name="NNISOLDMAXALL" localSheetId="5">#REF!</definedName>
    <definedName name="NNISOLDMAXALL" localSheetId="4">#REF!</definedName>
    <definedName name="NNISOLDMAXALL">#REF!</definedName>
    <definedName name="NNISPATH4">[5]ATRUCK!$C$131:$AC$131</definedName>
    <definedName name="NNISPUR">[5]ATRUCK!$C$26:$AC$26</definedName>
    <definedName name="NNISPUX">[5]ATRUCK!$C$14:$AC$14</definedName>
    <definedName name="NNISQUESTP">[5]ATRUCK!$C$63:$AC$63</definedName>
    <definedName name="NNISSANTOTAL" localSheetId="0">#REF!</definedName>
    <definedName name="NNISSANTOTAL" localSheetId="5">#REF!</definedName>
    <definedName name="NNISSANTOTAL" localSheetId="4">#REF!</definedName>
    <definedName name="NNISSANTOTAL">#REF!</definedName>
    <definedName name="NNISSENTRAALL" localSheetId="0">#REF!</definedName>
    <definedName name="NNISSENTRAALL" localSheetId="5">#REF!</definedName>
    <definedName name="NNISSENTRAALL" localSheetId="4">#REF!</definedName>
    <definedName name="NNISSENTRAALL">#REF!</definedName>
    <definedName name="NNISSUT">[5]ATRUCK!$C$33:$AC$33</definedName>
    <definedName name="NNISVANP">[5]ATRUCK!$C$62:$AC$62</definedName>
    <definedName name="NNISWQW4">[5]ATRUCK!$C$146:$AC$146</definedName>
    <definedName name="NO.1" localSheetId="0">[22]JEEP!#REF!</definedName>
    <definedName name="NO.1" localSheetId="5">[22]JEEP!#REF!</definedName>
    <definedName name="NO.1" localSheetId="4">[22]JEEP!#REF!</definedName>
    <definedName name="NO.1">[22]JEEP!#REF!</definedName>
    <definedName name="NO.10" localSheetId="0">[22]JEEP!#REF!</definedName>
    <definedName name="NO.10" localSheetId="5">[22]JEEP!#REF!</definedName>
    <definedName name="NO.10" localSheetId="4">[22]JEEP!#REF!</definedName>
    <definedName name="NO.10">[22]JEEP!#REF!</definedName>
    <definedName name="NO.2" localSheetId="0">[22]JEEP!#REF!</definedName>
    <definedName name="NO.2" localSheetId="5">[22]JEEP!#REF!</definedName>
    <definedName name="NO.2" localSheetId="4">[22]JEEP!#REF!</definedName>
    <definedName name="NO.2">[22]JEEP!#REF!</definedName>
    <definedName name="NO.3" localSheetId="0">[22]JEEP!#REF!</definedName>
    <definedName name="NO.3" localSheetId="5">[22]JEEP!#REF!</definedName>
    <definedName name="NO.3" localSheetId="4">[22]JEEP!#REF!</definedName>
    <definedName name="NO.3">[22]JEEP!#REF!</definedName>
    <definedName name="NO.4" localSheetId="0">[22]JEEP!#REF!</definedName>
    <definedName name="NO.4" localSheetId="5">[22]JEEP!#REF!</definedName>
    <definedName name="NO.4" localSheetId="4">[22]JEEP!#REF!</definedName>
    <definedName name="NO.4">[22]JEEP!#REF!</definedName>
    <definedName name="NO.5" localSheetId="0">[22]JEEP!#REF!</definedName>
    <definedName name="NO.5" localSheetId="5">[22]JEEP!#REF!</definedName>
    <definedName name="NO.5" localSheetId="4">[22]JEEP!#REF!</definedName>
    <definedName name="NO.5">[22]JEEP!#REF!</definedName>
    <definedName name="NO.6" localSheetId="0">[22]JEEP!#REF!</definedName>
    <definedName name="NO.6" localSheetId="5">[22]JEEP!#REF!</definedName>
    <definedName name="NO.6" localSheetId="4">[22]JEEP!#REF!</definedName>
    <definedName name="NO.6">[22]JEEP!#REF!</definedName>
    <definedName name="NO.7" localSheetId="0">[22]JEEP!#REF!</definedName>
    <definedName name="NO.7" localSheetId="5">[22]JEEP!#REF!</definedName>
    <definedName name="NO.7" localSheetId="4">[22]JEEP!#REF!</definedName>
    <definedName name="NO.7">[22]JEEP!#REF!</definedName>
    <definedName name="NO.8" localSheetId="0">[22]JEEP!#REF!</definedName>
    <definedName name="NO.8" localSheetId="5">[22]JEEP!#REF!</definedName>
    <definedName name="NO.8" localSheetId="4">[22]JEEP!#REF!</definedName>
    <definedName name="NO.8">[22]JEEP!#REF!</definedName>
    <definedName name="NO.9" localSheetId="0">[22]JEEP!#REF!</definedName>
    <definedName name="NO.9" localSheetId="5">[22]JEEP!#REF!</definedName>
    <definedName name="NO.9" localSheetId="4">[22]JEEP!#REF!</definedName>
    <definedName name="NO.9">[22]JEEP!#REF!</definedName>
    <definedName name="NOLD315">[5]ATRUCK!$C$177:$AC$177</definedName>
    <definedName name="NOLD88ALL" localSheetId="0">#REF!</definedName>
    <definedName name="NOLD88ALL" localSheetId="5">#REF!</definedName>
    <definedName name="NOLD88ALL" localSheetId="4">#REF!</definedName>
    <definedName name="NOLD88ALL">#REF!</definedName>
    <definedName name="NOLD98ALL" localSheetId="0">#REF!</definedName>
    <definedName name="NOLD98ALL" localSheetId="5">#REF!</definedName>
    <definedName name="NOLD98ALL" localSheetId="4">#REF!</definedName>
    <definedName name="NOLD98ALL">#REF!</definedName>
    <definedName name="NOLDACH_ALEROALL" localSheetId="0">#REF!</definedName>
    <definedName name="NOLDACH_ALEROALL" localSheetId="5">#REF!</definedName>
    <definedName name="NOLDACH_ALEROALL" localSheetId="4">#REF!</definedName>
    <definedName name="NOLDACH_ALEROALL">#REF!</definedName>
    <definedName name="NOLDACH_CALAIS" localSheetId="0">#REF!</definedName>
    <definedName name="NOLDACH_CALAIS" localSheetId="5">#REF!</definedName>
    <definedName name="NOLDACH_CALAIS" localSheetId="4">#REF!</definedName>
    <definedName name="NOLDACH_CALAIS">#REF!</definedName>
    <definedName name="NOLDACHCP_CALAIS2" localSheetId="0">#REF!</definedName>
    <definedName name="NOLDACHCP_CALAIS2" localSheetId="5">#REF!</definedName>
    <definedName name="NOLDACHCP_CALAIS2" localSheetId="4">#REF!</definedName>
    <definedName name="NOLDACHCP_CALAIS2">#REF!</definedName>
    <definedName name="NOLDAURORA_TORALL" localSheetId="0">#REF!</definedName>
    <definedName name="NOLDAURORA_TORALL" localSheetId="5">#REF!</definedName>
    <definedName name="NOLDAURORA_TORALL" localSheetId="4">#REF!</definedName>
    <definedName name="NOLDAURORA_TORALL">#REF!</definedName>
    <definedName name="NOLDBRAV">[5]ATRUCK!$C$163:$AC$163</definedName>
    <definedName name="NOLDCIERAALL" localSheetId="0">#REF!</definedName>
    <definedName name="NOLDCIERAALL" localSheetId="5">#REF!</definedName>
    <definedName name="NOLDCIERAALL" localSheetId="4">#REF!</definedName>
    <definedName name="NOLDCIERAALL">#REF!</definedName>
    <definedName name="NOLDCUTCIERAALL" localSheetId="0">#REF!</definedName>
    <definedName name="NOLDCUTCIERAALL" localSheetId="5">#REF!</definedName>
    <definedName name="NOLDCUTCIERAALL" localSheetId="4">#REF!</definedName>
    <definedName name="NOLDCUTCIERAALL">#REF!</definedName>
    <definedName name="NOLDCUTSUPALL" localSheetId="0">#REF!</definedName>
    <definedName name="NOLDCUTSUPALL" localSheetId="5">#REF!</definedName>
    <definedName name="NOLDCUTSUPALL" localSheetId="4">#REF!</definedName>
    <definedName name="NOLDCUTSUPALL">#REF!</definedName>
    <definedName name="NOLDFIRENZAALL" localSheetId="0">#REF!</definedName>
    <definedName name="NOLDFIRENZAALL" localSheetId="5">#REF!</definedName>
    <definedName name="NOLDFIRENZAALL" localSheetId="4">#REF!</definedName>
    <definedName name="NOLDFIRENZAALL">#REF!</definedName>
    <definedName name="NOLDSILHP">[5]ATRUCK!$C$64:$AC$64</definedName>
    <definedName name="NOLDSMOBILETOTAL" localSheetId="0">#REF!</definedName>
    <definedName name="NOLDSMOBILETOTAL" localSheetId="5">#REF!</definedName>
    <definedName name="NOLDSMOBILETOTAL" localSheetId="4">#REF!</definedName>
    <definedName name="NOLDSMOBILETOTAL">#REF!</definedName>
    <definedName name="NOW" localSheetId="0">#REF!</definedName>
    <definedName name="NOW" localSheetId="5">#REF!</definedName>
    <definedName name="NOW" localSheetId="4">#REF!</definedName>
    <definedName name="NOW">#REF!</definedName>
    <definedName name="NPEUG405ALL" localSheetId="0">#REF!</definedName>
    <definedName name="NPEUG405ALL" localSheetId="5">#REF!</definedName>
    <definedName name="NPEUG405ALL" localSheetId="4">#REF!</definedName>
    <definedName name="NPEUG405ALL">#REF!</definedName>
    <definedName name="NPEUG505ALL" localSheetId="0">#REF!</definedName>
    <definedName name="NPEUG505ALL" localSheetId="5">#REF!</definedName>
    <definedName name="NPEUG505ALL" localSheetId="4">#REF!</definedName>
    <definedName name="NPEUG505ALL">#REF!</definedName>
    <definedName name="NPEUGEOTTOTAL" localSheetId="0">#REF!</definedName>
    <definedName name="NPEUGEOTTOTAL" localSheetId="5">#REF!</definedName>
    <definedName name="NPEUGEOTTOTAL" localSheetId="4">#REF!</definedName>
    <definedName name="NPEUGEOTTOTAL">#REF!</definedName>
    <definedName name="NPLYACCL_BREEZE4" localSheetId="0">#REF!</definedName>
    <definedName name="NPLYACCL_BREEZE4" localSheetId="5">#REF!</definedName>
    <definedName name="NPLYACCL_BREEZE4" localSheetId="4">#REF!</definedName>
    <definedName name="NPLYACCL_BREEZE4">#REF!</definedName>
    <definedName name="NPLYACCLAIMALL" localSheetId="0">#REF!</definedName>
    <definedName name="NPLYACCLAIMALL" localSheetId="5">#REF!</definedName>
    <definedName name="NPLYACCLAIMALL" localSheetId="4">#REF!</definedName>
    <definedName name="NPLYACCLAIMALL">#REF!</definedName>
    <definedName name="NPLYCOLTALL" localSheetId="0">#REF!</definedName>
    <definedName name="NPLYCOLTALL" localSheetId="5">#REF!</definedName>
    <definedName name="NPLYCOLTALL" localSheetId="4">#REF!</definedName>
    <definedName name="NPLYCOLTALL">#REF!</definedName>
    <definedName name="NPLYMOUTHTOTAL" localSheetId="0">#REF!</definedName>
    <definedName name="NPLYMOUTHTOTAL" localSheetId="5">#REF!</definedName>
    <definedName name="NPLYMOUTHTOTAL" localSheetId="4">#REF!</definedName>
    <definedName name="NPLYMOUTHTOTAL">#REF!</definedName>
    <definedName name="NPLYNEONV">[5]ATRUCK!$C$171:$AC$171</definedName>
    <definedName name="NPLYSUN_NEONALL" localSheetId="0">#REF!</definedName>
    <definedName name="NPLYSUN_NEONALL" localSheetId="5">#REF!</definedName>
    <definedName name="NPLYSUN_NEONALL" localSheetId="4">#REF!</definedName>
    <definedName name="NPLYSUN_NEONALL">#REF!</definedName>
    <definedName name="NPLYVOYP">[5]ATRUCK!$C$65:$AC$65</definedName>
    <definedName name="NPONT6000ALL" localSheetId="0">#REF!</definedName>
    <definedName name="NPONT6000ALL" localSheetId="5">#REF!</definedName>
    <definedName name="NPONT6000ALL" localSheetId="4">#REF!</definedName>
    <definedName name="NPONT6000ALL">#REF!</definedName>
    <definedName name="NPONTFIREBIRDALL" localSheetId="0">#REF!</definedName>
    <definedName name="NPONTFIREBIRDALL" localSheetId="5">#REF!</definedName>
    <definedName name="NPONTFIREBIRDALL" localSheetId="4">#REF!</definedName>
    <definedName name="NPONTFIREBIRDALL">#REF!</definedName>
    <definedName name="NPONTGRAMALL" localSheetId="0">#REF!</definedName>
    <definedName name="NPONTGRAMALL" localSheetId="5">#REF!</definedName>
    <definedName name="NPONTGRAMALL" localSheetId="4">#REF!</definedName>
    <definedName name="NPONTGRAMALL">#REF!</definedName>
    <definedName name="NPONTGRPRIXALL" localSheetId="0">#REF!</definedName>
    <definedName name="NPONTGRPRIXALL" localSheetId="5">#REF!</definedName>
    <definedName name="NPONTGRPRIXALL" localSheetId="4">#REF!</definedName>
    <definedName name="NPONTGRPRIXALL">#REF!</definedName>
    <definedName name="NPONTIACTOTAL" localSheetId="0">#REF!</definedName>
    <definedName name="NPONTIACTOTAL" localSheetId="5">#REF!</definedName>
    <definedName name="NPONTIACTOTAL" localSheetId="4">#REF!</definedName>
    <definedName name="NPONTIACTOTAL">#REF!</definedName>
    <definedName name="NPONTLEMANSALL" localSheetId="0">#REF!</definedName>
    <definedName name="NPONTLEMANSALL" localSheetId="5">#REF!</definedName>
    <definedName name="NPONTLEMANSALL" localSheetId="4">#REF!</definedName>
    <definedName name="NPONTLEMANSALL">#REF!</definedName>
    <definedName name="NPONTRECON">[5]ATRUCK!$C$132:$AC$132</definedName>
    <definedName name="NPONTSUNALL" localSheetId="0">#REF!</definedName>
    <definedName name="NPONTSUNALL" localSheetId="5">#REF!</definedName>
    <definedName name="NPONTSUNALL" localSheetId="4">#REF!</definedName>
    <definedName name="NPONTSUNALL">#REF!</definedName>
    <definedName name="NPONTT1000ALL" localSheetId="0">#REF!</definedName>
    <definedName name="NPONTT1000ALL" localSheetId="5">#REF!</definedName>
    <definedName name="NPONTT1000ALL" localSheetId="4">#REF!</definedName>
    <definedName name="NPONTT1000ALL">#REF!</definedName>
    <definedName name="NPONTTRANP">[5]ATRUCK!$C$66:$AC$66</definedName>
    <definedName name="NPOR9010">[5]ATRUCK!$C$114:$AC$114</definedName>
    <definedName name="NPORSCHE911ALL" localSheetId="0">#REF!</definedName>
    <definedName name="NPORSCHE911ALL" localSheetId="5">#REF!</definedName>
    <definedName name="NPORSCHE911ALL" localSheetId="4">#REF!</definedName>
    <definedName name="NPORSCHE911ALL">#REF!</definedName>
    <definedName name="NPORSCHE944_968ALL" localSheetId="0">#REF!</definedName>
    <definedName name="NPORSCHE944_968ALL" localSheetId="5">#REF!</definedName>
    <definedName name="NPORSCHE944_968ALL" localSheetId="4">#REF!</definedName>
    <definedName name="NPORSCHE944_968ALL">#REF!</definedName>
    <definedName name="NPORSCHETOTAL" localSheetId="0">#REF!</definedName>
    <definedName name="NPORSCHETOTAL" localSheetId="5">#REF!</definedName>
    <definedName name="NPORSCHETOTAL" localSheetId="4">#REF!</definedName>
    <definedName name="NPORSCHETOTAL">#REF!</definedName>
    <definedName name="NROV4">[5]ATRUCK!$C$107:$AC$107</definedName>
    <definedName name="NROVDEF110">[5]ATRUCK!$C$168:$AC$168</definedName>
    <definedName name="NROVDEF90">[5]ATRUCK!$C$167:$AC$167</definedName>
    <definedName name="NROVDISC4">[5]ATRUCK!$C$159:$AC$159</definedName>
    <definedName name="NROVFREE4">[5]ATRUCK!$C$175:$AC$175</definedName>
    <definedName name="NROVSE4">[5]ATRUCK!$C$108:$AC$108</definedName>
    <definedName name="NSAAB900ALL" localSheetId="0">#REF!</definedName>
    <definedName name="NSAAB900ALL" localSheetId="5">#REF!</definedName>
    <definedName name="NSAAB900ALL" localSheetId="4">#REF!</definedName>
    <definedName name="NSAAB900ALL">#REF!</definedName>
    <definedName name="NSAAB95ALL" localSheetId="0">#REF!</definedName>
    <definedName name="NSAAB95ALL" localSheetId="5">#REF!</definedName>
    <definedName name="NSAAB95ALL" localSheetId="4">#REF!</definedName>
    <definedName name="NSAAB95ALL">#REF!</definedName>
    <definedName name="NSAABTOTAL" localSheetId="0">#REF!</definedName>
    <definedName name="NSAABTOTAL" localSheetId="5">#REF!</definedName>
    <definedName name="NSAABTOTAL" localSheetId="4">#REF!</definedName>
    <definedName name="NSAABTOTAL">#REF!</definedName>
    <definedName name="NSATSLSWALL" localSheetId="0">#REF!</definedName>
    <definedName name="NSATSLSWALL" localSheetId="5">#REF!</definedName>
    <definedName name="NSATSLSWALL" localSheetId="4">#REF!</definedName>
    <definedName name="NSATSLSWALL">#REF!</definedName>
    <definedName name="NSATSLV">[5]ATRUCK!$C$178:$AC$178</definedName>
    <definedName name="NSATSRALL" localSheetId="0">#REF!</definedName>
    <definedName name="NSATSRALL" localSheetId="5">#REF!</definedName>
    <definedName name="NSATSRALL" localSheetId="4">#REF!</definedName>
    <definedName name="NSATSRALL">#REF!</definedName>
    <definedName name="NSATURNTOTAL" localSheetId="0">#REF!</definedName>
    <definedName name="NSATURNTOTAL" localSheetId="5">#REF!</definedName>
    <definedName name="NSATURNTOTAL" localSheetId="4">#REF!</definedName>
    <definedName name="NSATURNTOTAL">#REF!</definedName>
    <definedName name="NSATVPU">[5]ATRUCK!$C$35:$AC$35</definedName>
    <definedName name="NSBFOREST4">[5]ATRUCK!$C$179:$AC$179</definedName>
    <definedName name="NSTERLINGTOTAL" localSheetId="0">#REF!</definedName>
    <definedName name="NSTERLINGTOTAL" localSheetId="5">#REF!</definedName>
    <definedName name="NSTERLINGTOTAL" localSheetId="4">#REF!</definedName>
    <definedName name="NSTERLINGTOTAL">#REF!</definedName>
    <definedName name="NSUBARUTOTAL" localSheetId="0">#REF!</definedName>
    <definedName name="NSUBARUTOTAL" localSheetId="5">#REF!</definedName>
    <definedName name="NSUBARUTOTAL" localSheetId="4">#REF!</definedName>
    <definedName name="NSUBARUTOTAL">#REF!</definedName>
    <definedName name="NSUBJUSTYALL" localSheetId="0">#REF!</definedName>
    <definedName name="NSUBJUSTYALL" localSheetId="5">#REF!</definedName>
    <definedName name="NSUBJUSTYALL" localSheetId="4">#REF!</definedName>
    <definedName name="NSUBJUSTYALL">#REF!</definedName>
    <definedName name="NSUBLEGACYALL" localSheetId="0">#REF!</definedName>
    <definedName name="NSUBLEGACYALL" localSheetId="5">#REF!</definedName>
    <definedName name="NSUBLEGACYALL" localSheetId="4">#REF!</definedName>
    <definedName name="NSUBLEGACYALL">#REF!</definedName>
    <definedName name="NSUBLOY_IMPALL" localSheetId="0">#REF!</definedName>
    <definedName name="NSUBLOY_IMPALL" localSheetId="5">#REF!</definedName>
    <definedName name="NSUBLOY_IMPALL" localSheetId="4">#REF!</definedName>
    <definedName name="NSUBLOY_IMPALL">#REF!</definedName>
    <definedName name="NSUZESTEEMALL" localSheetId="0">#REF!</definedName>
    <definedName name="NSUZESTEEMALL" localSheetId="5">#REF!</definedName>
    <definedName name="NSUZESTEEMALL" localSheetId="4">#REF!</definedName>
    <definedName name="NSUZESTEEMALL">#REF!</definedName>
    <definedName name="NSUZSWIFTALL" localSheetId="0">#REF!</definedName>
    <definedName name="NSUZSWIFTALL" localSheetId="5">#REF!</definedName>
    <definedName name="NSUZSWIFTALL" localSheetId="4">#REF!</definedName>
    <definedName name="NSUZSWIFTALL">#REF!</definedName>
    <definedName name="NSUZUKITOTAL" localSheetId="0">#REF!</definedName>
    <definedName name="NSUZUKITOTAL" localSheetId="5">#REF!</definedName>
    <definedName name="NSUZUKITOTAL" localSheetId="4">#REF!</definedName>
    <definedName name="NSUZUKITOTAL">#REF!</definedName>
    <definedName name="NSZSAM">[5]ATRUCK!$C$184:$AC$184</definedName>
    <definedName name="NSZSIDE">[5]ATRUCK!$C$185:$AC$185</definedName>
    <definedName name="NSZSIDE4">[5]ATRUCK!$C$191:$AC$191</definedName>
    <definedName name="NSZX90">[5]ATRUCK!$C$186:$AC$186</definedName>
    <definedName name="NTOY4RUN">[5]ATRUCK!$C$123:$AC$123</definedName>
    <definedName name="NTOY4RUN4">[5]ATRUCK!$C$134:$AC$134</definedName>
    <definedName name="NTOYCAMRYALL" localSheetId="0">#REF!</definedName>
    <definedName name="NTOYCAMRYALL" localSheetId="5">#REF!</definedName>
    <definedName name="NTOYCAMRYALL" localSheetId="4">#REF!</definedName>
    <definedName name="NTOYCAMRYALL">#REF!</definedName>
    <definedName name="NTOYCELICAALL" localSheetId="0">#REF!</definedName>
    <definedName name="NTOYCELICAALL" localSheetId="5">#REF!</definedName>
    <definedName name="NTOYCELICAALL" localSheetId="4">#REF!</definedName>
    <definedName name="NTOYCELICAALL">#REF!</definedName>
    <definedName name="NTOYCOROLLAALL" localSheetId="0">#REF!</definedName>
    <definedName name="NTOYCOROLLAALL" localSheetId="5">#REF!</definedName>
    <definedName name="NTOYCOROLLAALL" localSheetId="4">#REF!</definedName>
    <definedName name="NTOYCOROLLAALL">#REF!</definedName>
    <definedName name="NTOYCRES_AVALALL" localSheetId="0">#REF!</definedName>
    <definedName name="NTOYCRES_AVALALL" localSheetId="5">#REF!</definedName>
    <definedName name="NTOYCRES_AVALALL" localSheetId="4">#REF!</definedName>
    <definedName name="NTOYCRES_AVALALL">#REF!</definedName>
    <definedName name="NTOYLAND">[5]ATRUCK!$C$164:$AC$164</definedName>
    <definedName name="NTOYLSUV">[5]ATRUCK!$C$202:$AC$202</definedName>
    <definedName name="NTOYO38N">[5]ATRUCK!$C$147:$AC$147</definedName>
    <definedName name="NTOYOTATOTAL" localSheetId="0">#REF!</definedName>
    <definedName name="NTOYOTATOTAL" localSheetId="5">#REF!</definedName>
    <definedName name="NTOYOTATOTAL" localSheetId="4">#REF!</definedName>
    <definedName name="NTOYOTATOTAL">#REF!</definedName>
    <definedName name="NTOYPASEOALL" localSheetId="0">#REF!</definedName>
    <definedName name="NTOYPASEOALL" localSheetId="5">#REF!</definedName>
    <definedName name="NTOYPASEOALL" localSheetId="4">#REF!</definedName>
    <definedName name="NTOYPASEOALL">#REF!</definedName>
    <definedName name="NTOYPREVIAP">[5]ATRUCK!$C$67:$AC$67</definedName>
    <definedName name="NTOYRAV4">[5]ATRUCK!$C$170:$AC$170</definedName>
    <definedName name="NTOYRAV44">[5]ATRUCK!$C$180:$AC$180</definedName>
    <definedName name="NTOYSIENP">[5]ATRUCK!$C$68:$AC$68</definedName>
    <definedName name="NTOYSOLARAALL" localSheetId="0">#REF!</definedName>
    <definedName name="NTOYSOLARAALL" localSheetId="5">#REF!</definedName>
    <definedName name="NTOYSOLARAALL" localSheetId="4">#REF!</definedName>
    <definedName name="NTOYSOLARAALL">#REF!</definedName>
    <definedName name="NTOYT100R">[5]ATRUCK!$C$153:$AC$153</definedName>
    <definedName name="NTOYT100X">[5]ATRUCK!$C$150:$AC$150</definedName>
    <definedName name="NTOYTACOR">[5]ATRUCK!$C$27:$AC$27</definedName>
    <definedName name="NTOYTACOX">[5]ATRUCK!$C$15:$AC$15</definedName>
    <definedName name="NTOYTERCELALL" localSheetId="0">#REF!</definedName>
    <definedName name="NTOYTERCELALL" localSheetId="5">#REF!</definedName>
    <definedName name="NTOYTERCELALL" localSheetId="4">#REF!</definedName>
    <definedName name="NTOYTERCELALL">#REF!</definedName>
    <definedName name="NTOYTUNDR">[5]ATRUCK!$C$90:$AC$90</definedName>
    <definedName name="NTOYTUNDX">[5]ATRUCK!$C$149:$AC$149</definedName>
    <definedName name="NTOYVANC">[5]ATRUCK!$C$43:$AC$43</definedName>
    <definedName name="NTYPRIUS" localSheetId="0">[4]ACARS!#REF!</definedName>
    <definedName name="NTYPRIUS" localSheetId="5">[4]ACARS!#REF!</definedName>
    <definedName name="NTYPRIUS" localSheetId="4">[4]ACARS!#REF!</definedName>
    <definedName name="NTYPRIUS">[4]ACARS!#REF!</definedName>
    <definedName name="NVOLKSWAGENTOTAL" localSheetId="0">#REF!</definedName>
    <definedName name="NVOLKSWAGENTOTAL" localSheetId="5">#REF!</definedName>
    <definedName name="NVOLKSWAGENTOTAL" localSheetId="4">#REF!</definedName>
    <definedName name="NVOLKSWAGENTOTAL">#REF!</definedName>
    <definedName name="NVOLSUV">[5]ATRUCK!$C$116:$AC$116</definedName>
    <definedName name="NVOLVO240ALL" localSheetId="0">#REF!</definedName>
    <definedName name="NVOLVO240ALL" localSheetId="5">#REF!</definedName>
    <definedName name="NVOLVO240ALL" localSheetId="4">#REF!</definedName>
    <definedName name="NVOLVO240ALL">#REF!</definedName>
    <definedName name="NVOLVO740ALL" localSheetId="0">#REF!</definedName>
    <definedName name="NVOLVO740ALL" localSheetId="5">#REF!</definedName>
    <definedName name="NVOLVO740ALL" localSheetId="4">#REF!</definedName>
    <definedName name="NVOLVO740ALL">#REF!</definedName>
    <definedName name="NVOLVO760_960_90" localSheetId="0">#REF!</definedName>
    <definedName name="NVOLVO760_960_90" localSheetId="5">#REF!</definedName>
    <definedName name="NVOLVO760_960_90" localSheetId="4">#REF!</definedName>
    <definedName name="NVOLVO760_960_90">#REF!</definedName>
    <definedName name="NVOLVO850_70ALL" localSheetId="0">#REF!</definedName>
    <definedName name="NVOLVO850_70ALL" localSheetId="5">#REF!</definedName>
    <definedName name="NVOLVO850_70ALL" localSheetId="4">#REF!</definedName>
    <definedName name="NVOLVO850_70ALL">#REF!</definedName>
    <definedName name="NVOLVO90ALL" localSheetId="0">#REF!</definedName>
    <definedName name="NVOLVO90ALL" localSheetId="5">#REF!</definedName>
    <definedName name="NVOLVO90ALL" localSheetId="4">#REF!</definedName>
    <definedName name="NVOLVO90ALL">#REF!</definedName>
    <definedName name="NVOLVO940ALL" localSheetId="0">#REF!</definedName>
    <definedName name="NVOLVO940ALL" localSheetId="5">#REF!</definedName>
    <definedName name="NVOLVO940ALL" localSheetId="4">#REF!</definedName>
    <definedName name="NVOLVO940ALL">#REF!</definedName>
    <definedName name="NVOLVO960ALL" localSheetId="0">#REF!</definedName>
    <definedName name="NVOLVO960ALL" localSheetId="5">#REF!</definedName>
    <definedName name="NVOLVO960ALL" localSheetId="4">#REF!</definedName>
    <definedName name="NVOLVO960ALL">#REF!</definedName>
    <definedName name="NVOLVOC70" localSheetId="0">#REF!</definedName>
    <definedName name="NVOLVOC70" localSheetId="5">#REF!</definedName>
    <definedName name="NVOLVOC70" localSheetId="4">#REF!</definedName>
    <definedName name="NVOLVOC70">#REF!</definedName>
    <definedName name="NVOLVOS40ALL" localSheetId="0">#REF!</definedName>
    <definedName name="NVOLVOS40ALL" localSheetId="5">#REF!</definedName>
    <definedName name="NVOLVOS40ALL" localSheetId="4">#REF!</definedName>
    <definedName name="NVOLVOS40ALL">#REF!</definedName>
    <definedName name="NVOLVOTOTAL" localSheetId="0">#REF!</definedName>
    <definedName name="NVOLVOTOTAL" localSheetId="5">#REF!</definedName>
    <definedName name="NVOLVOTOTAL" localSheetId="4">#REF!</definedName>
    <definedName name="NVOLVOTOTAL">#REF!</definedName>
    <definedName name="NVVOLVAN">[5]ATRUCK!$C$70:$AC$70</definedName>
    <definedName name="NVWBEETLEALL" localSheetId="0">#REF!</definedName>
    <definedName name="NVWBEETLEALL" localSheetId="5">#REF!</definedName>
    <definedName name="NVWBEETLEALL" localSheetId="4">#REF!</definedName>
    <definedName name="NVWBEETLEALL">#REF!</definedName>
    <definedName name="NVWEUROP">[5]ATRUCK!$C$69:$AC$69</definedName>
    <definedName name="NVWFOXALL" localSheetId="0">#REF!</definedName>
    <definedName name="NVWFOXALL" localSheetId="5">#REF!</definedName>
    <definedName name="NVWFOXALL" localSheetId="4">#REF!</definedName>
    <definedName name="NVWFOXALL">#REF!</definedName>
    <definedName name="NVWGOLFALL" localSheetId="0">#REF!</definedName>
    <definedName name="NVWGOLFALL" localSheetId="5">#REF!</definedName>
    <definedName name="NVWGOLFALL" localSheetId="4">#REF!</definedName>
    <definedName name="NVWGOLFALL">#REF!</definedName>
    <definedName name="NVWJETTAALL" localSheetId="0">#REF!</definedName>
    <definedName name="NVWJETTAALL" localSheetId="5">#REF!</definedName>
    <definedName name="NVWJETTAALL" localSheetId="4">#REF!</definedName>
    <definedName name="NVWJETTAALL">#REF!</definedName>
    <definedName name="NVWPASSATALL" localSheetId="0">#REF!</definedName>
    <definedName name="NVWPASSATALL" localSheetId="5">#REF!</definedName>
    <definedName name="NVWPASSATALL" localSheetId="4">#REF!</definedName>
    <definedName name="NVWPASSATALL">#REF!</definedName>
    <definedName name="NVWPU">[5]ATRUCK!$C$76:$AC$76</definedName>
    <definedName name="NVWSUV">[5]ATRUCK!$C$115:$AC$115</definedName>
    <definedName name="NYUGOTOTAL" localSheetId="0">#REF!</definedName>
    <definedName name="NYUGOTOTAL" localSheetId="5">#REF!</definedName>
    <definedName name="NYUGOTOTAL" localSheetId="4">#REF!</definedName>
    <definedName name="NYUGOTOTAL">#REF!</definedName>
    <definedName name="ok">[19]STAFF!$C$2:$C$67</definedName>
    <definedName name="OLD88ALL" localSheetId="0">#REF!</definedName>
    <definedName name="OLD88ALL" localSheetId="5">#REF!</definedName>
    <definedName name="OLD88ALL" localSheetId="4">#REF!</definedName>
    <definedName name="OLD88ALL">#REF!</definedName>
    <definedName name="OLD98ALL" localSheetId="0">#REF!</definedName>
    <definedName name="OLD98ALL" localSheetId="5">#REF!</definedName>
    <definedName name="OLD98ALL" localSheetId="4">#REF!</definedName>
    <definedName name="OLD98ALL">#REF!</definedName>
    <definedName name="OLDACH_ALEROALL" localSheetId="0">#REF!</definedName>
    <definedName name="OLDACH_ALEROALL" localSheetId="5">#REF!</definedName>
    <definedName name="OLDACH_ALEROALL" localSheetId="4">#REF!</definedName>
    <definedName name="OLDACH_ALEROALL">#REF!</definedName>
    <definedName name="OLDACH_CALAIS" localSheetId="0">#REF!</definedName>
    <definedName name="OLDACH_CALAIS" localSheetId="5">#REF!</definedName>
    <definedName name="OLDACH_CALAIS" localSheetId="4">#REF!</definedName>
    <definedName name="OLDACH_CALAIS">#REF!</definedName>
    <definedName name="OLDACHCP_CALAIS2" localSheetId="0">#REF!</definedName>
    <definedName name="OLDACHCP_CALAIS2" localSheetId="5">#REF!</definedName>
    <definedName name="OLDACHCP_CALAIS2" localSheetId="4">#REF!</definedName>
    <definedName name="OLDACHCP_CALAIS2">#REF!</definedName>
    <definedName name="OLDAURORA_TORALL" localSheetId="0">#REF!</definedName>
    <definedName name="OLDAURORA_TORALL" localSheetId="5">#REF!</definedName>
    <definedName name="OLDAURORA_TORALL" localSheetId="4">#REF!</definedName>
    <definedName name="OLDAURORA_TORALL">#REF!</definedName>
    <definedName name="OLDBRAV">[5]ATRUCK!$F$163:$V$163</definedName>
    <definedName name="OLDCIERAALL" localSheetId="0">#REF!</definedName>
    <definedName name="OLDCIERAALL" localSheetId="5">#REF!</definedName>
    <definedName name="OLDCIERAALL" localSheetId="4">#REF!</definedName>
    <definedName name="OLDCIERAALL">#REF!</definedName>
    <definedName name="OLDCUTCIERAALL" localSheetId="0">#REF!</definedName>
    <definedName name="OLDCUTCIERAALL" localSheetId="5">#REF!</definedName>
    <definedName name="OLDCUTCIERAALL" localSheetId="4">#REF!</definedName>
    <definedName name="OLDCUTCIERAALL">#REF!</definedName>
    <definedName name="OLDCUTSUPALL" localSheetId="0">#REF!</definedName>
    <definedName name="OLDCUTSUPALL" localSheetId="5">#REF!</definedName>
    <definedName name="OLDCUTSUPALL" localSheetId="4">#REF!</definedName>
    <definedName name="OLDCUTSUPALL">#REF!</definedName>
    <definedName name="OLDFIRENZAALL" localSheetId="0">#REF!</definedName>
    <definedName name="OLDFIRENZAALL" localSheetId="5">#REF!</definedName>
    <definedName name="OLDFIRENZAALL" localSheetId="4">#REF!</definedName>
    <definedName name="OLDFIRENZAALL">#REF!</definedName>
    <definedName name="OLDSILHP">[5]ATRUCK!$F$64:$V$64</definedName>
    <definedName name="OLDSMOBILE">[5]ATRUCK!$F$274:$V$274</definedName>
    <definedName name="OLDSMOBILETOTAL" localSheetId="0">#REF!</definedName>
    <definedName name="OLDSMOBILETOTAL" localSheetId="5">#REF!</definedName>
    <definedName name="OLDSMOBILETOTAL" localSheetId="4">#REF!</definedName>
    <definedName name="OLDSMOBILETOTAL">#REF!</definedName>
    <definedName name="OrderTable" localSheetId="5" hidden="1">#REF!</definedName>
    <definedName name="OrderTable" localSheetId="4" hidden="1">#REF!</definedName>
    <definedName name="OrderTable" hidden="1">#REF!</definedName>
    <definedName name="ORV2SU" localSheetId="0">[5]ATRUCK!#REF!</definedName>
    <definedName name="ORV2SU" localSheetId="5">[5]ATRUCK!#REF!</definedName>
    <definedName name="ORV2SU" localSheetId="4">[5]ATRUCK!#REF!</definedName>
    <definedName name="ORV2SU">[5]ATRUCK!#REF!</definedName>
    <definedName name="ORV4SU" localSheetId="0">[5]ATRUCK!#REF!</definedName>
    <definedName name="ORV4SU" localSheetId="5">[5]ATRUCK!#REF!</definedName>
    <definedName name="ORV4SU" localSheetId="4">[5]ATRUCK!#REF!</definedName>
    <definedName name="ORV4SU">[5]ATRUCK!#REF!</definedName>
    <definedName name="ORVA">[5]ATRUCK!$F$415:$V$415</definedName>
    <definedName name="ORVDO">[5]ATRUCK!$F$413:$V$413</definedName>
    <definedName name="ORVE">[5]ATRUCK!$F$414:$V$414</definedName>
    <definedName name="ORVTOTAL" localSheetId="0">[5]ATRUCK!#REF!</definedName>
    <definedName name="ORVTOTAL" localSheetId="5">[5]ATRUCK!#REF!</definedName>
    <definedName name="ORVTOTAL" localSheetId="4">[5]ATRUCK!#REF!</definedName>
    <definedName name="ORVTOTAL">[5]ATRUCK!#REF!</definedName>
    <definedName name="PACSLX" localSheetId="0">[5]ATRUCK!#REF!</definedName>
    <definedName name="PACSLX" localSheetId="5">[5]ATRUCK!#REF!</definedName>
    <definedName name="PACSLX" localSheetId="4">[5]ATRUCK!#REF!</definedName>
    <definedName name="PACSLX">[5]ATRUCK!#REF!</definedName>
    <definedName name="PACURA" localSheetId="0">[5]ATRUCK!#REF!</definedName>
    <definedName name="PACURA" localSheetId="5">[5]ATRUCK!#REF!</definedName>
    <definedName name="PACURA" localSheetId="4">[5]ATRUCK!#REF!</definedName>
    <definedName name="PACURA">[5]ATRUCK!#REF!</definedName>
    <definedName name="PACURATOTAL" localSheetId="0">#REF!</definedName>
    <definedName name="PACURATOTAL" localSheetId="5">#REF!</definedName>
    <definedName name="PACURATOTAL" localSheetId="4">#REF!</definedName>
    <definedName name="PACURATOTAL">#REF!</definedName>
    <definedName name="PALFAROMEOTOTAL" localSheetId="0">#REF!</definedName>
    <definedName name="PALFAROMEOTOTAL" localSheetId="5">#REF!</definedName>
    <definedName name="PALFAROMEOTOTAL" localSheetId="4">#REF!</definedName>
    <definedName name="PALFAROMEOTOTAL">#REF!</definedName>
    <definedName name="PASIANTOT" localSheetId="0">[5]ATRUCK!#REF!</definedName>
    <definedName name="PASIANTOT" localSheetId="5">[5]ATRUCK!#REF!</definedName>
    <definedName name="PASIANTOT" localSheetId="4">[5]ATRUCK!#REF!</definedName>
    <definedName name="PASIANTOT">[5]ATRUCK!#REF!</definedName>
    <definedName name="PAUDI" localSheetId="0">[5]ATRUCK!#REF!</definedName>
    <definedName name="PAUDI" localSheetId="5">[5]ATRUCK!#REF!</definedName>
    <definedName name="PAUDI" localSheetId="4">[5]ATRUCK!#REF!</definedName>
    <definedName name="PAUDI">[5]ATRUCK!#REF!</definedName>
    <definedName name="PAUDISUV" localSheetId="0">[5]ATRUCK!#REF!</definedName>
    <definedName name="PAUDISUV" localSheetId="5">[5]ATRUCK!#REF!</definedName>
    <definedName name="PAUDISUV" localSheetId="4">[5]ATRUCK!#REF!</definedName>
    <definedName name="PAUDISUV">[5]ATRUCK!#REF!</definedName>
    <definedName name="PAUDITOTAL" localSheetId="0">#REF!</definedName>
    <definedName name="PAUDITOTAL" localSheetId="5">#REF!</definedName>
    <definedName name="PAUDITOTAL" localSheetId="4">#REF!</definedName>
    <definedName name="PAUDITOTAL">#REF!</definedName>
    <definedName name="PBKSUV" localSheetId="0">[5]ATRUCK!#REF!</definedName>
    <definedName name="PBKSUV" localSheetId="5">[5]ATRUCK!#REF!</definedName>
    <definedName name="PBKSUV" localSheetId="4">[5]ATRUCK!#REF!</definedName>
    <definedName name="PBKSUV">[5]ATRUCK!#REF!</definedName>
    <definedName name="PBMW" localSheetId="0">[5]ATRUCK!#REF!</definedName>
    <definedName name="PBMW" localSheetId="5">[5]ATRUCK!#REF!</definedName>
    <definedName name="PBMW" localSheetId="4">[5]ATRUCK!#REF!</definedName>
    <definedName name="PBMW">[5]ATRUCK!#REF!</definedName>
    <definedName name="PBMWEMV" localSheetId="0">[5]ATRUCK!#REF!</definedName>
    <definedName name="PBMWEMV" localSheetId="5">[5]ATRUCK!#REF!</definedName>
    <definedName name="PBMWEMV" localSheetId="4">[5]ATRUCK!#REF!</definedName>
    <definedName name="PBMWEMV">[5]ATRUCK!#REF!</definedName>
    <definedName name="PBMWTOTAL" localSheetId="0">#REF!</definedName>
    <definedName name="PBMWTOTAL" localSheetId="5">#REF!</definedName>
    <definedName name="PBMWTOTAL" localSheetId="4">#REF!</definedName>
    <definedName name="PBMWTOTAL">#REF!</definedName>
    <definedName name="PBUICK" localSheetId="0">[5]ATRUCK!#REF!</definedName>
    <definedName name="PBUICK" localSheetId="5">[5]ATRUCK!#REF!</definedName>
    <definedName name="PBUICK" localSheetId="4">[5]ATRUCK!#REF!</definedName>
    <definedName name="PBUICK">[5]ATRUCK!#REF!</definedName>
    <definedName name="PBUICKTOTAL" localSheetId="0">#REF!</definedName>
    <definedName name="PBUICKTOTAL" localSheetId="5">#REF!</definedName>
    <definedName name="PBUICKTOTAL" localSheetId="4">#REF!</definedName>
    <definedName name="PBUICKTOTAL">#REF!</definedName>
    <definedName name="PCADESCL" localSheetId="0">[5]ATRUCK!#REF!</definedName>
    <definedName name="PCADESCL" localSheetId="5">[5]ATRUCK!#REF!</definedName>
    <definedName name="PCADESCL" localSheetId="4">[5]ATRUCK!#REF!</definedName>
    <definedName name="PCADESCL">[5]ATRUCK!#REF!</definedName>
    <definedName name="PCADILLAC" localSheetId="0">[5]ATRUCK!#REF!</definedName>
    <definedName name="PCADILLAC" localSheetId="5">[5]ATRUCK!#REF!</definedName>
    <definedName name="PCADILLAC" localSheetId="4">[5]ATRUCK!#REF!</definedName>
    <definedName name="PCADILLAC">[5]ATRUCK!#REF!</definedName>
    <definedName name="PCADILLACTOTAL" localSheetId="0">#REF!</definedName>
    <definedName name="PCADILLACTOTAL" localSheetId="5">#REF!</definedName>
    <definedName name="PCADILLACTOTAL" localSheetId="4">#REF!</definedName>
    <definedName name="PCADILLACTOTAL">#REF!</definedName>
    <definedName name="PCADLAV" localSheetId="0">[5]ATRUCK!#REF!</definedName>
    <definedName name="PCADLAV" localSheetId="5">[5]ATRUCK!#REF!</definedName>
    <definedName name="PCADLAV" localSheetId="4">[5]ATRUCK!#REF!</definedName>
    <definedName name="PCADLAV">[5]ATRUCK!#REF!</definedName>
    <definedName name="PCADPU" localSheetId="0">[5]ATRUCK!#REF!</definedName>
    <definedName name="PCADPU" localSheetId="5">[5]ATRUCK!#REF!</definedName>
    <definedName name="PCADPU" localSheetId="4">[5]ATRUCK!#REF!</definedName>
    <definedName name="PCADPU">[5]ATRUCK!#REF!</definedName>
    <definedName name="PCAL00" localSheetId="0">[5]ATRUCK!#REF!</definedName>
    <definedName name="PCAL00" localSheetId="5">[5]ATRUCK!#REF!</definedName>
    <definedName name="PCAL00" localSheetId="4">[5]ATRUCK!#REF!</definedName>
    <definedName name="PCAL00">[5]ATRUCK!#REF!</definedName>
    <definedName name="PCAL01" localSheetId="0">[5]ATRUCK!#REF!</definedName>
    <definedName name="PCAL01" localSheetId="5">[5]ATRUCK!#REF!</definedName>
    <definedName name="PCAL01" localSheetId="4">[5]ATRUCK!#REF!</definedName>
    <definedName name="PCAL01">[5]ATRUCK!#REF!</definedName>
    <definedName name="PCAL02" localSheetId="0">[5]ATRUCK!#REF!</definedName>
    <definedName name="PCAL02" localSheetId="5">[5]ATRUCK!#REF!</definedName>
    <definedName name="PCAL02" localSheetId="4">[5]ATRUCK!#REF!</definedName>
    <definedName name="PCAL02">[5]ATRUCK!#REF!</definedName>
    <definedName name="PCAL03" localSheetId="0">[5]ATRUCK!#REF!</definedName>
    <definedName name="PCAL03" localSheetId="5">[5]ATRUCK!#REF!</definedName>
    <definedName name="PCAL03" localSheetId="4">[5]ATRUCK!#REF!</definedName>
    <definedName name="PCAL03">[5]ATRUCK!#REF!</definedName>
    <definedName name="PCAL88" localSheetId="0">[5]ATRUCK!#REF!</definedName>
    <definedName name="PCAL88" localSheetId="5">[5]ATRUCK!#REF!</definedName>
    <definedName name="PCAL88" localSheetId="4">[5]ATRUCK!#REF!</definedName>
    <definedName name="PCAL88">[5]ATRUCK!#REF!</definedName>
    <definedName name="PCAL89P" localSheetId="0">[5]ATRUCK!#REF!</definedName>
    <definedName name="PCAL89P" localSheetId="5">[5]ATRUCK!#REF!</definedName>
    <definedName name="PCAL89P" localSheetId="4">[5]ATRUCK!#REF!</definedName>
    <definedName name="PCAL89P">[5]ATRUCK!#REF!</definedName>
    <definedName name="PCAL90" localSheetId="0">[5]ATRUCK!#REF!</definedName>
    <definedName name="PCAL90" localSheetId="5">[5]ATRUCK!#REF!</definedName>
    <definedName name="PCAL90" localSheetId="4">[5]ATRUCK!#REF!</definedName>
    <definedName name="PCAL90">[5]ATRUCK!#REF!</definedName>
    <definedName name="PCAL91P" localSheetId="0">[5]ATRUCK!#REF!</definedName>
    <definedName name="PCAL91P" localSheetId="5">[5]ATRUCK!#REF!</definedName>
    <definedName name="PCAL91P" localSheetId="4">[5]ATRUCK!#REF!</definedName>
    <definedName name="PCAL91P">[5]ATRUCK!#REF!</definedName>
    <definedName name="PCAL92" localSheetId="0">[5]ATRUCK!#REF!</definedName>
    <definedName name="PCAL92" localSheetId="5">[5]ATRUCK!#REF!</definedName>
    <definedName name="PCAL92" localSheetId="4">[5]ATRUCK!#REF!</definedName>
    <definedName name="PCAL92">[5]ATRUCK!#REF!</definedName>
    <definedName name="PCAL93" localSheetId="0">[5]ATRUCK!#REF!</definedName>
    <definedName name="PCAL93" localSheetId="5">[5]ATRUCK!#REF!</definedName>
    <definedName name="PCAL93" localSheetId="4">[5]ATRUCK!#REF!</definedName>
    <definedName name="PCAL93">[5]ATRUCK!#REF!</definedName>
    <definedName name="PCAL94" localSheetId="0">[5]ATRUCK!#REF!</definedName>
    <definedName name="PCAL94" localSheetId="5">[5]ATRUCK!#REF!</definedName>
    <definedName name="PCAL94" localSheetId="4">[5]ATRUCK!#REF!</definedName>
    <definedName name="PCAL94">[5]ATRUCK!#REF!</definedName>
    <definedName name="PCAL95" localSheetId="0">[5]ATRUCK!#REF!</definedName>
    <definedName name="PCAL95" localSheetId="5">[5]ATRUCK!#REF!</definedName>
    <definedName name="PCAL95" localSheetId="4">[5]ATRUCK!#REF!</definedName>
    <definedName name="PCAL95">[5]ATRUCK!#REF!</definedName>
    <definedName name="PCAL96" localSheetId="0">[5]ATRUCK!#REF!</definedName>
    <definedName name="PCAL96" localSheetId="5">[5]ATRUCK!#REF!</definedName>
    <definedName name="PCAL96" localSheetId="4">[5]ATRUCK!#REF!</definedName>
    <definedName name="PCAL96">[5]ATRUCK!#REF!</definedName>
    <definedName name="PCAL97" localSheetId="0">[5]ATRUCK!#REF!</definedName>
    <definedName name="PCAL97" localSheetId="5">[5]ATRUCK!#REF!</definedName>
    <definedName name="PCAL97" localSheetId="4">[5]ATRUCK!#REF!</definedName>
    <definedName name="PCAL97">[5]ATRUCK!#REF!</definedName>
    <definedName name="PCAL98" localSheetId="0">[5]ATRUCK!#REF!</definedName>
    <definedName name="PCAL98" localSheetId="5">[5]ATRUCK!#REF!</definedName>
    <definedName name="PCAL98" localSheetId="4">[5]ATRUCK!#REF!</definedName>
    <definedName name="PCAL98">[5]ATRUCK!#REF!</definedName>
    <definedName name="PCAL99" localSheetId="0">[5]ATRUCK!#REF!</definedName>
    <definedName name="PCAL99" localSheetId="5">[5]ATRUCK!#REF!</definedName>
    <definedName name="PCAL99" localSheetId="4">[5]ATRUCK!#REF!</definedName>
    <definedName name="PCAL99">[5]ATRUCK!#REF!</definedName>
    <definedName name="PCFSPUTOTAL" localSheetId="0">[5]ATRUCK!#REF!</definedName>
    <definedName name="PCFSPUTOTAL" localSheetId="5">[5]ATRUCK!#REF!</definedName>
    <definedName name="PCFSPUTOTAL" localSheetId="4">[5]ATRUCK!#REF!</definedName>
    <definedName name="PCFSPUTOTAL">[5]ATRUCK!#REF!</definedName>
    <definedName name="PCHASTROALL" localSheetId="0">#REF!</definedName>
    <definedName name="PCHASTROALL" localSheetId="5">#REF!</definedName>
    <definedName name="PCHASTROALL" localSheetId="4">#REF!</definedName>
    <definedName name="PCHASTROALL">#REF!</definedName>
    <definedName name="PCHASTROC" localSheetId="0">[5]ATRUCK!#REF!</definedName>
    <definedName name="PCHASTROC" localSheetId="5">[5]ATRUCK!#REF!</definedName>
    <definedName name="PCHASTROC" localSheetId="4">[5]ATRUCK!#REF!</definedName>
    <definedName name="PCHASTROC">[5]ATRUCK!#REF!</definedName>
    <definedName name="PCHASTROP" localSheetId="0">[5]ATRUCK!#REF!</definedName>
    <definedName name="PCHASTROP" localSheetId="5">[5]ATRUCK!#REF!</definedName>
    <definedName name="PCHASTROP" localSheetId="4">[5]ATRUCK!#REF!</definedName>
    <definedName name="PCHASTROP">[5]ATRUCK!#REF!</definedName>
    <definedName name="PCHAVA" localSheetId="0">[5]ATRUCK!#REF!</definedName>
    <definedName name="PCHAVA" localSheetId="5">[5]ATRUCK!#REF!</definedName>
    <definedName name="PCHAVA" localSheetId="4">[5]ATRUCK!#REF!</definedName>
    <definedName name="PCHAVA">[5]ATRUCK!#REF!</definedName>
    <definedName name="PCHBLAZ4" localSheetId="0">[5]ATRUCK!#REF!</definedName>
    <definedName name="PCHBLAZ4" localSheetId="5">[5]ATRUCK!#REF!</definedName>
    <definedName name="PCHBLAZ4" localSheetId="4">[5]ATRUCK!#REF!</definedName>
    <definedName name="PCHBLAZ4">[5]ATRUCK!#REF!</definedName>
    <definedName name="PCHBLAZERALL" localSheetId="0">#REF!</definedName>
    <definedName name="PCHBLAZERALL" localSheetId="5">#REF!</definedName>
    <definedName name="PCHBLAZERALL" localSheetId="4">#REF!</definedName>
    <definedName name="PCHBLAZERALL">#REF!</definedName>
    <definedName name="PCHBLAZP4" localSheetId="0">[5]ATRUCK!#REF!</definedName>
    <definedName name="PCHBLAZP4" localSheetId="5">[5]ATRUCK!#REF!</definedName>
    <definedName name="PCHBLAZP4" localSheetId="4">[5]ATRUCK!#REF!</definedName>
    <definedName name="PCHBLAZP4">[5]ATRUCK!#REF!</definedName>
    <definedName name="PCHCKR" localSheetId="0">[5]ATRUCK!#REF!</definedName>
    <definedName name="PCHCKR" localSheetId="5">[5]ATRUCK!#REF!</definedName>
    <definedName name="PCHCKR" localSheetId="4">[5]ATRUCK!#REF!</definedName>
    <definedName name="PCHCKR">[5]ATRUCK!#REF!</definedName>
    <definedName name="PCHCKSERIESALL" localSheetId="0">#REF!</definedName>
    <definedName name="PCHCKSERIESALL" localSheetId="5">#REF!</definedName>
    <definedName name="PCHCKSERIESALL" localSheetId="4">#REF!</definedName>
    <definedName name="PCHCKSERIESALL">#REF!</definedName>
    <definedName name="PCHCKX" localSheetId="0">[5]ATRUCK!#REF!</definedName>
    <definedName name="PCHCKX" localSheetId="5">[5]ATRUCK!#REF!</definedName>
    <definedName name="PCHCKX" localSheetId="4">[5]ATRUCK!#REF!</definedName>
    <definedName name="PCHCKX">[5]ATRUCK!#REF!</definedName>
    <definedName name="PCHELCAM" localSheetId="0">[5]ATRUCK!#REF!</definedName>
    <definedName name="PCHELCAM" localSheetId="5">[5]ATRUCK!#REF!</definedName>
    <definedName name="PCHELCAM" localSheetId="4">[5]ATRUCK!#REF!</definedName>
    <definedName name="PCHELCAM">[5]ATRUCK!#REF!</definedName>
    <definedName name="PCHEVROLET" localSheetId="0">[5]ATRUCK!#REF!</definedName>
    <definedName name="PCHEVROLET" localSheetId="5">[5]ATRUCK!#REF!</definedName>
    <definedName name="PCHEVROLET" localSheetId="4">[5]ATRUCK!#REF!</definedName>
    <definedName name="PCHEVROLET">[5]ATRUCK!#REF!</definedName>
    <definedName name="PChevroletCarTotal" localSheetId="0">#REF!</definedName>
    <definedName name="PChevroletCarTotal" localSheetId="5">#REF!</definedName>
    <definedName name="PChevroletCarTotal" localSheetId="4">#REF!</definedName>
    <definedName name="PChevroletCarTotal">#REF!</definedName>
    <definedName name="PCHEVROLETTOTAL" localSheetId="0">#REF!</definedName>
    <definedName name="PCHEVROLETTOTAL" localSheetId="5">#REF!</definedName>
    <definedName name="PCHEVROLETTOTAL" localSheetId="4">#REF!</definedName>
    <definedName name="PCHEVROLETTOTAL">#REF!</definedName>
    <definedName name="PChevroletTruckTotal" localSheetId="0">#REF!</definedName>
    <definedName name="PChevroletTruckTotal" localSheetId="5">#REF!</definedName>
    <definedName name="PChevroletTruckTotal" localSheetId="4">#REF!</definedName>
    <definedName name="PChevroletTruckTotal">#REF!</definedName>
    <definedName name="PCHEXPC" localSheetId="0">[5]ATRUCK!#REF!</definedName>
    <definedName name="PCHEXPC" localSheetId="5">[5]ATRUCK!#REF!</definedName>
    <definedName name="PCHEXPC" localSheetId="4">[5]ATRUCK!#REF!</definedName>
    <definedName name="PCHEXPC">[5]ATRUCK!#REF!</definedName>
    <definedName name="PCHEXPP" localSheetId="0">[5]ATRUCK!#REF!</definedName>
    <definedName name="PCHEXPP" localSheetId="5">[5]ATRUCK!#REF!</definedName>
    <definedName name="PCHEXPP" localSheetId="4">[5]ATRUCK!#REF!</definedName>
    <definedName name="PCHEXPP">[5]ATRUCK!#REF!</definedName>
    <definedName name="PCHEXPRESSALL" localSheetId="0">#REF!</definedName>
    <definedName name="PCHEXPRESSALL" localSheetId="5">#REF!</definedName>
    <definedName name="PCHEXPRESSALL" localSheetId="4">#REF!</definedName>
    <definedName name="PCHEXPRESSALL">#REF!</definedName>
    <definedName name="PCHLUMINAALL" localSheetId="0">#REF!</definedName>
    <definedName name="PCHLUMINAALL" localSheetId="5">#REF!</definedName>
    <definedName name="PCHLUMINAALL" localSheetId="4">#REF!</definedName>
    <definedName name="PCHLUMINAALL">#REF!</definedName>
    <definedName name="PCHLUMINAC" localSheetId="0">[5]ATRUCK!#REF!</definedName>
    <definedName name="PCHLUMINAC" localSheetId="5">[5]ATRUCK!#REF!</definedName>
    <definedName name="PCHLUMINAC" localSheetId="4">[5]ATRUCK!#REF!</definedName>
    <definedName name="PCHLUMINAC">[5]ATRUCK!#REF!</definedName>
    <definedName name="PCHRPT" localSheetId="0">[5]ATRUCK!#REF!</definedName>
    <definedName name="PCHRPT" localSheetId="5">[5]ATRUCK!#REF!</definedName>
    <definedName name="PCHRPT" localSheetId="4">[5]ATRUCK!#REF!</definedName>
    <definedName name="PCHRPT">[5]ATRUCK!#REF!</definedName>
    <definedName name="PCHRYSLER" localSheetId="0">[5]ATRUCK!#REF!</definedName>
    <definedName name="PCHRYSLER" localSheetId="5">[5]ATRUCK!#REF!</definedName>
    <definedName name="PCHRYSLER" localSheetId="4">[5]ATRUCK!#REF!</definedName>
    <definedName name="PCHRYSLER">[5]ATRUCK!#REF!</definedName>
    <definedName name="PCHRYSLERGRANDTOTAL" localSheetId="0">#REF!</definedName>
    <definedName name="PCHRYSLERGRANDTOTAL" localSheetId="5">#REF!</definedName>
    <definedName name="PCHRYSLERGRANDTOTAL" localSheetId="4">#REF!</definedName>
    <definedName name="PCHRYSLERGRANDTOTAL">#REF!</definedName>
    <definedName name="PCHRYSLERTOTAL" localSheetId="0">#REF!</definedName>
    <definedName name="PCHRYSLERTOTAL" localSheetId="5">#REF!</definedName>
    <definedName name="PCHRYSLERTOTAL" localSheetId="4">#REF!</definedName>
    <definedName name="PCHRYSLERTOTAL">#REF!</definedName>
    <definedName name="PCHRYTOTAL" localSheetId="0">#REF!</definedName>
    <definedName name="PCHRYTOTAL" localSheetId="5">#REF!</definedName>
    <definedName name="PCHRYTOTAL" localSheetId="4">#REF!</definedName>
    <definedName name="PCHRYTOTAL">#REF!</definedName>
    <definedName name="PCHS10PUALL" localSheetId="0">#REF!</definedName>
    <definedName name="PCHS10PUALL" localSheetId="5">#REF!</definedName>
    <definedName name="PCHS10PUALL" localSheetId="4">#REF!</definedName>
    <definedName name="PCHS10PUALL">#REF!</definedName>
    <definedName name="PCHS10R" localSheetId="0">[5]ATRUCK!#REF!</definedName>
    <definedName name="PCHS10R" localSheetId="5">[5]ATRUCK!#REF!</definedName>
    <definedName name="PCHS10R" localSheetId="4">[5]ATRUCK!#REF!</definedName>
    <definedName name="PCHS10R">[5]ATRUCK!#REF!</definedName>
    <definedName name="PCHS10X" localSheetId="0">[5]ATRUCK!#REF!</definedName>
    <definedName name="PCHS10X" localSheetId="5">[5]ATRUCK!#REF!</definedName>
    <definedName name="PCHS10X" localSheetId="4">[5]ATRUCK!#REF!</definedName>
    <definedName name="PCHS10X">[5]ATRUCK!#REF!</definedName>
    <definedName name="PCHSUBURB" localSheetId="0">[5]ATRUCK!#REF!</definedName>
    <definedName name="PCHSUBURB" localSheetId="5">[5]ATRUCK!#REF!</definedName>
    <definedName name="PCHSUBURB" localSheetId="4">[5]ATRUCK!#REF!</definedName>
    <definedName name="PCHSUBURB">[5]ATRUCK!#REF!</definedName>
    <definedName name="PCHTAHOE" localSheetId="0">[5]ATRUCK!#REF!</definedName>
    <definedName name="PCHTAHOE" localSheetId="5">[5]ATRUCK!#REF!</definedName>
    <definedName name="PCHTAHOE" localSheetId="4">[5]ATRUCK!#REF!</definedName>
    <definedName name="PCHTAHOE">[5]ATRUCK!#REF!</definedName>
    <definedName name="PCHTAHOE4" localSheetId="0">[5]ATRUCK!#REF!</definedName>
    <definedName name="PCHTAHOE4" localSheetId="5">[5]ATRUCK!#REF!</definedName>
    <definedName name="PCHTAHOE4" localSheetId="4">[5]ATRUCK!#REF!</definedName>
    <definedName name="PCHTAHOE4">[5]ATRUCK!#REF!</definedName>
    <definedName name="PCHTAHOEALL" localSheetId="0">#REF!</definedName>
    <definedName name="PCHTAHOEALL" localSheetId="5">#REF!</definedName>
    <definedName name="PCHTAHOEALL" localSheetId="4">#REF!</definedName>
    <definedName name="PCHTAHOEALL">#REF!</definedName>
    <definedName name="PCHTRACK" localSheetId="0">[5]ATRUCK!#REF!</definedName>
    <definedName name="PCHTRACK" localSheetId="5">[5]ATRUCK!#REF!</definedName>
    <definedName name="PCHTRACK" localSheetId="4">[5]ATRUCK!#REF!</definedName>
    <definedName name="PCHTRACK">[5]ATRUCK!#REF!</definedName>
    <definedName name="PCHTRACK4" localSheetId="0">[5]ATRUCK!#REF!</definedName>
    <definedName name="PCHTRACK4" localSheetId="5">[5]ATRUCK!#REF!</definedName>
    <definedName name="PCHTRACK4" localSheetId="4">[5]ATRUCK!#REF!</definedName>
    <definedName name="PCHTRACK4">[5]ATRUCK!#REF!</definedName>
    <definedName name="PCHTRACKALL" localSheetId="0">#REF!</definedName>
    <definedName name="PCHTRACKALL" localSheetId="5">#REF!</definedName>
    <definedName name="PCHTRACKALL" localSheetId="4">#REF!</definedName>
    <definedName name="PCHTRACKALL">#REF!</definedName>
    <definedName name="PCHVENTP" localSheetId="0">[5]ATRUCK!#REF!</definedName>
    <definedName name="PCHVENTP" localSheetId="5">[5]ATRUCK!#REF!</definedName>
    <definedName name="PCHVENTP" localSheetId="4">[5]ATRUCK!#REF!</definedName>
    <definedName name="PCHVENTP">[5]ATRUCK!#REF!</definedName>
    <definedName name="PCPU4C" localSheetId="0">[5]ATRUCK!#REF!</definedName>
    <definedName name="PCPU4C" localSheetId="5">[5]ATRUCK!#REF!</definedName>
    <definedName name="PCPU4C" localSheetId="4">[5]ATRUCK!#REF!</definedName>
    <definedName name="PCPU4C">[5]ATRUCK!#REF!</definedName>
    <definedName name="PCPU4DR" localSheetId="0">[5]ATRUCK!#REF!</definedName>
    <definedName name="PCPU4DR" localSheetId="5">[5]ATRUCK!#REF!</definedName>
    <definedName name="PCPU4DR" localSheetId="4">[5]ATRUCK!#REF!</definedName>
    <definedName name="PCPU4DR">[5]ATRUCK!#REF!</definedName>
    <definedName name="PCPUEC" localSheetId="0">[5]ATRUCK!#REF!</definedName>
    <definedName name="PCPUEC" localSheetId="5">[5]ATRUCK!#REF!</definedName>
    <definedName name="PCPUEC" localSheetId="4">[5]ATRUCK!#REF!</definedName>
    <definedName name="PCPUEC">[5]ATRUCK!#REF!</definedName>
    <definedName name="PCPURC" localSheetId="0">[5]ATRUCK!#REF!</definedName>
    <definedName name="PCPURC" localSheetId="5">[5]ATRUCK!#REF!</definedName>
    <definedName name="PCPURC" localSheetId="4">[5]ATRUCK!#REF!</definedName>
    <definedName name="PCPURC">[5]ATRUCK!#REF!</definedName>
    <definedName name="PCPUTOTAL" localSheetId="0">[5]ATRUCK!#REF!</definedName>
    <definedName name="PCPUTOTAL" localSheetId="5">[5]ATRUCK!#REF!</definedName>
    <definedName name="PCPUTOTAL" localSheetId="4">[5]ATRUCK!#REF!</definedName>
    <definedName name="PCPUTOTAL">[5]ATRUCK!#REF!</definedName>
    <definedName name="PCRYTC" localSheetId="0">[5]ATRUCK!#REF!</definedName>
    <definedName name="PCRYTC" localSheetId="5">[5]ATRUCK!#REF!</definedName>
    <definedName name="PCRYTC" localSheetId="4">[5]ATRUCK!#REF!</definedName>
    <definedName name="PCRYTC">[5]ATRUCK!#REF!</definedName>
    <definedName name="PCV" localSheetId="0">[5]ATRUCK!#REF!</definedName>
    <definedName name="PCV" localSheetId="5">[5]ATRUCK!#REF!</definedName>
    <definedName name="PCV" localSheetId="4">[5]ATRUCK!#REF!</definedName>
    <definedName name="PCV">[5]ATRUCK!#REF!</definedName>
    <definedName name="PCVBLAZ" localSheetId="0">[5]ATRUCK!#REF!</definedName>
    <definedName name="PCVBLAZ" localSheetId="5">[5]ATRUCK!#REF!</definedName>
    <definedName name="PCVBLAZ" localSheetId="4">[5]ATRUCK!#REF!</definedName>
    <definedName name="PCVBLAZ">[5]ATRUCK!#REF!</definedName>
    <definedName name="PCVFSPUALL" localSheetId="0">#REF!</definedName>
    <definedName name="PCVFSPUALL" localSheetId="5">#REF!</definedName>
    <definedName name="PCVFSPUALL" localSheetId="4">#REF!</definedName>
    <definedName name="PCVFSPUALL">#REF!</definedName>
    <definedName name="PCVTOTAL" localSheetId="0">[5]ATRUCK!#REF!</definedName>
    <definedName name="PCVTOTAL" localSheetId="5">[5]ATRUCK!#REF!</definedName>
    <definedName name="PCVTOTAL" localSheetId="4">[5]ATRUCK!#REF!</definedName>
    <definedName name="PCVTOTAL">[5]ATRUCK!#REF!</definedName>
    <definedName name="PDAEKORAN" localSheetId="0">[5]ATRUCK!#REF!</definedName>
    <definedName name="PDAEKORAN" localSheetId="5">[5]ATRUCK!#REF!</definedName>
    <definedName name="PDAEKORAN" localSheetId="4">[5]ATRUCK!#REF!</definedName>
    <definedName name="PDAEKORAN">[5]ATRUCK!#REF!</definedName>
    <definedName name="PDAEWOO" localSheetId="0">[5]ATRUCK!#REF!</definedName>
    <definedName name="PDAEWOO" localSheetId="5">[5]ATRUCK!#REF!</definedName>
    <definedName name="PDAEWOO" localSheetId="4">[5]ATRUCK!#REF!</definedName>
    <definedName name="PDAEWOO">[5]ATRUCK!#REF!</definedName>
    <definedName name="PDAEWOOTOTAL" localSheetId="0">#REF!</definedName>
    <definedName name="PDAEWOOTOTAL" localSheetId="5">#REF!</definedName>
    <definedName name="PDAEWOOTOTAL" localSheetId="4">#REF!</definedName>
    <definedName name="PDAEWOOTOTAL">#REF!</definedName>
    <definedName name="PDAIHATSU" localSheetId="0">[5]ATRUCK!#REF!</definedName>
    <definedName name="PDAIHATSU" localSheetId="5">[5]ATRUCK!#REF!</definedName>
    <definedName name="PDAIHATSU" localSheetId="4">[5]ATRUCK!#REF!</definedName>
    <definedName name="PDAIHATSU">[5]ATRUCK!#REF!</definedName>
    <definedName name="PDAIHATSUTOTAL" localSheetId="0">#REF!</definedName>
    <definedName name="PDAIHATSUTOTAL" localSheetId="5">#REF!</definedName>
    <definedName name="PDAIHATSUTOTAL" localSheetId="4">#REF!</definedName>
    <definedName name="PDAIHATSUTOTAL">#REF!</definedName>
    <definedName name="PDAIROCKY" localSheetId="0">[5]ATRUCK!#REF!</definedName>
    <definedName name="PDAIROCKY" localSheetId="5">[5]ATRUCK!#REF!</definedName>
    <definedName name="PDAIROCKY" localSheetId="4">[5]ATRUCK!#REF!</definedName>
    <definedName name="PDAIROCKY">[5]ATRUCK!#REF!</definedName>
    <definedName name="PDG50ALL" localSheetId="0">#REF!</definedName>
    <definedName name="PDG50ALL" localSheetId="5">#REF!</definedName>
    <definedName name="PDG50ALL" localSheetId="4">#REF!</definedName>
    <definedName name="PDG50ALL">#REF!</definedName>
    <definedName name="PDG50R" localSheetId="0">[5]ATRUCK!#REF!</definedName>
    <definedName name="PDG50R" localSheetId="5">[5]ATRUCK!#REF!</definedName>
    <definedName name="PDG50R" localSheetId="4">[5]ATRUCK!#REF!</definedName>
    <definedName name="PDG50R">[5]ATRUCK!#REF!</definedName>
    <definedName name="PDG50X" localSheetId="0">[5]ATRUCK!#REF!</definedName>
    <definedName name="PDG50X" localSheetId="5">[5]ATRUCK!#REF!</definedName>
    <definedName name="PDG50X" localSheetId="4">[5]ATRUCK!#REF!</definedName>
    <definedName name="PDG50X">[5]ATRUCK!#REF!</definedName>
    <definedName name="PDGCARAVALL" localSheetId="0">#REF!</definedName>
    <definedName name="PDGCARAVALL" localSheetId="5">#REF!</definedName>
    <definedName name="PDGCARAVALL" localSheetId="4">#REF!</definedName>
    <definedName name="PDGCARAVALL">#REF!</definedName>
    <definedName name="PDGCARAVANC" localSheetId="0">[5]ATRUCK!#REF!</definedName>
    <definedName name="PDGCARAVANC" localSheetId="5">[5]ATRUCK!#REF!</definedName>
    <definedName name="PDGCARAVANC" localSheetId="4">[5]ATRUCK!#REF!</definedName>
    <definedName name="PDGCARAVANC">[5]ATRUCK!#REF!</definedName>
    <definedName name="PDGCARAVANP" localSheetId="0">[5]ATRUCK!#REF!</definedName>
    <definedName name="PDGCARAVANP" localSheetId="5">[5]ATRUCK!#REF!</definedName>
    <definedName name="PDGCARAVANP" localSheetId="4">[5]ATRUCK!#REF!</definedName>
    <definedName name="PDGCARAVANP">[5]ATRUCK!#REF!</definedName>
    <definedName name="PDGDAKOTAALL" localSheetId="0">#REF!</definedName>
    <definedName name="PDGDAKOTAALL" localSheetId="5">#REF!</definedName>
    <definedName name="PDGDAKOTAALL" localSheetId="4">#REF!</definedName>
    <definedName name="PDGDAKOTAALL">#REF!</definedName>
    <definedName name="PDGDAKOTANUALL" localSheetId="0">#REF!</definedName>
    <definedName name="PDGDAKOTANUALL" localSheetId="5">#REF!</definedName>
    <definedName name="PDGDAKOTANUALL" localSheetId="4">#REF!</definedName>
    <definedName name="PDGDAKOTANUALL">#REF!</definedName>
    <definedName name="PDGDAKOTAR" localSheetId="0">[5]ATRUCK!#REF!</definedName>
    <definedName name="PDGDAKOTAR" localSheetId="5">[5]ATRUCK!#REF!</definedName>
    <definedName name="PDGDAKOTAR" localSheetId="4">[5]ATRUCK!#REF!</definedName>
    <definedName name="PDGDAKOTAR">[5]ATRUCK!#REF!</definedName>
    <definedName name="PDGDAKOTARNU" localSheetId="0">[5]ATRUCK!#REF!</definedName>
    <definedName name="PDGDAKOTARNU" localSheetId="5">[5]ATRUCK!#REF!</definedName>
    <definedName name="PDGDAKOTARNU" localSheetId="4">[5]ATRUCK!#REF!</definedName>
    <definedName name="PDGDAKOTARNU">[5]ATRUCK!#REF!</definedName>
    <definedName name="PDGDAKOTAX" localSheetId="0">[5]ATRUCK!#REF!</definedName>
    <definedName name="PDGDAKOTAX" localSheetId="5">[5]ATRUCK!#REF!</definedName>
    <definedName name="PDGDAKOTAX" localSheetId="4">[5]ATRUCK!#REF!</definedName>
    <definedName name="PDGDAKOTAX">[5]ATRUCK!#REF!</definedName>
    <definedName name="PDGDAKOTAXNU" localSheetId="0">[5]ATRUCK!#REF!</definedName>
    <definedName name="PDGDAKOTAXNU" localSheetId="5">[5]ATRUCK!#REF!</definedName>
    <definedName name="PDGDAKOTAXNU" localSheetId="4">[5]ATRUCK!#REF!</definedName>
    <definedName name="PDGDAKOTAXNU">[5]ATRUCK!#REF!</definedName>
    <definedName name="PDGDURANGO" localSheetId="0">[5]ATRUCK!#REF!</definedName>
    <definedName name="PDGDURANGO" localSheetId="5">[5]ATRUCK!#REF!</definedName>
    <definedName name="PDGDURANGO" localSheetId="4">[5]ATRUCK!#REF!</definedName>
    <definedName name="PDGDURANGO">[5]ATRUCK!#REF!</definedName>
    <definedName name="PDGRAID" localSheetId="0">[5]ATRUCK!#REF!</definedName>
    <definedName name="PDGRAID" localSheetId="5">[5]ATRUCK!#REF!</definedName>
    <definedName name="PDGRAID" localSheetId="4">[5]ATRUCK!#REF!</definedName>
    <definedName name="PDGRAID">[5]ATRUCK!#REF!</definedName>
    <definedName name="PDGRAMALL" localSheetId="0">#REF!</definedName>
    <definedName name="PDGRAMALL" localSheetId="5">#REF!</definedName>
    <definedName name="PDGRAMALL" localSheetId="4">#REF!</definedName>
    <definedName name="PDGRAMALL">#REF!</definedName>
    <definedName name="PDGRAMC" localSheetId="0">[5]ATRUCK!#REF!</definedName>
    <definedName name="PDGRAMC" localSheetId="5">[5]ATRUCK!#REF!</definedName>
    <definedName name="PDGRAMC" localSheetId="4">[5]ATRUCK!#REF!</definedName>
    <definedName name="PDGRAMC">[5]ATRUCK!#REF!</definedName>
    <definedName name="PDGRAMCHARG" localSheetId="0">[5]ATRUCK!#REF!</definedName>
    <definedName name="PDGRAMCHARG" localSheetId="5">[5]ATRUCK!#REF!</definedName>
    <definedName name="PDGRAMCHARG" localSheetId="4">[5]ATRUCK!#REF!</definedName>
    <definedName name="PDGRAMCHARG">[5]ATRUCK!#REF!</definedName>
    <definedName name="PDGRAMP" localSheetId="0">[5]ATRUCK!#REF!</definedName>
    <definedName name="PDGRAMP" localSheetId="5">[5]ATRUCK!#REF!</definedName>
    <definedName name="PDGRAMP" localSheetId="4">[5]ATRUCK!#REF!</definedName>
    <definedName name="PDGRAMP">[5]ATRUCK!#REF!</definedName>
    <definedName name="PDGRAMR" localSheetId="0">[5]ATRUCK!#REF!</definedName>
    <definedName name="PDGRAMR" localSheetId="5">[5]ATRUCK!#REF!</definedName>
    <definedName name="PDGRAMR" localSheetId="4">[5]ATRUCK!#REF!</definedName>
    <definedName name="PDGRAMR">[5]ATRUCK!#REF!</definedName>
    <definedName name="PDGRAMVAN" localSheetId="0">#REF!</definedName>
    <definedName name="PDGRAMVAN" localSheetId="5">#REF!</definedName>
    <definedName name="PDGRAMVAN" localSheetId="4">#REF!</definedName>
    <definedName name="PDGRAMVAN">#REF!</definedName>
    <definedName name="PDGRAMX" localSheetId="0">[5]ATRUCK!#REF!</definedName>
    <definedName name="PDGRAMX" localSheetId="5">[5]ATRUCK!#REF!</definedName>
    <definedName name="PDGRAMX" localSheetId="4">[5]ATRUCK!#REF!</definedName>
    <definedName name="PDGRAMX">[5]ATRUCK!#REF!</definedName>
    <definedName name="PDODGE" localSheetId="0">[5]ATRUCK!#REF!</definedName>
    <definedName name="PDODGE" localSheetId="5">[5]ATRUCK!#REF!</definedName>
    <definedName name="PDODGE" localSheetId="4">[5]ATRUCK!#REF!</definedName>
    <definedName name="PDODGE">[5]ATRUCK!#REF!</definedName>
    <definedName name="PDodgeCarTotal" localSheetId="0">#REF!</definedName>
    <definedName name="PDodgeCarTotal" localSheetId="5">#REF!</definedName>
    <definedName name="PDodgeCarTotal" localSheetId="4">#REF!</definedName>
    <definedName name="PDodgeCarTotal">#REF!</definedName>
    <definedName name="PDODGETOTAL" localSheetId="0">#REF!</definedName>
    <definedName name="PDODGETOTAL" localSheetId="5">#REF!</definedName>
    <definedName name="PDODGETOTAL" localSheetId="4">#REF!</definedName>
    <definedName name="PDODGETOTAL">#REF!</definedName>
    <definedName name="PDodgeTruckTotal" localSheetId="0">#REF!</definedName>
    <definedName name="PDodgeTruckTotal" localSheetId="5">#REF!</definedName>
    <definedName name="PDodgeTruckTotal" localSheetId="4">#REF!</definedName>
    <definedName name="PDodgeTruckTotal">#REF!</definedName>
    <definedName name="PDOGSEQ" localSheetId="0">[5]ATRUCK!#REF!</definedName>
    <definedName name="PDOGSEQ" localSheetId="5">[5]ATRUCK!#REF!</definedName>
    <definedName name="PDOGSEQ" localSheetId="4">[5]ATRUCK!#REF!</definedName>
    <definedName name="PDOGSEQ">[5]ATRUCK!#REF!</definedName>
    <definedName name="PDOMESTOT" localSheetId="0">[5]ATRUCK!#REF!</definedName>
    <definedName name="PDOMESTOT" localSheetId="5">[5]ATRUCK!#REF!</definedName>
    <definedName name="PDOMESTOT" localSheetId="4">[5]ATRUCK!#REF!</definedName>
    <definedName name="PDOMESTOT">[5]ATRUCK!#REF!</definedName>
    <definedName name="PDW100P" localSheetId="0">[5]ATRUCK!#REF!</definedName>
    <definedName name="PDW100P" localSheetId="5">[5]ATRUCK!#REF!</definedName>
    <definedName name="PDW100P" localSheetId="4">[5]ATRUCK!#REF!</definedName>
    <definedName name="PDW100P">[5]ATRUCK!#REF!</definedName>
    <definedName name="PEAGLETOTAL" localSheetId="0">#REF!</definedName>
    <definedName name="PEAGLETOTAL" localSheetId="5">#REF!</definedName>
    <definedName name="PEAGLETOTAL" localSheetId="4">#REF!</definedName>
    <definedName name="PEAGLETOTAL">#REF!</definedName>
    <definedName name="PECO2CP" localSheetId="0">[4]ACARS!#REF!</definedName>
    <definedName name="PECO2CP" localSheetId="5">[4]ACARS!#REF!</definedName>
    <definedName name="PECO2CP" localSheetId="4">[4]ACARS!#REF!</definedName>
    <definedName name="PECO2CP">[4]ACARS!#REF!</definedName>
    <definedName name="PECO3CP" localSheetId="0">[4]ACARS!#REF!</definedName>
    <definedName name="PECO3CP" localSheetId="5">[4]ACARS!#REF!</definedName>
    <definedName name="PECO3CP" localSheetId="4">[4]ACARS!#REF!</definedName>
    <definedName name="PECO3CP">[4]ACARS!#REF!</definedName>
    <definedName name="PECO3HB" localSheetId="0">[4]ACARS!#REF!</definedName>
    <definedName name="PECO3HB" localSheetId="5">[4]ACARS!#REF!</definedName>
    <definedName name="PECO3HB" localSheetId="4">[4]ACARS!#REF!</definedName>
    <definedName name="PECO3HB">[4]ACARS!#REF!</definedName>
    <definedName name="PECO4" localSheetId="0">[4]ACARS!#REF!</definedName>
    <definedName name="PECO4" localSheetId="5">[4]ACARS!#REF!</definedName>
    <definedName name="PECO4" localSheetId="4">[4]ACARS!#REF!</definedName>
    <definedName name="PECO4">[4]ACARS!#REF!</definedName>
    <definedName name="PECO4SD" localSheetId="0">[4]ACARS!#REF!</definedName>
    <definedName name="PECO4SD" localSheetId="5">[4]ACARS!#REF!</definedName>
    <definedName name="PECO4SD" localSheetId="4">[4]ACARS!#REF!</definedName>
    <definedName name="PECO4SD">[4]ACARS!#REF!</definedName>
    <definedName name="PECO4WG" localSheetId="0">[4]ACARS!#REF!</definedName>
    <definedName name="PECO4WG" localSheetId="5">[4]ACARS!#REF!</definedName>
    <definedName name="PECO4WG" localSheetId="4">[4]ACARS!#REF!</definedName>
    <definedName name="PECO4WG">[4]ACARS!#REF!</definedName>
    <definedName name="PECO5HB" localSheetId="0">[4]ACARS!#REF!</definedName>
    <definedName name="PECO5HB" localSheetId="5">[4]ACARS!#REF!</definedName>
    <definedName name="PECO5HB" localSheetId="4">[4]ACARS!#REF!</definedName>
    <definedName name="PECO5HB">[4]ACARS!#REF!</definedName>
    <definedName name="per" localSheetId="0">#REF!</definedName>
    <definedName name="per" localSheetId="5">#REF!</definedName>
    <definedName name="per" localSheetId="4">#REF!</definedName>
    <definedName name="per">#REF!</definedName>
    <definedName name="PERCENT_OF_CHRYSLER_TOTAL" localSheetId="0">#REF!</definedName>
    <definedName name="PERCENT_OF_CHRYSLER_TOTAL" localSheetId="5">#REF!</definedName>
    <definedName name="PERCENT_OF_CHRYSLER_TOTAL" localSheetId="4">#REF!</definedName>
    <definedName name="PERCENT_OF_CHRYSLER_TOTAL">#REF!</definedName>
    <definedName name="PERCENT_OF_FORD_TOTAL" localSheetId="0">#REF!</definedName>
    <definedName name="PERCENT_OF_FORD_TOTAL" localSheetId="5">#REF!</definedName>
    <definedName name="PERCENT_OF_FORD_TOTAL" localSheetId="4">#REF!</definedName>
    <definedName name="PERCENT_OF_FORD_TOTAL">#REF!</definedName>
    <definedName name="Percent_of_Manufacturer_Total" localSheetId="0">#REF!</definedName>
    <definedName name="Percent_of_Manufacturer_Total" localSheetId="5">#REF!</definedName>
    <definedName name="Percent_of_Manufacturer_Total" localSheetId="4">#REF!</definedName>
    <definedName name="Percent_of_Manufacturer_Total">#REF!</definedName>
    <definedName name="PERCENT_OF_TOYOTA_TOTAL" localSheetId="0">#REF!</definedName>
    <definedName name="PERCENT_OF_TOYOTA_TOTAL" localSheetId="5">#REF!</definedName>
    <definedName name="PERCENT_OF_TOYOTA_TOTAL" localSheetId="4">#REF!</definedName>
    <definedName name="PERCENT_OF_TOYOTA_TOTAL">#REF!</definedName>
    <definedName name="Percentages" localSheetId="0">[5]ATRUCK!#REF!</definedName>
    <definedName name="Percentages" localSheetId="5">[5]ATRUCK!#REF!</definedName>
    <definedName name="Percentages" localSheetId="4">[5]ATRUCK!#REF!</definedName>
    <definedName name="Percentages">[5]ATRUCK!#REF!</definedName>
    <definedName name="Period">'[12]ESM ver2'!$C$6</definedName>
    <definedName name="PEUG405ALL" localSheetId="0">#REF!</definedName>
    <definedName name="PEUG405ALL" localSheetId="5">#REF!</definedName>
    <definedName name="PEUG405ALL" localSheetId="4">#REF!</definedName>
    <definedName name="PEUG405ALL">#REF!</definedName>
    <definedName name="PEUG505ALL" localSheetId="0">#REF!</definedName>
    <definedName name="PEUG505ALL" localSheetId="5">#REF!</definedName>
    <definedName name="PEUG505ALL" localSheetId="4">#REF!</definedName>
    <definedName name="PEUG505ALL">#REF!</definedName>
    <definedName name="PEUGEOTTOTAL" localSheetId="0">#REF!</definedName>
    <definedName name="PEUGEOTTOTAL" localSheetId="5">#REF!</definedName>
    <definedName name="PEUGEOTTOTAL" localSheetId="4">#REF!</definedName>
    <definedName name="PEUGEOTTOTAL">#REF!</definedName>
    <definedName name="PEUROTOT" localSheetId="0">[5]ATRUCK!#REF!</definedName>
    <definedName name="PEUROTOT" localSheetId="5">[5]ATRUCK!#REF!</definedName>
    <definedName name="PEUROTOT" localSheetId="4">[5]ATRUCK!#REF!</definedName>
    <definedName name="PEUROTOT">[5]ATRUCK!#REF!</definedName>
    <definedName name="PFD150X" localSheetId="0">[5]ATRUCK!#REF!</definedName>
    <definedName name="PFD150X" localSheetId="5">[5]ATRUCK!#REF!</definedName>
    <definedName name="PFD150X" localSheetId="4">[5]ATRUCK!#REF!</definedName>
    <definedName name="PFD150X">[5]ATRUCK!#REF!</definedName>
    <definedName name="PFDAEROALL" localSheetId="0">#REF!</definedName>
    <definedName name="PFDAEROALL" localSheetId="5">#REF!</definedName>
    <definedName name="PFDAEROALL" localSheetId="4">#REF!</definedName>
    <definedName name="PFDAEROALL">#REF!</definedName>
    <definedName name="PFDAEROC" localSheetId="0">[5]ATRUCK!#REF!</definedName>
    <definedName name="PFDAEROC" localSheetId="5">[5]ATRUCK!#REF!</definedName>
    <definedName name="PFDAEROC" localSheetId="4">[5]ATRUCK!#REF!</definedName>
    <definedName name="PFDAEROC">[5]ATRUCK!#REF!</definedName>
    <definedName name="PFDAEROP" localSheetId="0">[5]ATRUCK!#REF!</definedName>
    <definedName name="PFDAEROP" localSheetId="5">[5]ATRUCK!#REF!</definedName>
    <definedName name="PFDAEROP" localSheetId="4">[5]ATRUCK!#REF!</definedName>
    <definedName name="PFDAEROP">[5]ATRUCK!#REF!</definedName>
    <definedName name="PFDBRONCO" localSheetId="0">[5]ATRUCK!#REF!</definedName>
    <definedName name="PFDBRONCO" localSheetId="5">[5]ATRUCK!#REF!</definedName>
    <definedName name="PFDBRONCO" localSheetId="4">[5]ATRUCK!#REF!</definedName>
    <definedName name="PFDBRONCO">[5]ATRUCK!#REF!</definedName>
    <definedName name="PFDCLUB" localSheetId="0">[5]ATRUCK!#REF!</definedName>
    <definedName name="PFDCLUB" localSheetId="5">[5]ATRUCK!#REF!</definedName>
    <definedName name="PFDCLUB" localSheetId="4">[5]ATRUCK!#REF!</definedName>
    <definedName name="PFDCLUB">[5]ATRUCK!#REF!</definedName>
    <definedName name="PFDECON" localSheetId="0">[5]ATRUCK!#REF!</definedName>
    <definedName name="PFDECON" localSheetId="5">[5]ATRUCK!#REF!</definedName>
    <definedName name="PFDECON" localSheetId="4">[5]ATRUCK!#REF!</definedName>
    <definedName name="PFDECON">[5]ATRUCK!#REF!</definedName>
    <definedName name="PFDECONOALL" localSheetId="0">#REF!</definedName>
    <definedName name="PFDECONOALL" localSheetId="5">#REF!</definedName>
    <definedName name="PFDECONOALL" localSheetId="4">#REF!</definedName>
    <definedName name="PFDECONOALL">#REF!</definedName>
    <definedName name="PFDEXCUR" localSheetId="0">[5]ATRUCK!#REF!</definedName>
    <definedName name="PFDEXCUR" localSheetId="5">[5]ATRUCK!#REF!</definedName>
    <definedName name="PFDEXCUR" localSheetId="4">[5]ATRUCK!#REF!</definedName>
    <definedName name="PFDEXCUR">[5]ATRUCK!#REF!</definedName>
    <definedName name="PFDEXPED" localSheetId="0">[5]ATRUCK!#REF!</definedName>
    <definedName name="PFDEXPED" localSheetId="5">[5]ATRUCK!#REF!</definedName>
    <definedName name="PFDEXPED" localSheetId="4">[5]ATRUCK!#REF!</definedName>
    <definedName name="PFDEXPED">[5]ATRUCK!#REF!</definedName>
    <definedName name="PFDEXPEDALL" localSheetId="0">#REF!</definedName>
    <definedName name="PFDEXPEDALL" localSheetId="5">#REF!</definedName>
    <definedName name="PFDEXPEDALL" localSheetId="4">#REF!</definedName>
    <definedName name="PFDEXPEDALL">#REF!</definedName>
    <definedName name="PFDEXPLOR" localSheetId="0">[5]ATRUCK!#REF!</definedName>
    <definedName name="PFDEXPLOR" localSheetId="5">[5]ATRUCK!#REF!</definedName>
    <definedName name="PFDEXPLOR" localSheetId="4">[5]ATRUCK!#REF!</definedName>
    <definedName name="PFDEXPLOR">[5]ATRUCK!#REF!</definedName>
    <definedName name="PFDEXPLOR4" localSheetId="0">[5]ATRUCK!#REF!</definedName>
    <definedName name="PFDEXPLOR4" localSheetId="5">[5]ATRUCK!#REF!</definedName>
    <definedName name="PFDEXPLOR4" localSheetId="4">[5]ATRUCK!#REF!</definedName>
    <definedName name="PFDEXPLOR4">[5]ATRUCK!#REF!</definedName>
    <definedName name="PFDEXPLORALL" localSheetId="0">#REF!</definedName>
    <definedName name="PFDEXPLORALL" localSheetId="5">#REF!</definedName>
    <definedName name="PFDEXPLORALL" localSheetId="4">#REF!</definedName>
    <definedName name="PFDEXPLORALL">#REF!</definedName>
    <definedName name="PFDF150R" localSheetId="0">[5]ATRUCK!#REF!</definedName>
    <definedName name="PFDF150R" localSheetId="5">[5]ATRUCK!#REF!</definedName>
    <definedName name="PFDF150R" localSheetId="4">[5]ATRUCK!#REF!</definedName>
    <definedName name="PFDF150R">[5]ATRUCK!#REF!</definedName>
    <definedName name="PFDF150RALL" localSheetId="0">#REF!</definedName>
    <definedName name="PFDF150RALL" localSheetId="5">#REF!</definedName>
    <definedName name="PFDF150RALL" localSheetId="4">#REF!</definedName>
    <definedName name="PFDF150RALL">#REF!</definedName>
    <definedName name="PFDF150XALL" localSheetId="0">#REF!</definedName>
    <definedName name="PFDF150XALL" localSheetId="5">#REF!</definedName>
    <definedName name="PFDF150XALL" localSheetId="4">#REF!</definedName>
    <definedName name="PFDF150XALL">#REF!</definedName>
    <definedName name="PFDFSERIESALL" localSheetId="0">#REF!</definedName>
    <definedName name="PFDFSERIESALL" localSheetId="5">#REF!</definedName>
    <definedName name="PFDFSERIESALL" localSheetId="4">#REF!</definedName>
    <definedName name="PFDFSERIESALL">#REF!</definedName>
    <definedName name="PFDFSPUALL" localSheetId="0">#REF!</definedName>
    <definedName name="PFDFSPUALL" localSheetId="5">#REF!</definedName>
    <definedName name="PFDFSPUALL" localSheetId="4">#REF!</definedName>
    <definedName name="PFDFSPUALL">#REF!</definedName>
    <definedName name="PFDP225X" localSheetId="0">[5]ATRUCK!#REF!</definedName>
    <definedName name="PFDP225X" localSheetId="5">[5]ATRUCK!#REF!</definedName>
    <definedName name="PFDP225X" localSheetId="4">[5]ATRUCK!#REF!</definedName>
    <definedName name="PFDP225X">[5]ATRUCK!#REF!</definedName>
    <definedName name="PFDPHN131R" localSheetId="0">[5]ATRUCK!#REF!</definedName>
    <definedName name="PFDPHN131R" localSheetId="5">[5]ATRUCK!#REF!</definedName>
    <definedName name="PFDPHN131R" localSheetId="4">[5]ATRUCK!#REF!</definedName>
    <definedName name="PFDPHN131R">[5]ATRUCK!#REF!</definedName>
    <definedName name="PFDPHN131X" localSheetId="0">[5]ATRUCK!#REF!</definedName>
    <definedName name="PFDPHN131X" localSheetId="5">[5]ATRUCK!#REF!</definedName>
    <definedName name="PFDPHN131X" localSheetId="4">[5]ATRUCK!#REF!</definedName>
    <definedName name="PFDPHN131X">[5]ATRUCK!#REF!</definedName>
    <definedName name="PFDPN96R" localSheetId="0">[5]ATRUCK!#REF!</definedName>
    <definedName name="PFDPN96R" localSheetId="5">[5]ATRUCK!#REF!</definedName>
    <definedName name="PFDPN96R" localSheetId="4">[5]ATRUCK!#REF!</definedName>
    <definedName name="PFDPN96R">[5]ATRUCK!#REF!</definedName>
    <definedName name="PFDPN96X" localSheetId="0">[5]ATRUCK!#REF!</definedName>
    <definedName name="PFDPN96X" localSheetId="5">[5]ATRUCK!#REF!</definedName>
    <definedName name="PFDPN96X" localSheetId="4">[5]ATRUCK!#REF!</definedName>
    <definedName name="PFDPN96X">[5]ATRUCK!#REF!</definedName>
    <definedName name="PFDRANGALL" localSheetId="0">#REF!</definedName>
    <definedName name="PFDRANGALL" localSheetId="5">#REF!</definedName>
    <definedName name="PFDRANGALL" localSheetId="4">#REF!</definedName>
    <definedName name="PFDRANGALL">#REF!</definedName>
    <definedName name="PFDRANGER4" localSheetId="0">[5]ATRUCK!#REF!</definedName>
    <definedName name="PFDRANGER4" localSheetId="5">[5]ATRUCK!#REF!</definedName>
    <definedName name="PFDRANGER4" localSheetId="4">[5]ATRUCK!#REF!</definedName>
    <definedName name="PFDRANGER4">[5]ATRUCK!#REF!</definedName>
    <definedName name="PFDRANGERPLUS4" localSheetId="0">#REF!</definedName>
    <definedName name="PFDRANGERPLUS4" localSheetId="5">#REF!</definedName>
    <definedName name="PFDRANGERPLUS4" localSheetId="4">#REF!</definedName>
    <definedName name="PFDRANGERPLUS4">#REF!</definedName>
    <definedName name="PFDRANGERR" localSheetId="0">[5]ATRUCK!#REF!</definedName>
    <definedName name="PFDRANGERR" localSheetId="5">[5]ATRUCK!#REF!</definedName>
    <definedName name="PFDRANGERR" localSheetId="4">[5]ATRUCK!#REF!</definedName>
    <definedName name="PFDRANGERR">[5]ATRUCK!#REF!</definedName>
    <definedName name="PFDRANGERX" localSheetId="0">[5]ATRUCK!#REF!</definedName>
    <definedName name="PFDRANGERX" localSheetId="5">[5]ATRUCK!#REF!</definedName>
    <definedName name="PFDRANGERX" localSheetId="4">[5]ATRUCK!#REF!</definedName>
    <definedName name="PFDRANGERX">[5]ATRUCK!#REF!</definedName>
    <definedName name="PFDTOTAL" localSheetId="0">[5]ATRUCK!#REF!</definedName>
    <definedName name="PFDTOTAL" localSheetId="5">[5]ATRUCK!#REF!</definedName>
    <definedName name="PFDTOTAL" localSheetId="4">[5]ATRUCK!#REF!</definedName>
    <definedName name="PFDTOTAL">[5]ATRUCK!#REF!</definedName>
    <definedName name="PFDU204" localSheetId="0">[5]ATRUCK!#REF!</definedName>
    <definedName name="PFDU204" localSheetId="5">[5]ATRUCK!#REF!</definedName>
    <definedName name="PFDU204" localSheetId="4">[5]ATRUCK!#REF!</definedName>
    <definedName name="PFDU204">[5]ATRUCK!#REF!</definedName>
    <definedName name="PFDU207" localSheetId="0">[5]ATRUCK!#REF!</definedName>
    <definedName name="PFDU207" localSheetId="5">[5]ATRUCK!#REF!</definedName>
    <definedName name="PFDU207" localSheetId="4">[5]ATRUCK!#REF!</definedName>
    <definedName name="PFDU207">[5]ATRUCK!#REF!</definedName>
    <definedName name="PFDU2214" localSheetId="0">[5]ATRUCK!#REF!</definedName>
    <definedName name="PFDU2214" localSheetId="5">[5]ATRUCK!#REF!</definedName>
    <definedName name="PFDU2214" localSheetId="4">[5]ATRUCK!#REF!</definedName>
    <definedName name="PFDU2214">[5]ATRUCK!#REF!</definedName>
    <definedName name="PFDWINDALL" localSheetId="0">#REF!</definedName>
    <definedName name="PFDWINDALL" localSheetId="5">#REF!</definedName>
    <definedName name="PFDWINDALL" localSheetId="4">#REF!</definedName>
    <definedName name="PFDWINDALL">#REF!</definedName>
    <definedName name="PFDWINDC" localSheetId="0">[5]ATRUCK!#REF!</definedName>
    <definedName name="PFDWINDC" localSheetId="5">[5]ATRUCK!#REF!</definedName>
    <definedName name="PFDWINDC" localSheetId="4">[5]ATRUCK!#REF!</definedName>
    <definedName name="PFDWINDC">[5]ATRUCK!#REF!</definedName>
    <definedName name="PFDWINDP" localSheetId="0">[5]ATRUCK!#REF!</definedName>
    <definedName name="PFDWINDP" localSheetId="5">[5]ATRUCK!#REF!</definedName>
    <definedName name="PFDWINDP" localSheetId="4">[5]ATRUCK!#REF!</definedName>
    <definedName name="PFDWINDP">[5]ATRUCK!#REF!</definedName>
    <definedName name="PFORD" localSheetId="0">[5]ATRUCK!#REF!</definedName>
    <definedName name="PFORD" localSheetId="5">[5]ATRUCK!#REF!</definedName>
    <definedName name="PFORD" localSheetId="4">[5]ATRUCK!#REF!</definedName>
    <definedName name="PFORD">[5]ATRUCK!#REF!</definedName>
    <definedName name="PFordCarTotal" localSheetId="0">#REF!</definedName>
    <definedName name="PFordCarTotal" localSheetId="5">#REF!</definedName>
    <definedName name="PFordCarTotal" localSheetId="4">#REF!</definedName>
    <definedName name="PFordCarTotal">#REF!</definedName>
    <definedName name="PFORDGRANDTOTAL" localSheetId="0">#REF!</definedName>
    <definedName name="PFORDGRANDTOTAL" localSheetId="5">#REF!</definedName>
    <definedName name="PFORDGRANDTOTAL" localSheetId="4">#REF!</definedName>
    <definedName name="PFORDGRANDTOTAL">#REF!</definedName>
    <definedName name="PFORDTOTAL" localSheetId="0">#REF!</definedName>
    <definedName name="PFORDTOTAL" localSheetId="5">#REF!</definedName>
    <definedName name="PFORDTOTAL" localSheetId="4">#REF!</definedName>
    <definedName name="PFORDTOTAL">#REF!</definedName>
    <definedName name="PFordTruckTotal" localSheetId="0">#REF!</definedName>
    <definedName name="PFordTruckTotal" localSheetId="5">#REF!</definedName>
    <definedName name="PFordTruckTotal" localSheetId="4">#REF!</definedName>
    <definedName name="PFordTruckTotal">#REF!</definedName>
    <definedName name="PFORTOT" localSheetId="0">[5]ATRUCK!#REF!</definedName>
    <definedName name="PFORTOT" localSheetId="5">[5]ATRUCK!#REF!</definedName>
    <definedName name="PFORTOT" localSheetId="4">[5]ATRUCK!#REF!</definedName>
    <definedName name="PFORTOT">[5]ATRUCK!#REF!</definedName>
    <definedName name="PFSCV" localSheetId="0">[5]ATRUCK!#REF!</definedName>
    <definedName name="PFSCV" localSheetId="5">[5]ATRUCK!#REF!</definedName>
    <definedName name="PFSCV" localSheetId="4">[5]ATRUCK!#REF!</definedName>
    <definedName name="PFSCV">[5]ATRUCK!#REF!</definedName>
    <definedName name="PFSCVTOTAL" localSheetId="0">[5]ATRUCK!#REF!</definedName>
    <definedName name="PFSCVTOTAL" localSheetId="5">[5]ATRUCK!#REF!</definedName>
    <definedName name="PFSCVTOTAL" localSheetId="4">[5]ATRUCK!#REF!</definedName>
    <definedName name="PFSCVTOTAL">[5]ATRUCK!#REF!</definedName>
    <definedName name="PFSPU4DR" localSheetId="0">[5]ATRUCK!#REF!</definedName>
    <definedName name="PFSPU4DR" localSheetId="5">[5]ATRUCK!#REF!</definedName>
    <definedName name="PFSPU4DR" localSheetId="4">[5]ATRUCK!#REF!</definedName>
    <definedName name="PFSPU4DR">[5]ATRUCK!#REF!</definedName>
    <definedName name="PFSPUEC" localSheetId="0">[5]ATRUCK!#REF!</definedName>
    <definedName name="PFSPUEC" localSheetId="5">[5]ATRUCK!#REF!</definedName>
    <definedName name="PFSPUEC" localSheetId="4">[5]ATRUCK!#REF!</definedName>
    <definedName name="PFSPUEC">[5]ATRUCK!#REF!</definedName>
    <definedName name="PFSPURC" localSheetId="0">[5]ATRUCK!#REF!</definedName>
    <definedName name="PFSPURC" localSheetId="5">[5]ATRUCK!#REF!</definedName>
    <definedName name="PFSPURC" localSheetId="4">[5]ATRUCK!#REF!</definedName>
    <definedName name="PFSPURC">[5]ATRUCK!#REF!</definedName>
    <definedName name="PFSPUTOTAL" localSheetId="0">[5]ATRUCK!#REF!</definedName>
    <definedName name="PFSPUTOTAL" localSheetId="5">[5]ATRUCK!#REF!</definedName>
    <definedName name="PFSPUTOTAL" localSheetId="4">[5]ATRUCK!#REF!</definedName>
    <definedName name="PFSPUTOTAL">[5]ATRUCK!#REF!</definedName>
    <definedName name="PFSPV" localSheetId="0">[5]ATRUCK!#REF!</definedName>
    <definedName name="PFSPV" localSheetId="5">[5]ATRUCK!#REF!</definedName>
    <definedName name="PFSPV" localSheetId="4">[5]ATRUCK!#REF!</definedName>
    <definedName name="PFSPV">[5]ATRUCK!#REF!</definedName>
    <definedName name="PFSPVTOTAL" localSheetId="0">[5]ATRUCK!#REF!</definedName>
    <definedName name="PFSPVTOTAL" localSheetId="5">[5]ATRUCK!#REF!</definedName>
    <definedName name="PFSPVTOTAL" localSheetId="4">[5]ATRUCK!#REF!</definedName>
    <definedName name="PFSPVTOTAL">[5]ATRUCK!#REF!</definedName>
    <definedName name="PFSVANTOTAL" localSheetId="0">[5]ATRUCK!#REF!</definedName>
    <definedName name="PFSVANTOTAL" localSheetId="5">[5]ATRUCK!#REF!</definedName>
    <definedName name="PFSVANTOTAL" localSheetId="4">[5]ATRUCK!#REF!</definedName>
    <definedName name="PFSVANTOTAL">[5]ATRUCK!#REF!</definedName>
    <definedName name="PG">[23]Steuerblatt!$D$64:$D$88</definedName>
    <definedName name="PGMAV" localSheetId="0">#REF!</definedName>
    <definedName name="PGMAV" localSheetId="5">#REF!</definedName>
    <definedName name="PGMAV" localSheetId="4">#REF!</definedName>
    <definedName name="PGMAV">#REF!</definedName>
    <definedName name="PGMC" localSheetId="0">[5]ATRUCK!#REF!</definedName>
    <definedName name="PGMC" localSheetId="5">[5]ATRUCK!#REF!</definedName>
    <definedName name="PGMC" localSheetId="4">[5]ATRUCK!#REF!</definedName>
    <definedName name="PGMC">[5]ATRUCK!#REF!</definedName>
    <definedName name="PGMCCAB" localSheetId="0">[5]ATRUCK!#REF!</definedName>
    <definedName name="PGMCCAB" localSheetId="5">[5]ATRUCK!#REF!</definedName>
    <definedName name="PGMCCAB" localSheetId="4">[5]ATRUCK!#REF!</definedName>
    <definedName name="PGMCCAB">[5]ATRUCK!#REF!</definedName>
    <definedName name="PGMCENVW4" localSheetId="0">[5]ATRUCK!#REF!</definedName>
    <definedName name="PGMCENVW4" localSheetId="5">[5]ATRUCK!#REF!</definedName>
    <definedName name="PGMCENVW4" localSheetId="4">[5]ATRUCK!#REF!</definedName>
    <definedName name="PGMCENVW4">[5]ATRUCK!#REF!</definedName>
    <definedName name="PGMCJIM" localSheetId="0">[5]ATRUCK!#REF!</definedName>
    <definedName name="PGMCJIM" localSheetId="5">[5]ATRUCK!#REF!</definedName>
    <definedName name="PGMCJIM" localSheetId="4">[5]ATRUCK!#REF!</definedName>
    <definedName name="PGMCJIM">[5]ATRUCK!#REF!</definedName>
    <definedName name="PGMCJIM4" localSheetId="0">[5]ATRUCK!#REF!</definedName>
    <definedName name="PGMCJIM4" localSheetId="5">[5]ATRUCK!#REF!</definedName>
    <definedName name="PGMCJIM4" localSheetId="4">[5]ATRUCK!#REF!</definedName>
    <definedName name="PGMCJIM4">[5]ATRUCK!#REF!</definedName>
    <definedName name="PGMCJIMALL" localSheetId="0">#REF!</definedName>
    <definedName name="PGMCJIMALL" localSheetId="5">#REF!</definedName>
    <definedName name="PGMCJIMALL" localSheetId="4">#REF!</definedName>
    <definedName name="PGMCJIMALL">#REF!</definedName>
    <definedName name="PGMCSAFARIALL" localSheetId="0">#REF!</definedName>
    <definedName name="PGMCSAFARIALL" localSheetId="5">#REF!</definedName>
    <definedName name="PGMCSAFARIALL" localSheetId="4">#REF!</definedName>
    <definedName name="PGMCSAFARIALL">#REF!</definedName>
    <definedName name="PGMCSAFARIC" localSheetId="0">[5]ATRUCK!#REF!</definedName>
    <definedName name="PGMCSAFARIC" localSheetId="5">[5]ATRUCK!#REF!</definedName>
    <definedName name="PGMCSAFARIC" localSheetId="4">[5]ATRUCK!#REF!</definedName>
    <definedName name="PGMCSAFARIC">[5]ATRUCK!#REF!</definedName>
    <definedName name="PGMCSAFARIP" localSheetId="0">[5]ATRUCK!#REF!</definedName>
    <definedName name="PGMCSAFARIP" localSheetId="5">[5]ATRUCK!#REF!</definedName>
    <definedName name="PGMCSAFARIP" localSheetId="4">[5]ATRUCK!#REF!</definedName>
    <definedName name="PGMCSAFARIP">[5]ATRUCK!#REF!</definedName>
    <definedName name="PGMCSAVAC" localSheetId="0">[5]ATRUCK!#REF!</definedName>
    <definedName name="PGMCSAVAC" localSheetId="5">[5]ATRUCK!#REF!</definedName>
    <definedName name="PGMCSAVAC" localSheetId="4">[5]ATRUCK!#REF!</definedName>
    <definedName name="PGMCSAVAC">[5]ATRUCK!#REF!</definedName>
    <definedName name="PGMCSAVANAALL" localSheetId="0">#REF!</definedName>
    <definedName name="PGMCSAVANAALL" localSheetId="5">#REF!</definedName>
    <definedName name="PGMCSAVANAALL" localSheetId="4">#REF!</definedName>
    <definedName name="PGMCSAVANAALL">#REF!</definedName>
    <definedName name="PGMCSAVAP" localSheetId="0">[5]ATRUCK!#REF!</definedName>
    <definedName name="PGMCSAVAP" localSheetId="5">[5]ATRUCK!#REF!</definedName>
    <definedName name="PGMCSAVAP" localSheetId="4">[5]ATRUCK!#REF!</definedName>
    <definedName name="PGMCSAVAP">[5]ATRUCK!#REF!</definedName>
    <definedName name="PGMCSIERR" localSheetId="0">[5]ATRUCK!#REF!</definedName>
    <definedName name="PGMCSIERR" localSheetId="5">[5]ATRUCK!#REF!</definedName>
    <definedName name="PGMCSIERR" localSheetId="4">[5]ATRUCK!#REF!</definedName>
    <definedName name="PGMCSIERR">[5]ATRUCK!#REF!</definedName>
    <definedName name="PGMCSIERRAALL" localSheetId="0">#REF!</definedName>
    <definedName name="PGMCSIERRAALL" localSheetId="5">#REF!</definedName>
    <definedName name="PGMCSIERRAALL" localSheetId="4">#REF!</definedName>
    <definedName name="PGMCSIERRAALL">#REF!</definedName>
    <definedName name="PGMCSIERX" localSheetId="0">[5]ATRUCK!#REF!</definedName>
    <definedName name="PGMCSIERX" localSheetId="5">[5]ATRUCK!#REF!</definedName>
    <definedName name="PGMCSIERX" localSheetId="4">[5]ATRUCK!#REF!</definedName>
    <definedName name="PGMCSIERX">[5]ATRUCK!#REF!</definedName>
    <definedName name="PGMCSONALL" localSheetId="0">#REF!</definedName>
    <definedName name="PGMCSONALL" localSheetId="5">#REF!</definedName>
    <definedName name="PGMCSONALL" localSheetId="4">#REF!</definedName>
    <definedName name="PGMCSONALL">#REF!</definedName>
    <definedName name="PGMCSONR" localSheetId="0">[5]ATRUCK!#REF!</definedName>
    <definedName name="PGMCSONR" localSheetId="5">[5]ATRUCK!#REF!</definedName>
    <definedName name="PGMCSONR" localSheetId="4">[5]ATRUCK!#REF!</definedName>
    <definedName name="PGMCSONR">[5]ATRUCK!#REF!</definedName>
    <definedName name="PGMCSONX" localSheetId="0">[5]ATRUCK!#REF!</definedName>
    <definedName name="PGMCSONX" localSheetId="5">[5]ATRUCK!#REF!</definedName>
    <definedName name="PGMCSONX" localSheetId="4">[5]ATRUCK!#REF!</definedName>
    <definedName name="PGMCSONX">[5]ATRUCK!#REF!</definedName>
    <definedName name="PGMCSUBUR" localSheetId="0">[5]ATRUCK!#REF!</definedName>
    <definedName name="PGMCSUBUR" localSheetId="5">[5]ATRUCK!#REF!</definedName>
    <definedName name="PGMCSUBUR" localSheetId="4">[5]ATRUCK!#REF!</definedName>
    <definedName name="PGMCSUBUR">[5]ATRUCK!#REF!</definedName>
    <definedName name="PGMCTOTAL" localSheetId="0">#REF!</definedName>
    <definedName name="PGMCTOTAL" localSheetId="5">#REF!</definedName>
    <definedName name="PGMCTOTAL" localSheetId="4">#REF!</definedName>
    <definedName name="PGMCTOTAL">#REF!</definedName>
    <definedName name="PGMCYUK" localSheetId="0">[5]ATRUCK!#REF!</definedName>
    <definedName name="PGMCYUK" localSheetId="5">[5]ATRUCK!#REF!</definedName>
    <definedName name="PGMCYUK" localSheetId="4">[5]ATRUCK!#REF!</definedName>
    <definedName name="PGMCYUK">[5]ATRUCK!#REF!</definedName>
    <definedName name="PGMCYUK4" localSheetId="0">[5]ATRUCK!#REF!</definedName>
    <definedName name="PGMCYUK4" localSheetId="5">[5]ATRUCK!#REF!</definedName>
    <definedName name="PGMCYUK4" localSheetId="4">[5]ATRUCK!#REF!</definedName>
    <definedName name="PGMCYUK4">[5]ATRUCK!#REF!</definedName>
    <definedName name="PGMCYUKALL" localSheetId="0">#REF!</definedName>
    <definedName name="PGMCYUKALL" localSheetId="5">#REF!</definedName>
    <definedName name="PGMCYUKALL" localSheetId="4">#REF!</definedName>
    <definedName name="PGMCYUKALL">#REF!</definedName>
    <definedName name="PGMTOTAL" localSheetId="0">#REF!</definedName>
    <definedName name="PGMTOTAL" localSheetId="5">#REF!</definedName>
    <definedName name="PGMTOTAL" localSheetId="4">#REF!</definedName>
    <definedName name="PGMTOTAL">#REF!</definedName>
    <definedName name="PGTOTAL" localSheetId="0">[5]ATRUCK!#REF!</definedName>
    <definedName name="PGTOTAL" localSheetId="5">[5]ATRUCK!#REF!</definedName>
    <definedName name="PGTOTAL" localSheetId="4">[5]ATRUCK!#REF!</definedName>
    <definedName name="PGTOTAL">[5]ATRUCK!#REF!</definedName>
    <definedName name="PHONCRV" localSheetId="0">[5]ATRUCK!#REF!</definedName>
    <definedName name="PHONCRV" localSheetId="5">[5]ATRUCK!#REF!</definedName>
    <definedName name="PHONCRV" localSheetId="4">[5]ATRUCK!#REF!</definedName>
    <definedName name="PHONCRV">[5]ATRUCK!#REF!</definedName>
    <definedName name="PHONDA" localSheetId="0">[5]ATRUCK!#REF!</definedName>
    <definedName name="PHONDA" localSheetId="5">[5]ATRUCK!#REF!</definedName>
    <definedName name="PHONDA" localSheetId="4">[5]ATRUCK!#REF!</definedName>
    <definedName name="PHONDA">[5]ATRUCK!#REF!</definedName>
    <definedName name="PHONDATOTAL" localSheetId="0">#REF!</definedName>
    <definedName name="PHONDATOTAL" localSheetId="5">#REF!</definedName>
    <definedName name="PHONDATOTAL" localSheetId="4">#REF!</definedName>
    <definedName name="PHONDATOTAL">#REF!</definedName>
    <definedName name="Phone" localSheetId="5">#REF!</definedName>
    <definedName name="Phone" localSheetId="4">#REF!</definedName>
    <definedName name="Phone">#REF!</definedName>
    <definedName name="PHONMAV" localSheetId="0">[5]ATRUCK!#REF!</definedName>
    <definedName name="PHONMAV" localSheetId="5">[5]ATRUCK!#REF!</definedName>
    <definedName name="PHONMAV" localSheetId="4">[5]ATRUCK!#REF!</definedName>
    <definedName name="PHONMAV">[5]ATRUCK!#REF!</definedName>
    <definedName name="PHONODYP" localSheetId="0">[5]ATRUCK!#REF!</definedName>
    <definedName name="PHONODYP" localSheetId="5">[5]ATRUCK!#REF!</definedName>
    <definedName name="PHONODYP" localSheetId="4">[5]ATRUCK!#REF!</definedName>
    <definedName name="PHONODYP">[5]ATRUCK!#REF!</definedName>
    <definedName name="PHONPASS" localSheetId="0">[5]ATRUCK!#REF!</definedName>
    <definedName name="PHONPASS" localSheetId="5">[5]ATRUCK!#REF!</definedName>
    <definedName name="PHONPASS" localSheetId="4">[5]ATRUCK!#REF!</definedName>
    <definedName name="PHONPASS">[5]ATRUCK!#REF!</definedName>
    <definedName name="PHONPASSMAVALL" localSheetId="0">#REF!</definedName>
    <definedName name="PHONPASSMAVALL" localSheetId="5">#REF!</definedName>
    <definedName name="PHONPASSMAVALL" localSheetId="4">#REF!</definedName>
    <definedName name="PHONPASSMAVALL">#REF!</definedName>
    <definedName name="PHONTMP" localSheetId="0">[5]ATRUCK!#REF!</definedName>
    <definedName name="PHONTMP" localSheetId="5">[5]ATRUCK!#REF!</definedName>
    <definedName name="PHONTMP" localSheetId="4">[5]ATRUCK!#REF!</definedName>
    <definedName name="PHONTMP">[5]ATRUCK!#REF!</definedName>
    <definedName name="PHYNDAI" localSheetId="0">[5]ATRUCK!#REF!</definedName>
    <definedName name="PHYNDAI" localSheetId="5">[5]ATRUCK!#REF!</definedName>
    <definedName name="PHYNDAI" localSheetId="4">[5]ATRUCK!#REF!</definedName>
    <definedName name="PHYNDAI">[5]ATRUCK!#REF!</definedName>
    <definedName name="PHYNMINI" localSheetId="0">[5]ATRUCK!#REF!</definedName>
    <definedName name="PHYNMINI" localSheetId="5">[5]ATRUCK!#REF!</definedName>
    <definedName name="PHYNMINI" localSheetId="4">[5]ATRUCK!#REF!</definedName>
    <definedName name="PHYNMINI">[5]ATRUCK!#REF!</definedName>
    <definedName name="PHYUNDAITOTAL" localSheetId="0">#REF!</definedName>
    <definedName name="PHYUNDAITOTAL" localSheetId="5">#REF!</definedName>
    <definedName name="PHYUNDAITOTAL" localSheetId="4">#REF!</definedName>
    <definedName name="PHYUNDAITOTAL">#REF!</definedName>
    <definedName name="PICKUPS" localSheetId="0">[5]ATRUCK!#REF!</definedName>
    <definedName name="PICKUPS" localSheetId="5">[5]ATRUCK!#REF!</definedName>
    <definedName name="PICKUPS" localSheetId="4">[5]ATRUCK!#REF!</definedName>
    <definedName name="PICKUPS">[5]ATRUCK!#REF!</definedName>
    <definedName name="PINFINITI" localSheetId="0">[5]ATRUCK!#REF!</definedName>
    <definedName name="PINFINITI" localSheetId="5">[5]ATRUCK!#REF!</definedName>
    <definedName name="PINFINITI" localSheetId="4">[5]ATRUCK!#REF!</definedName>
    <definedName name="PINFINITI">[5]ATRUCK!#REF!</definedName>
    <definedName name="PINFINITITOTAL" localSheetId="0">#REF!</definedName>
    <definedName name="PINFINITITOTAL" localSheetId="5">#REF!</definedName>
    <definedName name="PINFINITITOTAL" localSheetId="4">#REF!</definedName>
    <definedName name="PINFINITITOTAL">#REF!</definedName>
    <definedName name="PINFQX4" localSheetId="0">[5]ATRUCK!#REF!</definedName>
    <definedName name="PINFQX4" localSheetId="5">[5]ATRUCK!#REF!</definedName>
    <definedName name="PINFQX4" localSheetId="4">[5]ATRUCK!#REF!</definedName>
    <definedName name="PINFQX4">[5]ATRUCK!#REF!</definedName>
    <definedName name="PINTBUICKTOTAL" localSheetId="0">#REF!</definedName>
    <definedName name="PINTBUICKTOTAL" localSheetId="5">#REF!</definedName>
    <definedName name="PINTBUICKTOTAL" localSheetId="4">#REF!</definedName>
    <definedName name="PINTBUICKTOTAL">#REF!</definedName>
    <definedName name="PINTCADILLACTOTAL" localSheetId="0">#REF!</definedName>
    <definedName name="PINTCADILLACTOTAL" localSheetId="5">#REF!</definedName>
    <definedName name="PINTCADILLACTOTAL" localSheetId="4">#REF!</definedName>
    <definedName name="PINTCADILLACTOTAL">#REF!</definedName>
    <definedName name="PINTCHEVROLETTOTAL" localSheetId="0">#REF!</definedName>
    <definedName name="PINTCHEVROLETTOTAL" localSheetId="5">#REF!</definedName>
    <definedName name="PINTCHEVROLETTOTAL" localSheetId="4">#REF!</definedName>
    <definedName name="PINTCHEVROLETTOTAL">#REF!</definedName>
    <definedName name="PINTCHRYSLERTOTAL" localSheetId="0">#REF!</definedName>
    <definedName name="PINTCHRYSLERTOTAL" localSheetId="5">#REF!</definedName>
    <definedName name="PINTCHRYSLERTOTAL" localSheetId="4">#REF!</definedName>
    <definedName name="PINTCHRYSLERTOTAL">#REF!</definedName>
    <definedName name="PINTDCTOTAL" localSheetId="0">#REF!</definedName>
    <definedName name="PINTDCTOTAL" localSheetId="5">#REF!</definedName>
    <definedName name="PINTDCTOTAL" localSheetId="4">#REF!</definedName>
    <definedName name="PINTDCTOTAL">#REF!</definedName>
    <definedName name="PINTDODGETOTAL" localSheetId="0">#REF!</definedName>
    <definedName name="PINTDODGETOTAL" localSheetId="5">#REF!</definedName>
    <definedName name="PINTDODGETOTAL" localSheetId="4">#REF!</definedName>
    <definedName name="PINTDODGETOTAL">#REF!</definedName>
    <definedName name="PINTEAGLETOTAL" localSheetId="0">#REF!</definedName>
    <definedName name="PINTEAGLETOTAL" localSheetId="5">#REF!</definedName>
    <definedName name="PINTEAGLETOTAL" localSheetId="4">#REF!</definedName>
    <definedName name="PINTEAGLETOTAL">#REF!</definedName>
    <definedName name="PINTFOMOCOTOTAL" localSheetId="0">#REF!</definedName>
    <definedName name="PINTFOMOCOTOTAL" localSheetId="5">#REF!</definedName>
    <definedName name="PINTFOMOCOTOTAL" localSheetId="4">#REF!</definedName>
    <definedName name="PINTFOMOCOTOTAL">#REF!</definedName>
    <definedName name="PINTFORDTOTAL" localSheetId="0">#REF!</definedName>
    <definedName name="PINTFORDTOTAL" localSheetId="5">#REF!</definedName>
    <definedName name="PINTFORDTOTAL" localSheetId="4">#REF!</definedName>
    <definedName name="PINTFORDTOTAL">#REF!</definedName>
    <definedName name="PINTGMAV" localSheetId="0">#REF!</definedName>
    <definedName name="PINTGMAV" localSheetId="5">#REF!</definedName>
    <definedName name="PINTGMAV" localSheetId="4">#REF!</definedName>
    <definedName name="PINTGMAV">#REF!</definedName>
    <definedName name="PINTGMCTOTAL" localSheetId="0">#REF!</definedName>
    <definedName name="PINTGMCTOTAL" localSheetId="5">#REF!</definedName>
    <definedName name="PINTGMCTOTAL" localSheetId="4">#REF!</definedName>
    <definedName name="PINTGMCTOTAL">#REF!</definedName>
    <definedName name="PINTGMTOTAL" localSheetId="0">#REF!</definedName>
    <definedName name="PINTGMTOTAL" localSheetId="5">#REF!</definedName>
    <definedName name="PINTGMTOTAL" localSheetId="4">#REF!</definedName>
    <definedName name="PINTGMTOTAL">#REF!</definedName>
    <definedName name="PINTJAGUARTOTAL" localSheetId="0">#REF!</definedName>
    <definedName name="PINTJAGUARTOTAL" localSheetId="5">#REF!</definedName>
    <definedName name="PINTJAGUARTOTAL" localSheetId="4">#REF!</definedName>
    <definedName name="PINTJAGUARTOTAL">#REF!</definedName>
    <definedName name="PINTJEEPTOTAL" localSheetId="0">#REF!</definedName>
    <definedName name="PINTJEEPTOTAL" localSheetId="5">#REF!</definedName>
    <definedName name="PINTJEEPTOTAL" localSheetId="4">#REF!</definedName>
    <definedName name="PINTJEEPTOTAL">#REF!</definedName>
    <definedName name="PINTLINCOLNTOTAL" localSheetId="0">#REF!</definedName>
    <definedName name="PINTLINCOLNTOTAL" localSheetId="5">#REF!</definedName>
    <definedName name="PINTLINCOLNTOTAL" localSheetId="4">#REF!</definedName>
    <definedName name="PINTLINCOLNTOTAL">#REF!</definedName>
    <definedName name="PINTMAZDATOTAL" localSheetId="0">#REF!</definedName>
    <definedName name="PINTMAZDATOTAL" localSheetId="5">#REF!</definedName>
    <definedName name="PINTMAZDATOTAL" localSheetId="4">#REF!</definedName>
    <definedName name="PINTMAZDATOTAL">#REF!</definedName>
    <definedName name="PINTMBTOTAL" localSheetId="0">#REF!</definedName>
    <definedName name="PINTMBTOTAL" localSheetId="5">#REF!</definedName>
    <definedName name="PINTMBTOTAL" localSheetId="4">#REF!</definedName>
    <definedName name="PINTMBTOTAL">#REF!</definedName>
    <definedName name="PINTMERCURYTOTAL" localSheetId="0">#REF!</definedName>
    <definedName name="PINTMERCURYTOTAL" localSheetId="5">#REF!</definedName>
    <definedName name="PINTMERCURYTOTAL" localSheetId="4">#REF!</definedName>
    <definedName name="PINTMERCURYTOTAL">#REF!</definedName>
    <definedName name="PINTMERKURTOTAL" localSheetId="0">#REF!</definedName>
    <definedName name="PINTMERKURTOTAL" localSheetId="5">#REF!</definedName>
    <definedName name="PINTMERKURTOTAL" localSheetId="4">#REF!</definedName>
    <definedName name="PINTMERKURTOTAL">#REF!</definedName>
    <definedName name="PINTOLDSMOBILETOTAL" localSheetId="0">#REF!</definedName>
    <definedName name="PINTOLDSMOBILETOTAL" localSheetId="5">#REF!</definedName>
    <definedName name="PINTOLDSMOBILETOTAL" localSheetId="4">#REF!</definedName>
    <definedName name="PINTOLDSMOBILETOTAL">#REF!</definedName>
    <definedName name="PINTPLYMOUTHTOTAL" localSheetId="0">#REF!</definedName>
    <definedName name="PINTPLYMOUTHTOTAL" localSheetId="5">#REF!</definedName>
    <definedName name="PINTPLYMOUTHTOTAL" localSheetId="4">#REF!</definedName>
    <definedName name="PINTPLYMOUTHTOTAL">#REF!</definedName>
    <definedName name="PINTPONTIACTOTAL" localSheetId="0">#REF!</definedName>
    <definedName name="PINTPONTIACTOTAL" localSheetId="5">#REF!</definedName>
    <definedName name="PINTPONTIACTOTAL" localSheetId="4">#REF!</definedName>
    <definedName name="PINTPONTIACTOTAL">#REF!</definedName>
    <definedName name="PINTSAABTOTAL" localSheetId="0">#REF!</definedName>
    <definedName name="PINTSAABTOTAL" localSheetId="5">#REF!</definedName>
    <definedName name="PINTSAABTOTAL" localSheetId="4">#REF!</definedName>
    <definedName name="PINTSAABTOTAL">#REF!</definedName>
    <definedName name="PINTSATURNTOTAL" localSheetId="0">#REF!</definedName>
    <definedName name="PINTSATURNTOTAL" localSheetId="5">#REF!</definedName>
    <definedName name="PINTSATURNTOTAL" localSheetId="4">#REF!</definedName>
    <definedName name="PINTSATURNTOTAL">#REF!</definedName>
    <definedName name="PINTSUZUKITOTAL" localSheetId="0">#REF!</definedName>
    <definedName name="PINTSUZUKITOTAL" localSheetId="5">#REF!</definedName>
    <definedName name="PINTSUZUKITOTAL" localSheetId="4">#REF!</definedName>
    <definedName name="PINTSUZUKITOTAL">#REF!</definedName>
    <definedName name="PINTVOLVOTOTAL" localSheetId="0">#REF!</definedName>
    <definedName name="PINTVOLVOTOTAL" localSheetId="5">#REF!</definedName>
    <definedName name="PINTVOLVOTOTAL" localSheetId="4">#REF!</definedName>
    <definedName name="PINTVOLVOTOTAL">#REF!</definedName>
    <definedName name="PISUZU" localSheetId="0">[5]ATRUCK!#REF!</definedName>
    <definedName name="PISUZU" localSheetId="5">[5]ATRUCK!#REF!</definedName>
    <definedName name="PISUZU" localSheetId="4">[5]ATRUCK!#REF!</definedName>
    <definedName name="PISUZU">[5]ATRUCK!#REF!</definedName>
    <definedName name="PISUZUTOTAL" localSheetId="0">#REF!</definedName>
    <definedName name="PISUZUTOTAL" localSheetId="5">#REF!</definedName>
    <definedName name="PISUZUTOTAL" localSheetId="4">#REF!</definedName>
    <definedName name="PISUZUTOTAL">#REF!</definedName>
    <definedName name="PIZAMIGO" localSheetId="0">[5]ATRUCK!#REF!</definedName>
    <definedName name="PIZAMIGO" localSheetId="5">[5]ATRUCK!#REF!</definedName>
    <definedName name="PIZAMIGO" localSheetId="4">[5]ATRUCK!#REF!</definedName>
    <definedName name="PIZAMIGO">[5]ATRUCK!#REF!</definedName>
    <definedName name="PIZHOMBR" localSheetId="0">[5]ATRUCK!#REF!</definedName>
    <definedName name="PIZHOMBR" localSheetId="5">[5]ATRUCK!#REF!</definedName>
    <definedName name="PIZHOMBR" localSheetId="4">[5]ATRUCK!#REF!</definedName>
    <definedName name="PIZHOMBR">[5]ATRUCK!#REF!</definedName>
    <definedName name="PIZHOMBREALL" localSheetId="0">#REF!</definedName>
    <definedName name="PIZHOMBREALL" localSheetId="5">#REF!</definedName>
    <definedName name="PIZHOMBREALL" localSheetId="4">#REF!</definedName>
    <definedName name="PIZHOMBREALL">#REF!</definedName>
    <definedName name="PIZHOMBREX" localSheetId="0">[5]ATRUCK!#REF!</definedName>
    <definedName name="PIZHOMBREX" localSheetId="5">[5]ATRUCK!#REF!</definedName>
    <definedName name="PIZHOMBREX" localSheetId="4">[5]ATRUCK!#REF!</definedName>
    <definedName name="PIZHOMBREX">[5]ATRUCK!#REF!</definedName>
    <definedName name="PIZOASISP" localSheetId="0">[5]ATRUCK!#REF!</definedName>
    <definedName name="PIZOASISP" localSheetId="5">[5]ATRUCK!#REF!</definedName>
    <definedName name="PIZOASISP" localSheetId="4">[5]ATRUCK!#REF!</definedName>
    <definedName name="PIZOASISP">[5]ATRUCK!#REF!</definedName>
    <definedName name="PIZPUALL" localSheetId="0">#REF!</definedName>
    <definedName name="PIZPUALL" localSheetId="5">#REF!</definedName>
    <definedName name="PIZPUALL" localSheetId="4">#REF!</definedName>
    <definedName name="PIZPUALL">#REF!</definedName>
    <definedName name="PIZPUR" localSheetId="0">[5]ATRUCK!#REF!</definedName>
    <definedName name="PIZPUR" localSheetId="5">[5]ATRUCK!#REF!</definedName>
    <definedName name="PIZPUR" localSheetId="4">[5]ATRUCK!#REF!</definedName>
    <definedName name="PIZPUR">[5]ATRUCK!#REF!</definedName>
    <definedName name="PIZPUX" localSheetId="0">[5]ATRUCK!#REF!</definedName>
    <definedName name="PIZPUX" localSheetId="5">[5]ATRUCK!#REF!</definedName>
    <definedName name="PIZPUX" localSheetId="4">[5]ATRUCK!#REF!</definedName>
    <definedName name="PIZPUX">[5]ATRUCK!#REF!</definedName>
    <definedName name="PIZRODEO" localSheetId="0">[5]ATRUCK!#REF!</definedName>
    <definedName name="PIZRODEO" localSheetId="5">[5]ATRUCK!#REF!</definedName>
    <definedName name="PIZRODEO" localSheetId="4">[5]ATRUCK!#REF!</definedName>
    <definedName name="PIZRODEO">[5]ATRUCK!#REF!</definedName>
    <definedName name="PIZTROOP" localSheetId="0">[5]ATRUCK!#REF!</definedName>
    <definedName name="PIZTROOP" localSheetId="5">[5]ATRUCK!#REF!</definedName>
    <definedName name="PIZTROOP" localSheetId="4">[5]ATRUCK!#REF!</definedName>
    <definedName name="PIZTROOP">[5]ATRUCK!#REF!</definedName>
    <definedName name="PIZTROOP4" localSheetId="0">[5]ATRUCK!#REF!</definedName>
    <definedName name="PIZTROOP4" localSheetId="5">[5]ATRUCK!#REF!</definedName>
    <definedName name="PIZTROOP4" localSheetId="4">[5]ATRUCK!#REF!</definedName>
    <definedName name="PIZTROOP4">[5]ATRUCK!#REF!</definedName>
    <definedName name="PIZTROOPALL" localSheetId="0">#REF!</definedName>
    <definedName name="PIZTROOPALL" localSheetId="5">#REF!</definedName>
    <definedName name="PIZTROOPALL" localSheetId="4">#REF!</definedName>
    <definedName name="PIZTROOPALL">#REF!</definedName>
    <definedName name="PJAGUAR" localSheetId="0">[5]ATRUCK!#REF!</definedName>
    <definedName name="PJAGUAR" localSheetId="5">[5]ATRUCK!#REF!</definedName>
    <definedName name="PJAGUAR" localSheetId="4">[5]ATRUCK!#REF!</definedName>
    <definedName name="PJAGUAR">[5]ATRUCK!#REF!</definedName>
    <definedName name="PJAGUARTOTAL" localSheetId="0">#REF!</definedName>
    <definedName name="PJAGUARTOTAL" localSheetId="5">#REF!</definedName>
    <definedName name="PJAGUARTOTAL" localSheetId="4">#REF!</definedName>
    <definedName name="PJAGUARTOTAL">#REF!</definedName>
    <definedName name="PJEEP" localSheetId="0">[5]ATRUCK!#REF!</definedName>
    <definedName name="PJEEP" localSheetId="5">[5]ATRUCK!#REF!</definedName>
    <definedName name="PJEEP" localSheetId="4">[5]ATRUCK!#REF!</definedName>
    <definedName name="PJEEP">[5]ATRUCK!#REF!</definedName>
    <definedName name="PJEEPTOTAL" localSheetId="0">#REF!</definedName>
    <definedName name="PJEEPTOTAL" localSheetId="5">#REF!</definedName>
    <definedName name="PJEEPTOTAL" localSheetId="4">#REF!</definedName>
    <definedName name="PJEEPTOTAL">#REF!</definedName>
    <definedName name="PJPCHER" localSheetId="0">[5]ATRUCK!#REF!</definedName>
    <definedName name="PJPCHER" localSheetId="5">[5]ATRUCK!#REF!</definedName>
    <definedName name="PJPCHER" localSheetId="4">[5]ATRUCK!#REF!</definedName>
    <definedName name="PJPCHER">[5]ATRUCK!#REF!</definedName>
    <definedName name="PJPCHER4" localSheetId="0">[5]ATRUCK!#REF!</definedName>
    <definedName name="PJPCHER4" localSheetId="5">[5]ATRUCK!#REF!</definedName>
    <definedName name="PJPCHER4" localSheetId="4">[5]ATRUCK!#REF!</definedName>
    <definedName name="PJPCHER4">[5]ATRUCK!#REF!</definedName>
    <definedName name="PJPCHERALL" localSheetId="0">#REF!</definedName>
    <definedName name="PJPCHERALL" localSheetId="5">#REF!</definedName>
    <definedName name="PJPCHERALL" localSheetId="4">#REF!</definedName>
    <definedName name="PJPCHERALL">#REF!</definedName>
    <definedName name="PJPCOMAN" localSheetId="0">[5]ATRUCK!#REF!</definedName>
    <definedName name="PJPCOMAN" localSheetId="5">[5]ATRUCK!#REF!</definedName>
    <definedName name="PJPCOMAN" localSheetId="4">[5]ATRUCK!#REF!</definedName>
    <definedName name="PJPCOMAN">[5]ATRUCK!#REF!</definedName>
    <definedName name="PJPGCHER" localSheetId="0">[5]ATRUCK!#REF!</definedName>
    <definedName name="PJPGCHER" localSheetId="5">[5]ATRUCK!#REF!</definedName>
    <definedName name="PJPGCHER" localSheetId="4">[5]ATRUCK!#REF!</definedName>
    <definedName name="PJPGCHER">[5]ATRUCK!#REF!</definedName>
    <definedName name="PJPGWAG" localSheetId="0">[5]ATRUCK!#REF!</definedName>
    <definedName name="PJPGWAG" localSheetId="5">[5]ATRUCK!#REF!</definedName>
    <definedName name="PJPGWAG" localSheetId="4">[5]ATRUCK!#REF!</definedName>
    <definedName name="PJPGWAG">[5]ATRUCK!#REF!</definedName>
    <definedName name="PJPWAG" localSheetId="0">[5]ATRUCK!#REF!</definedName>
    <definedName name="PJPWAG" localSheetId="5">[5]ATRUCK!#REF!</definedName>
    <definedName name="PJPWAG" localSheetId="4">[5]ATRUCK!#REF!</definedName>
    <definedName name="PJPWAG">[5]ATRUCK!#REF!</definedName>
    <definedName name="PJPWRANG" localSheetId="0">[5]ATRUCK!#REF!</definedName>
    <definedName name="PJPWRANG" localSheetId="5">[5]ATRUCK!#REF!</definedName>
    <definedName name="PJPWRANG" localSheetId="4">[5]ATRUCK!#REF!</definedName>
    <definedName name="PJPWRANG">[5]ATRUCK!#REF!</definedName>
    <definedName name="PKIA" localSheetId="0">[5]ATRUCK!#REF!</definedName>
    <definedName name="PKIA" localSheetId="5">[5]ATRUCK!#REF!</definedName>
    <definedName name="PKIA" localSheetId="4">[5]ATRUCK!#REF!</definedName>
    <definedName name="PKIA">[5]ATRUCK!#REF!</definedName>
    <definedName name="PKIASEDOP" localSheetId="0">[5]ATRUCK!#REF!</definedName>
    <definedName name="PKIASEDOP" localSheetId="5">[5]ATRUCK!#REF!</definedName>
    <definedName name="PKIASEDOP" localSheetId="4">[5]ATRUCK!#REF!</definedName>
    <definedName name="PKIASEDOP">[5]ATRUCK!#REF!</definedName>
    <definedName name="PKIASPORT" localSheetId="0">[5]ATRUCK!#REF!</definedName>
    <definedName name="PKIASPORT" localSheetId="5">[5]ATRUCK!#REF!</definedName>
    <definedName name="PKIASPORT" localSheetId="4">[5]ATRUCK!#REF!</definedName>
    <definedName name="PKIASPORT">[5]ATRUCK!#REF!</definedName>
    <definedName name="PKIASPORT4" localSheetId="0">[5]ATRUCK!#REF!</definedName>
    <definedName name="PKIASPORT4" localSheetId="5">[5]ATRUCK!#REF!</definedName>
    <definedName name="PKIASPORT4" localSheetId="4">[5]ATRUCK!#REF!</definedName>
    <definedName name="PKIASPORT4">[5]ATRUCK!#REF!</definedName>
    <definedName name="PKIASPORTALL" localSheetId="0">#REF!</definedName>
    <definedName name="PKIASPORTALL" localSheetId="5">#REF!</definedName>
    <definedName name="PKIASPORTALL" localSheetId="4">#REF!</definedName>
    <definedName name="PKIASPORTALL">#REF!</definedName>
    <definedName name="PKIATOTAL" localSheetId="0">#REF!</definedName>
    <definedName name="PKIATOTAL" localSheetId="5">#REF!</definedName>
    <definedName name="PKIATOTAL" localSheetId="4">#REF!</definedName>
    <definedName name="PKIATOTAL">#REF!</definedName>
    <definedName name="PL2SU" localSheetId="0">[5]ATRUCK!#REF!</definedName>
    <definedName name="PL2SU" localSheetId="5">[5]ATRUCK!#REF!</definedName>
    <definedName name="PL2SU" localSheetId="4">[5]ATRUCK!#REF!</definedName>
    <definedName name="PL2SU">[5]ATRUCK!#REF!</definedName>
    <definedName name="PL4SU" localSheetId="0">[5]ATRUCK!#REF!</definedName>
    <definedName name="PL4SU" localSheetId="5">[5]ATRUCK!#REF!</definedName>
    <definedName name="PL4SU" localSheetId="4">[5]ATRUCK!#REF!</definedName>
    <definedName name="PL4SU">[5]ATRUCK!#REF!</definedName>
    <definedName name="PLAND_ROVER" localSheetId="0">[5]ATRUCK!#REF!</definedName>
    <definedName name="PLAND_ROVER" localSheetId="5">[5]ATRUCK!#REF!</definedName>
    <definedName name="PLAND_ROVER" localSheetId="4">[5]ATRUCK!#REF!</definedName>
    <definedName name="PLAND_ROVER">[5]ATRUCK!#REF!</definedName>
    <definedName name="PLANDROVER" localSheetId="0">[5]ATRUCK!#REF!</definedName>
    <definedName name="PLANDROVER" localSheetId="5">[5]ATRUCK!#REF!</definedName>
    <definedName name="PLANDROVER" localSheetId="4">[5]ATRUCK!#REF!</definedName>
    <definedName name="PLANDROVER">[5]ATRUCK!#REF!</definedName>
    <definedName name="PLANDROVERTOTAL" localSheetId="0">#REF!</definedName>
    <definedName name="PLANDROVERTOTAL" localSheetId="5">#REF!</definedName>
    <definedName name="PLANDROVERTOTAL" localSheetId="4">#REF!</definedName>
    <definedName name="PLANDROVERTOTAL">#REF!</definedName>
    <definedName name="PLandRoverTruck" localSheetId="0">#REF!</definedName>
    <definedName name="PLandRoverTruck" localSheetId="5">#REF!</definedName>
    <definedName name="PLandRoverTruck" localSheetId="4">#REF!</definedName>
    <definedName name="PLandRoverTruck">#REF!</definedName>
    <definedName name="PLCW" localSheetId="0">[4]ACARS!#REF!</definedName>
    <definedName name="PLCW" localSheetId="5">[4]ACARS!#REF!</definedName>
    <definedName name="PLCW" localSheetId="4">[4]ACARS!#REF!</definedName>
    <definedName name="PLCW">[4]ACARS!#REF!</definedName>
    <definedName name="PLEXLX450" localSheetId="0">[5]ATRUCK!#REF!</definedName>
    <definedName name="PLEXLX450" localSheetId="5">[5]ATRUCK!#REF!</definedName>
    <definedName name="PLEXLX450" localSheetId="4">[5]ATRUCK!#REF!</definedName>
    <definedName name="PLEXLX450">[5]ATRUCK!#REF!</definedName>
    <definedName name="PLEXRX300" localSheetId="0">[5]ATRUCK!#REF!</definedName>
    <definedName name="PLEXRX300" localSheetId="5">[5]ATRUCK!#REF!</definedName>
    <definedName name="PLEXRX300" localSheetId="4">[5]ATRUCK!#REF!</definedName>
    <definedName name="PLEXRX300">[5]ATRUCK!#REF!</definedName>
    <definedName name="PLEXUS" localSheetId="0">[5]ATRUCK!#REF!</definedName>
    <definedName name="PLEXUS" localSheetId="5">[5]ATRUCK!#REF!</definedName>
    <definedName name="PLEXUS" localSheetId="4">[5]ATRUCK!#REF!</definedName>
    <definedName name="PLEXUS">[5]ATRUCK!#REF!</definedName>
    <definedName name="PLEXUSTOTAL" localSheetId="0">#REF!</definedName>
    <definedName name="PLEXUSTOTAL" localSheetId="5">#REF!</definedName>
    <definedName name="PLEXUSTOTAL" localSheetId="4">#REF!</definedName>
    <definedName name="PLEXUSTOTAL">#REF!</definedName>
    <definedName name="PLINCBLAK" localSheetId="0">[5]ATRUCK!#REF!</definedName>
    <definedName name="PLINCBLAK" localSheetId="5">[5]ATRUCK!#REF!</definedName>
    <definedName name="PLINCBLAK" localSheetId="4">[5]ATRUCK!#REF!</definedName>
    <definedName name="PLINCBLAK">[5]ATRUCK!#REF!</definedName>
    <definedName name="PLINCNAV" localSheetId="0">[5]ATRUCK!#REF!</definedName>
    <definedName name="PLINCNAV" localSheetId="5">[5]ATRUCK!#REF!</definedName>
    <definedName name="PLINCNAV" localSheetId="4">[5]ATRUCK!#REF!</definedName>
    <definedName name="PLINCNAV">[5]ATRUCK!#REF!</definedName>
    <definedName name="PLINCOLN" localSheetId="0">[5]ATRUCK!#REF!</definedName>
    <definedName name="PLINCOLN" localSheetId="5">[5]ATRUCK!#REF!</definedName>
    <definedName name="PLINCOLN" localSheetId="4">[5]ATRUCK!#REF!</definedName>
    <definedName name="PLINCOLN">[5]ATRUCK!#REF!</definedName>
    <definedName name="PLINCOLNTOTAL" localSheetId="0">#REF!</definedName>
    <definedName name="PLINCOLNTOTAL" localSheetId="5">#REF!</definedName>
    <definedName name="PLINCOLNTOTAL" localSheetId="4">#REF!</definedName>
    <definedName name="PLINCOLNTOTAL">#REF!</definedName>
    <definedName name="PLINCU204" localSheetId="0">[5]ATRUCK!#REF!</definedName>
    <definedName name="PLINCU204" localSheetId="5">[5]ATRUCK!#REF!</definedName>
    <definedName name="PLINCU204" localSheetId="4">[5]ATRUCK!#REF!</definedName>
    <definedName name="PLINCU204">[5]ATRUCK!#REF!</definedName>
    <definedName name="PLINCU231" localSheetId="0">[5]ATRUCK!#REF!</definedName>
    <definedName name="PLINCU231" localSheetId="5">[5]ATRUCK!#REF!</definedName>
    <definedName name="PLINCU231" localSheetId="4">[5]ATRUCK!#REF!</definedName>
    <definedName name="PLINCU231">[5]ATRUCK!#REF!</definedName>
    <definedName name="PLL5HB" localSheetId="0">[4]ACARS!#REF!</definedName>
    <definedName name="PLL5HB" localSheetId="5">[4]ACARS!#REF!</definedName>
    <definedName name="PLL5HB" localSheetId="4">[4]ACARS!#REF!</definedName>
    <definedName name="PLL5HB">[4]ACARS!#REF!</definedName>
    <definedName name="PLLCV" localSheetId="0">[4]ACARS!#REF!</definedName>
    <definedName name="PLLCV" localSheetId="5">[4]ACARS!#REF!</definedName>
    <definedName name="PLLCV" localSheetId="4">[4]ACARS!#REF!</definedName>
    <definedName name="PLLCV">[4]ACARS!#REF!</definedName>
    <definedName name="PLLW" localSheetId="0">[4]ACARS!#REF!</definedName>
    <definedName name="PLLW" localSheetId="5">[4]ACARS!#REF!</definedName>
    <definedName name="PLLW" localSheetId="4">[4]ACARS!#REF!</definedName>
    <definedName name="PLLW">[4]ACARS!#REF!</definedName>
    <definedName name="PLMCV" localSheetId="0">[4]ACARS!#REF!</definedName>
    <definedName name="PLMCV" localSheetId="5">[4]ACARS!#REF!</definedName>
    <definedName name="PLMCV" localSheetId="4">[4]ACARS!#REF!</definedName>
    <definedName name="PLMCV">[4]ACARS!#REF!</definedName>
    <definedName name="PLMW" localSheetId="0">[4]ACARS!#REF!</definedName>
    <definedName name="PLMW" localSheetId="5">[4]ACARS!#REF!</definedName>
    <definedName name="PLMW" localSheetId="4">[4]ACARS!#REF!</definedName>
    <definedName name="PLMW">[4]ACARS!#REF!</definedName>
    <definedName name="PLS2CP" localSheetId="0">[4]ACARS!#REF!</definedName>
    <definedName name="PLS2CP" localSheetId="5">[4]ACARS!#REF!</definedName>
    <definedName name="PLS2CP" localSheetId="4">[4]ACARS!#REF!</definedName>
    <definedName name="PLS2CP">[4]ACARS!#REF!</definedName>
    <definedName name="PLS3CP" localSheetId="0">[4]ACARS!#REF!</definedName>
    <definedName name="PLS3CP" localSheetId="5">[4]ACARS!#REF!</definedName>
    <definedName name="PLS3CP" localSheetId="4">[4]ACARS!#REF!</definedName>
    <definedName name="PLS3CP">[4]ACARS!#REF!</definedName>
    <definedName name="PLSCV" localSheetId="0">[4]ACARS!#REF!</definedName>
    <definedName name="PLSCV" localSheetId="5">[4]ACARS!#REF!</definedName>
    <definedName name="PLSCV" localSheetId="4">[4]ACARS!#REF!</definedName>
    <definedName name="PLSCV">[4]ACARS!#REF!</definedName>
    <definedName name="PLSUTOT" localSheetId="0">[5]ATRUCK!#REF!</definedName>
    <definedName name="PLSUTOT" localSheetId="5">[5]ATRUCK!#REF!</definedName>
    <definedName name="PLSUTOT" localSheetId="4">[5]ATRUCK!#REF!</definedName>
    <definedName name="PLSUTOT">[5]ATRUCK!#REF!</definedName>
    <definedName name="PLSUTOTAL" localSheetId="0">[5]ATRUCK!#REF!</definedName>
    <definedName name="PLSUTOTAL" localSheetId="5">[5]ATRUCK!#REF!</definedName>
    <definedName name="PLSUTOTAL" localSheetId="4">[5]ATRUCK!#REF!</definedName>
    <definedName name="PLSUTOTAL">[5]ATRUCK!#REF!</definedName>
    <definedName name="PLT2CP" localSheetId="0">[4]ACARS!#REF!</definedName>
    <definedName name="PLT2CP" localSheetId="5">[4]ACARS!#REF!</definedName>
    <definedName name="PLT2CP" localSheetId="4">[4]ACARS!#REF!</definedName>
    <definedName name="PLT2CP">[4]ACARS!#REF!</definedName>
    <definedName name="PLT2SD" localSheetId="0">[4]ACARS!#REF!</definedName>
    <definedName name="PLT2SD" localSheetId="5">[4]ACARS!#REF!</definedName>
    <definedName name="PLT2SD" localSheetId="4">[4]ACARS!#REF!</definedName>
    <definedName name="PLT2SD">[4]ACARS!#REF!</definedName>
    <definedName name="PLTW" localSheetId="0">[4]ACARS!#REF!</definedName>
    <definedName name="PLTW" localSheetId="5">[4]ACARS!#REF!</definedName>
    <definedName name="PLTW" localSheetId="4">[4]ACARS!#REF!</definedName>
    <definedName name="PLTW">[4]ACARS!#REF!</definedName>
    <definedName name="PLYACCL_BREEZE4" localSheetId="0">#REF!</definedName>
    <definedName name="PLYACCL_BREEZE4" localSheetId="5">#REF!</definedName>
    <definedName name="PLYACCL_BREEZE4" localSheetId="4">#REF!</definedName>
    <definedName name="PLYACCL_BREEZE4">#REF!</definedName>
    <definedName name="PLYACCLAIMALL" localSheetId="0">#REF!</definedName>
    <definedName name="PLYACCLAIMALL" localSheetId="5">#REF!</definedName>
    <definedName name="PLYACCLAIMALL" localSheetId="4">#REF!</definedName>
    <definedName name="PLYACCLAIMALL">#REF!</definedName>
    <definedName name="PLYCOLTALL" localSheetId="0">#REF!</definedName>
    <definedName name="PLYCOLTALL" localSheetId="5">#REF!</definedName>
    <definedName name="PLYCOLTALL" localSheetId="4">#REF!</definedName>
    <definedName name="PLYCOLTALL">#REF!</definedName>
    <definedName name="PLYMOUTHTOTAL" localSheetId="0">#REF!</definedName>
    <definedName name="PLYMOUTHTOTAL" localSheetId="5">#REF!</definedName>
    <definedName name="PLYMOUTHTOTAL" localSheetId="4">#REF!</definedName>
    <definedName name="PLYMOUTHTOTAL">#REF!</definedName>
    <definedName name="PLYSUN_NEONALL" localSheetId="0">#REF!</definedName>
    <definedName name="PLYSUN_NEONALL" localSheetId="5">#REF!</definedName>
    <definedName name="PLYSUN_NEONALL" localSheetId="4">#REF!</definedName>
    <definedName name="PLYSUN_NEONALL">#REF!</definedName>
    <definedName name="PLYVOYP">[5]ATRUCK!$F$65:$V$65</definedName>
    <definedName name="PMAZDA" localSheetId="0">[5]ATRUCK!#REF!</definedName>
    <definedName name="PMAZDA" localSheetId="5">[5]ATRUCK!#REF!</definedName>
    <definedName name="PMAZDA" localSheetId="4">[5]ATRUCK!#REF!</definedName>
    <definedName name="PMAZDA">[5]ATRUCK!#REF!</definedName>
    <definedName name="PMAZDATOTAL" localSheetId="0">#REF!</definedName>
    <definedName name="PMAZDATOTAL" localSheetId="5">#REF!</definedName>
    <definedName name="PMAZDATOTAL" localSheetId="4">#REF!</definedName>
    <definedName name="PMAZDATOTAL">#REF!</definedName>
    <definedName name="PMBENZ" localSheetId="0">[5]ATRUCK!#REF!</definedName>
    <definedName name="PMBENZ" localSheetId="5">[5]ATRUCK!#REF!</definedName>
    <definedName name="PMBENZ" localSheetId="4">[5]ATRUCK!#REF!</definedName>
    <definedName name="PMBENZ">[5]ATRUCK!#REF!</definedName>
    <definedName name="PMBMCLASS" localSheetId="0">[5]ATRUCK!#REF!</definedName>
    <definedName name="PMBMCLASS" localSheetId="5">[5]ATRUCK!#REF!</definedName>
    <definedName name="PMBMCLASS" localSheetId="4">[5]ATRUCK!#REF!</definedName>
    <definedName name="PMBMCLASS">[5]ATRUCK!#REF!</definedName>
    <definedName name="PMBYCLASS" localSheetId="0">[5]ATRUCK!#REF!</definedName>
    <definedName name="PMBYCLASS" localSheetId="5">[5]ATRUCK!#REF!</definedName>
    <definedName name="PMBYCLASS" localSheetId="4">[5]ATRUCK!#REF!</definedName>
    <definedName name="PMBYCLASS">[5]ATRUCK!#REF!</definedName>
    <definedName name="PMERCC212" localSheetId="0">[5]ATRUCK!#REF!</definedName>
    <definedName name="PMERCC212" localSheetId="5">[5]ATRUCK!#REF!</definedName>
    <definedName name="PMERCC212" localSheetId="4">[5]ATRUCK!#REF!</definedName>
    <definedName name="PMERCC212">[5]ATRUCK!#REF!</definedName>
    <definedName name="PMERCD219" localSheetId="0">[5]ATRUCK!#REF!</definedName>
    <definedName name="PMERCD219" localSheetId="5">[5]ATRUCK!#REF!</definedName>
    <definedName name="PMERCD219" localSheetId="4">[5]ATRUCK!#REF!</definedName>
    <definedName name="PMERCD219">[5]ATRUCK!#REF!</definedName>
    <definedName name="PMERCEDES_BENZTOTAL" localSheetId="0">#REF!</definedName>
    <definedName name="PMERCEDES_BENZTOTAL" localSheetId="5">#REF!</definedName>
    <definedName name="PMERCEDES_BENZTOTAL" localSheetId="4">#REF!</definedName>
    <definedName name="PMERCEDES_BENZTOTAL">#REF!</definedName>
    <definedName name="PMERCMOUNT" localSheetId="0">[5]ATRUCK!#REF!</definedName>
    <definedName name="PMERCMOUNT" localSheetId="5">[5]ATRUCK!#REF!</definedName>
    <definedName name="PMERCMOUNT" localSheetId="4">[5]ATRUCK!#REF!</definedName>
    <definedName name="PMERCMOUNT">[5]ATRUCK!#REF!</definedName>
    <definedName name="PMERCMYST4ALL" localSheetId="0">#REF!</definedName>
    <definedName name="PMERCMYST4ALL" localSheetId="5">#REF!</definedName>
    <definedName name="PMERCMYST4ALL" localSheetId="4">#REF!</definedName>
    <definedName name="PMERCMYST4ALL">#REF!</definedName>
    <definedName name="PMERCURY" localSheetId="0">[5]ATRUCK!#REF!</definedName>
    <definedName name="PMERCURY" localSheetId="5">[5]ATRUCK!#REF!</definedName>
    <definedName name="PMERCURY" localSheetId="4">[5]ATRUCK!#REF!</definedName>
    <definedName name="PMERCURY">[5]ATRUCK!#REF!</definedName>
    <definedName name="PMERCURYTOTAL" localSheetId="0">#REF!</definedName>
    <definedName name="PMERCURYTOTAL" localSheetId="5">#REF!</definedName>
    <definedName name="PMERCURYTOTAL" localSheetId="4">#REF!</definedName>
    <definedName name="PMERCURYTOTAL">#REF!</definedName>
    <definedName name="PMERCVILLP" localSheetId="0">[5]ATRUCK!#REF!</definedName>
    <definedName name="PMERCVILLP" localSheetId="5">[5]ATRUCK!#REF!</definedName>
    <definedName name="PMERCVILLP" localSheetId="4">[5]ATRUCK!#REF!</definedName>
    <definedName name="PMERCVILLP">[5]ATRUCK!#REF!</definedName>
    <definedName name="PMERKURTOTAL" localSheetId="0">#REF!</definedName>
    <definedName name="PMERKURTOTAL" localSheetId="5">#REF!</definedName>
    <definedName name="PMERKURTOTAL" localSheetId="4">#REF!</definedName>
    <definedName name="PMERKURTOTAL">#REF!</definedName>
    <definedName name="PMFGTTOTAL" localSheetId="0">[5]ATRUCK!#REF!</definedName>
    <definedName name="PMFGTTOTAL" localSheetId="5">[5]ATRUCK!#REF!</definedName>
    <definedName name="PMFGTTOTAL" localSheetId="4">[5]ATRUCK!#REF!</definedName>
    <definedName name="PMFGTTOTAL">[5]ATRUCK!#REF!</definedName>
    <definedName name="PMH2CP" localSheetId="0">[4]ACARS!#REF!</definedName>
    <definedName name="PMH2CP" localSheetId="5">[4]ACARS!#REF!</definedName>
    <definedName name="PMH2CP" localSheetId="4">[4]ACARS!#REF!</definedName>
    <definedName name="PMH2CP">[4]ACARS!#REF!</definedName>
    <definedName name="PMH2SD" localSheetId="0">[4]ACARS!#REF!</definedName>
    <definedName name="PMH2SD" localSheetId="5">[4]ACARS!#REF!</definedName>
    <definedName name="PMH2SD" localSheetId="4">[4]ACARS!#REF!</definedName>
    <definedName name="PMH2SD">[4]ACARS!#REF!</definedName>
    <definedName name="PMH2SU" localSheetId="0">[5]ATRUCK!#REF!</definedName>
    <definedName name="PMH2SU" localSheetId="5">[5]ATRUCK!#REF!</definedName>
    <definedName name="PMH2SU" localSheetId="4">[5]ATRUCK!#REF!</definedName>
    <definedName name="PMH2SU">[5]ATRUCK!#REF!</definedName>
    <definedName name="PMH3CP" localSheetId="0">[4]ACARS!#REF!</definedName>
    <definedName name="PMH3CP" localSheetId="5">[4]ACARS!#REF!</definedName>
    <definedName name="PMH3CP" localSheetId="4">[4]ACARS!#REF!</definedName>
    <definedName name="PMH3CP">[4]ACARS!#REF!</definedName>
    <definedName name="PMH4SU" localSheetId="0">[5]ATRUCK!#REF!</definedName>
    <definedName name="PMH4SU" localSheetId="5">[5]ATRUCK!#REF!</definedName>
    <definedName name="PMH4SU" localSheetId="4">[5]ATRUCK!#REF!</definedName>
    <definedName name="PMH4SU">[5]ATRUCK!#REF!</definedName>
    <definedName name="PMHCV" localSheetId="0">[4]ACARS!#REF!</definedName>
    <definedName name="PMHCV" localSheetId="5">[4]ACARS!#REF!</definedName>
    <definedName name="PMHCV" localSheetId="4">[4]ACARS!#REF!</definedName>
    <definedName name="PMHCV">[4]ACARS!#REF!</definedName>
    <definedName name="PMHSUTOTAL" localSheetId="0">[5]ATRUCK!#REF!</definedName>
    <definedName name="PMHSUTOTAL" localSheetId="5">[5]ATRUCK!#REF!</definedName>
    <definedName name="PMHSUTOTAL" localSheetId="4">[5]ATRUCK!#REF!</definedName>
    <definedName name="PMHSUTOTAL">[5]ATRUCK!#REF!</definedName>
    <definedName name="PMHW" localSheetId="0">[4]ACARS!#REF!</definedName>
    <definedName name="PMHW" localSheetId="5">[4]ACARS!#REF!</definedName>
    <definedName name="PMHW" localSheetId="4">[4]ACARS!#REF!</definedName>
    <definedName name="PMHW">[4]ACARS!#REF!</definedName>
    <definedName name="PMITC" localSheetId="0">[5]ATRUCK!#REF!</definedName>
    <definedName name="PMITC" localSheetId="5">[5]ATRUCK!#REF!</definedName>
    <definedName name="PMITC" localSheetId="4">[5]ATRUCK!#REF!</definedName>
    <definedName name="PMITC">[5]ATRUCK!#REF!</definedName>
    <definedName name="PMITEXPOP" localSheetId="0">[5]ATRUCK!#REF!</definedName>
    <definedName name="PMITEXPOP" localSheetId="5">[5]ATRUCK!#REF!</definedName>
    <definedName name="PMITEXPOP" localSheetId="4">[5]ATRUCK!#REF!</definedName>
    <definedName name="PMITEXPOP">[5]ATRUCK!#REF!</definedName>
    <definedName name="PMITMAXR" localSheetId="0">[5]ATRUCK!#REF!</definedName>
    <definedName name="PMITMAXR" localSheetId="5">[5]ATRUCK!#REF!</definedName>
    <definedName name="PMITMAXR" localSheetId="4">[5]ATRUCK!#REF!</definedName>
    <definedName name="PMITMAXR">[5]ATRUCK!#REF!</definedName>
    <definedName name="PMITMAXX" localSheetId="0">[5]ATRUCK!#REF!</definedName>
    <definedName name="PMITMAXX" localSheetId="5">[5]ATRUCK!#REF!</definedName>
    <definedName name="PMITMAXX" localSheetId="4">[5]ATRUCK!#REF!</definedName>
    <definedName name="PMITMAXX">[5]ATRUCK!#REF!</definedName>
    <definedName name="PMITMONT" localSheetId="0">[5]ATRUCK!#REF!</definedName>
    <definedName name="PMITMONT" localSheetId="5">[5]ATRUCK!#REF!</definedName>
    <definedName name="PMITMONT" localSheetId="4">[5]ATRUCK!#REF!</definedName>
    <definedName name="PMITMONT">[5]ATRUCK!#REF!</definedName>
    <definedName name="PMITMONT4" localSheetId="0">[5]ATRUCK!#REF!</definedName>
    <definedName name="PMITMONT4" localSheetId="5">[5]ATRUCK!#REF!</definedName>
    <definedName name="PMITMONT4" localSheetId="4">[5]ATRUCK!#REF!</definedName>
    <definedName name="PMITMONT4">[5]ATRUCK!#REF!</definedName>
    <definedName name="PMITMONTALL" localSheetId="0">#REF!</definedName>
    <definedName name="PMITMONTALL" localSheetId="5">#REF!</definedName>
    <definedName name="PMITMONTALL" localSheetId="4">#REF!</definedName>
    <definedName name="PMITMONTALL">#REF!</definedName>
    <definedName name="PMITMONTSPT" localSheetId="0">[5]ATRUCK!#REF!</definedName>
    <definedName name="PMITMONTSPT" localSheetId="5">[5]ATRUCK!#REF!</definedName>
    <definedName name="PMITMONTSPT" localSheetId="4">[5]ATRUCK!#REF!</definedName>
    <definedName name="PMITMONTSPT">[5]ATRUCK!#REF!</definedName>
    <definedName name="PMITMXALL" localSheetId="0">#REF!</definedName>
    <definedName name="PMITMXALL" localSheetId="5">#REF!</definedName>
    <definedName name="PMITMXALL" localSheetId="4">#REF!</definedName>
    <definedName name="PMITMXALL">#REF!</definedName>
    <definedName name="PMITSUBISHI" localSheetId="0">[5]ATRUCK!#REF!</definedName>
    <definedName name="PMITSUBISHI" localSheetId="5">[5]ATRUCK!#REF!</definedName>
    <definedName name="PMITSUBISHI" localSheetId="4">[5]ATRUCK!#REF!</definedName>
    <definedName name="PMITSUBISHI">[5]ATRUCK!#REF!</definedName>
    <definedName name="PMITSUBISHITOTAL" localSheetId="0">#REF!</definedName>
    <definedName name="PMITSUBISHITOTAL" localSheetId="5">#REF!</definedName>
    <definedName name="PMITSUBISHITOTAL" localSheetId="4">#REF!</definedName>
    <definedName name="PMITSUBISHITOTAL">#REF!</definedName>
    <definedName name="PMITSUV" localSheetId="0">[5]ATRUCK!#REF!</definedName>
    <definedName name="PMITSUV" localSheetId="5">[5]ATRUCK!#REF!</definedName>
    <definedName name="PMITSUV" localSheetId="4">[5]ATRUCK!#REF!</definedName>
    <definedName name="PMITSUV">[5]ATRUCK!#REF!</definedName>
    <definedName name="PMITVANALL" localSheetId="0">#REF!</definedName>
    <definedName name="PMITVANALL" localSheetId="5">#REF!</definedName>
    <definedName name="PMITVANALL" localSheetId="4">#REF!</definedName>
    <definedName name="PMITVANALL">#REF!</definedName>
    <definedName name="PMITVANP" localSheetId="0">[5]ATRUCK!#REF!</definedName>
    <definedName name="PMITVANP" localSheetId="5">[5]ATRUCK!#REF!</definedName>
    <definedName name="PMITVANP" localSheetId="4">[5]ATRUCK!#REF!</definedName>
    <definedName name="PMITVANP">[5]ATRUCK!#REF!</definedName>
    <definedName name="PML2CP" localSheetId="0">[4]ACARS!#REF!</definedName>
    <definedName name="PML2CP" localSheetId="5">[4]ACARS!#REF!</definedName>
    <definedName name="PML2CP" localSheetId="4">[4]ACARS!#REF!</definedName>
    <definedName name="PML2CP">[4]ACARS!#REF!</definedName>
    <definedName name="PML2SD" localSheetId="0">[4]ACARS!#REF!</definedName>
    <definedName name="PML2SD" localSheetId="5">[4]ACARS!#REF!</definedName>
    <definedName name="PML2SD" localSheetId="4">[4]ACARS!#REF!</definedName>
    <definedName name="PML2SD">[4]ACARS!#REF!</definedName>
    <definedName name="PML2SU" localSheetId="0">[5]ATRUCK!#REF!</definedName>
    <definedName name="PML2SU" localSheetId="5">[5]ATRUCK!#REF!</definedName>
    <definedName name="PML2SU" localSheetId="4">[5]ATRUCK!#REF!</definedName>
    <definedName name="PML2SU">[5]ATRUCK!#REF!</definedName>
    <definedName name="PML4SU" localSheetId="0">[5]ATRUCK!#REF!</definedName>
    <definedName name="PML4SU" localSheetId="5">[5]ATRUCK!#REF!</definedName>
    <definedName name="PML4SU" localSheetId="4">[5]ATRUCK!#REF!</definedName>
    <definedName name="PML4SU">[5]ATRUCK!#REF!</definedName>
    <definedName name="PMLCV" localSheetId="0">[4]ACARS!#REF!</definedName>
    <definedName name="PMLCV" localSheetId="5">[4]ACARS!#REF!</definedName>
    <definedName name="PMLCV" localSheetId="4">[4]ACARS!#REF!</definedName>
    <definedName name="PMLCV">[4]ACARS!#REF!</definedName>
    <definedName name="PMLSUTOTAL" localSheetId="0">[5]ATRUCK!#REF!</definedName>
    <definedName name="PMLSUTOTAL" localSheetId="5">[5]ATRUCK!#REF!</definedName>
    <definedName name="PMLSUTOTAL" localSheetId="4">[5]ATRUCK!#REF!</definedName>
    <definedName name="PMLSUTOTAL">[5]ATRUCK!#REF!</definedName>
    <definedName name="PMLW" localSheetId="0">[4]ACARS!#REF!</definedName>
    <definedName name="PMLW" localSheetId="5">[4]ACARS!#REF!</definedName>
    <definedName name="PMLW" localSheetId="4">[4]ACARS!#REF!</definedName>
    <definedName name="PMLW">[4]ACARS!#REF!</definedName>
    <definedName name="PMPUEC" localSheetId="0">[5]ATRUCK!#REF!</definedName>
    <definedName name="PMPUEC" localSheetId="5">[5]ATRUCK!#REF!</definedName>
    <definedName name="PMPUEC" localSheetId="4">[5]ATRUCK!#REF!</definedName>
    <definedName name="PMPUEC">[5]ATRUCK!#REF!</definedName>
    <definedName name="PMPURC" localSheetId="0">[5]ATRUCK!#REF!</definedName>
    <definedName name="PMPURC" localSheetId="5">[5]ATRUCK!#REF!</definedName>
    <definedName name="PMPURC" localSheetId="4">[5]ATRUCK!#REF!</definedName>
    <definedName name="PMPURC">[5]ATRUCK!#REF!</definedName>
    <definedName name="PMPUTOTAL" localSheetId="0">[5]ATRUCK!#REF!</definedName>
    <definedName name="PMPUTOTAL" localSheetId="5">[5]ATRUCK!#REF!</definedName>
    <definedName name="PMPUTOTAL" localSheetId="4">[5]ATRUCK!#REF!</definedName>
    <definedName name="PMPUTOTAL">[5]ATRUCK!#REF!</definedName>
    <definedName name="PMZBSERIESALL" localSheetId="0">#REF!</definedName>
    <definedName name="PMZBSERIESALL" localSheetId="5">#REF!</definedName>
    <definedName name="PMZBSERIESALL" localSheetId="4">#REF!</definedName>
    <definedName name="PMZBSERIESALL">#REF!</definedName>
    <definedName name="PMZMPV" localSheetId="0">[5]ATRUCK!#REF!</definedName>
    <definedName name="PMZMPV" localSheetId="5">[5]ATRUCK!#REF!</definedName>
    <definedName name="PMZMPV" localSheetId="4">[5]ATRUCK!#REF!</definedName>
    <definedName name="PMZMPV">[5]ATRUCK!#REF!</definedName>
    <definedName name="PMZNAVA" localSheetId="0">[5]ATRUCK!#REF!</definedName>
    <definedName name="PMZNAVA" localSheetId="5">[5]ATRUCK!#REF!</definedName>
    <definedName name="PMZNAVA" localSheetId="4">[5]ATRUCK!#REF!</definedName>
    <definedName name="PMZNAVA">[5]ATRUCK!#REF!</definedName>
    <definedName name="PMZPATH" localSheetId="0">[5]ATRUCK!#REF!</definedName>
    <definedName name="PMZPATH" localSheetId="5">[5]ATRUCK!#REF!</definedName>
    <definedName name="PMZPATH" localSheetId="4">[5]ATRUCK!#REF!</definedName>
    <definedName name="PMZPATH">[5]ATRUCK!#REF!</definedName>
    <definedName name="PMZR" localSheetId="0">[5]ATRUCK!#REF!</definedName>
    <definedName name="PMZR" localSheetId="5">[5]ATRUCK!#REF!</definedName>
    <definedName name="PMZR" localSheetId="4">[5]ATRUCK!#REF!</definedName>
    <definedName name="PMZR">[5]ATRUCK!#REF!</definedName>
    <definedName name="PMZU204" localSheetId="0">[5]ATRUCK!#REF!</definedName>
    <definedName name="PMZU204" localSheetId="5">[5]ATRUCK!#REF!</definedName>
    <definedName name="PMZU204" localSheetId="4">[5]ATRUCK!#REF!</definedName>
    <definedName name="PMZU204">[5]ATRUCK!#REF!</definedName>
    <definedName name="PMZX" localSheetId="0">[5]ATRUCK!#REF!</definedName>
    <definedName name="PMZX" localSheetId="5">[5]ATRUCK!#REF!</definedName>
    <definedName name="PMZX" localSheetId="4">[5]ATRUCK!#REF!</definedName>
    <definedName name="PMZX">[5]ATRUCK!#REF!</definedName>
    <definedName name="PNEMONIC" localSheetId="0">[5]ATRUCK!#REF!</definedName>
    <definedName name="PNEMONIC" localSheetId="5">[5]ATRUCK!#REF!</definedName>
    <definedName name="PNEMONIC" localSheetId="4">[5]ATRUCK!#REF!</definedName>
    <definedName name="PNEMONIC">[5]ATRUCK!#REF!</definedName>
    <definedName name="PNISFRONT4" localSheetId="0">[5]ATRUCK!#REF!</definedName>
    <definedName name="PNISFRONT4" localSheetId="5">[5]ATRUCK!#REF!</definedName>
    <definedName name="PNISFRONT4" localSheetId="4">[5]ATRUCK!#REF!</definedName>
    <definedName name="PNISFRONT4">[5]ATRUCK!#REF!</definedName>
    <definedName name="PNISFRONTALL" localSheetId="0">#REF!</definedName>
    <definedName name="PNISFRONTALL" localSheetId="5">#REF!</definedName>
    <definedName name="PNISFRONTALL" localSheetId="4">#REF!</definedName>
    <definedName name="PNISFRONTALL">#REF!</definedName>
    <definedName name="PNISLSUT" localSheetId="0">[5]ATRUCK!#REF!</definedName>
    <definedName name="PNISLSUT" localSheetId="5">[5]ATRUCK!#REF!</definedName>
    <definedName name="PNISLSUT" localSheetId="4">[5]ATRUCK!#REF!</definedName>
    <definedName name="PNISLSUT">[5]ATRUCK!#REF!</definedName>
    <definedName name="PNISLTR" localSheetId="0">[5]ATRUCK!#REF!</definedName>
    <definedName name="PNISLTR" localSheetId="5">[5]ATRUCK!#REF!</definedName>
    <definedName name="PNISLTR" localSheetId="4">[5]ATRUCK!#REF!</definedName>
    <definedName name="PNISLTR">[5]ATRUCK!#REF!</definedName>
    <definedName name="PNISPATH4" localSheetId="0">[5]ATRUCK!#REF!</definedName>
    <definedName name="PNISPATH4" localSheetId="5">[5]ATRUCK!#REF!</definedName>
    <definedName name="PNISPATH4" localSheetId="4">[5]ATRUCK!#REF!</definedName>
    <definedName name="PNISPATH4">[5]ATRUCK!#REF!</definedName>
    <definedName name="PNISPATHALL" localSheetId="0">#REF!</definedName>
    <definedName name="PNISPATHALL" localSheetId="5">#REF!</definedName>
    <definedName name="PNISPATHALL" localSheetId="4">#REF!</definedName>
    <definedName name="PNISPATHALL">#REF!</definedName>
    <definedName name="PNISPUR" localSheetId="0">[5]ATRUCK!#REF!</definedName>
    <definedName name="PNISPUR" localSheetId="5">[5]ATRUCK!#REF!</definedName>
    <definedName name="PNISPUR" localSheetId="4">[5]ATRUCK!#REF!</definedName>
    <definedName name="PNISPUR">[5]ATRUCK!#REF!</definedName>
    <definedName name="PNISPUX" localSheetId="0">[5]ATRUCK!#REF!</definedName>
    <definedName name="PNISPUX" localSheetId="5">[5]ATRUCK!#REF!</definedName>
    <definedName name="PNISPUX" localSheetId="4">[5]ATRUCK!#REF!</definedName>
    <definedName name="PNISPUX">[5]ATRUCK!#REF!</definedName>
    <definedName name="PNISQUESTP" localSheetId="0">[5]ATRUCK!#REF!</definedName>
    <definedName name="PNISQUESTP" localSheetId="5">[5]ATRUCK!#REF!</definedName>
    <definedName name="PNISQUESTP" localSheetId="4">[5]ATRUCK!#REF!</definedName>
    <definedName name="PNISQUESTP">[5]ATRUCK!#REF!</definedName>
    <definedName name="PNISSAN" localSheetId="0">[5]ATRUCK!#REF!</definedName>
    <definedName name="PNISSAN" localSheetId="5">[5]ATRUCK!#REF!</definedName>
    <definedName name="PNISSAN" localSheetId="4">[5]ATRUCK!#REF!</definedName>
    <definedName name="PNISSAN">[5]ATRUCK!#REF!</definedName>
    <definedName name="PNISSANTOTAL" localSheetId="0">#REF!</definedName>
    <definedName name="PNISSANTOTAL" localSheetId="5">#REF!</definedName>
    <definedName name="PNISSANTOTAL" localSheetId="4">#REF!</definedName>
    <definedName name="PNISSANTOTAL">#REF!</definedName>
    <definedName name="PNISSUT" localSheetId="0">[5]ATRUCK!#REF!</definedName>
    <definedName name="PNISSUT" localSheetId="5">[5]ATRUCK!#REF!</definedName>
    <definedName name="PNISSUT" localSheetId="4">[5]ATRUCK!#REF!</definedName>
    <definedName name="PNISSUT">[5]ATRUCK!#REF!</definedName>
    <definedName name="PNISVANP" localSheetId="0">[5]ATRUCK!#REF!</definedName>
    <definedName name="PNISVANP" localSheetId="5">[5]ATRUCK!#REF!</definedName>
    <definedName name="PNISVANP" localSheetId="4">[5]ATRUCK!#REF!</definedName>
    <definedName name="PNISVANP">[5]ATRUCK!#REF!</definedName>
    <definedName name="PNISWQW4" localSheetId="0">[5]ATRUCK!#REF!</definedName>
    <definedName name="PNISWQW4" localSheetId="5">[5]ATRUCK!#REF!</definedName>
    <definedName name="PNISWQW4" localSheetId="4">[5]ATRUCK!#REF!</definedName>
    <definedName name="PNISWQW4">[5]ATRUCK!#REF!</definedName>
    <definedName name="PNL2CP" localSheetId="0">[4]ACARS!#REF!</definedName>
    <definedName name="PNL2CP" localSheetId="5">[4]ACARS!#REF!</definedName>
    <definedName name="PNL2CP" localSheetId="4">[4]ACARS!#REF!</definedName>
    <definedName name="PNL2CP">[4]ACARS!#REF!</definedName>
    <definedName name="PNL2SD" localSheetId="0">[4]ACARS!#REF!</definedName>
    <definedName name="PNL2SD" localSheetId="5">[4]ACARS!#REF!</definedName>
    <definedName name="PNL2SD" localSheetId="4">[4]ACARS!#REF!</definedName>
    <definedName name="PNL2SD">[4]ACARS!#REF!</definedName>
    <definedName name="PNL2SU" localSheetId="0">[5]ATRUCK!#REF!</definedName>
    <definedName name="PNL2SU" localSheetId="5">[5]ATRUCK!#REF!</definedName>
    <definedName name="PNL2SU" localSheetId="4">[5]ATRUCK!#REF!</definedName>
    <definedName name="PNL2SU">[5]ATRUCK!#REF!</definedName>
    <definedName name="PNL3CP" localSheetId="0">[4]ACARS!#REF!</definedName>
    <definedName name="PNL3CP" localSheetId="5">[4]ACARS!#REF!</definedName>
    <definedName name="PNL3CP" localSheetId="4">[4]ACARS!#REF!</definedName>
    <definedName name="PNL3CP">[4]ACARS!#REF!</definedName>
    <definedName name="PNL3HB" localSheetId="0">[4]ACARS!#REF!</definedName>
    <definedName name="PNL3HB" localSheetId="5">[4]ACARS!#REF!</definedName>
    <definedName name="PNL3HB" localSheetId="4">[4]ACARS!#REF!</definedName>
    <definedName name="PNL3HB">[4]ACARS!#REF!</definedName>
    <definedName name="PNL4SU" localSheetId="0">[5]ATRUCK!#REF!</definedName>
    <definedName name="PNL4SU" localSheetId="5">[5]ATRUCK!#REF!</definedName>
    <definedName name="PNL4SU" localSheetId="4">[5]ATRUCK!#REF!</definedName>
    <definedName name="PNL4SU">[5]ATRUCK!#REF!</definedName>
    <definedName name="PNL5HB" localSheetId="0">[4]ACARS!#REF!</definedName>
    <definedName name="PNL5HB" localSheetId="5">[4]ACARS!#REF!</definedName>
    <definedName name="PNL5HB" localSheetId="4">[4]ACARS!#REF!</definedName>
    <definedName name="PNL5HB">[4]ACARS!#REF!</definedName>
    <definedName name="PNLCV" localSheetId="0">[4]ACARS!#REF!</definedName>
    <definedName name="PNLCV" localSheetId="5">[4]ACARS!#REF!</definedName>
    <definedName name="PNLCV" localSheetId="4">[4]ACARS!#REF!</definedName>
    <definedName name="PNLCV">[4]ACARS!#REF!</definedName>
    <definedName name="PNLSUTOTAL" localSheetId="0">[5]ATRUCK!#REF!</definedName>
    <definedName name="PNLSUTOTAL" localSheetId="5">[5]ATRUCK!#REF!</definedName>
    <definedName name="PNLSUTOTAL" localSheetId="4">[5]ATRUCK!#REF!</definedName>
    <definedName name="PNLSUTOTAL">[5]ATRUCK!#REF!</definedName>
    <definedName name="PNLW" localSheetId="0">[4]ACARS!#REF!</definedName>
    <definedName name="PNLW" localSheetId="5">[4]ACARS!#REF!</definedName>
    <definedName name="PNLW" localSheetId="4">[4]ACARS!#REF!</definedName>
    <definedName name="PNLW">[4]ACARS!#REF!</definedName>
    <definedName name="POLD315" localSheetId="0">[5]ATRUCK!#REF!</definedName>
    <definedName name="POLD315" localSheetId="5">[5]ATRUCK!#REF!</definedName>
    <definedName name="POLD315" localSheetId="4">[5]ATRUCK!#REF!</definedName>
    <definedName name="POLD315">[5]ATRUCK!#REF!</definedName>
    <definedName name="POLDBRAV" localSheetId="0">[5]ATRUCK!#REF!</definedName>
    <definedName name="POLDBRAV" localSheetId="5">[5]ATRUCK!#REF!</definedName>
    <definedName name="POLDBRAV" localSheetId="4">[5]ATRUCK!#REF!</definedName>
    <definedName name="POLDBRAV">[5]ATRUCK!#REF!</definedName>
    <definedName name="POLDSILHP" localSheetId="0">[5]ATRUCK!#REF!</definedName>
    <definedName name="POLDSILHP" localSheetId="5">[5]ATRUCK!#REF!</definedName>
    <definedName name="POLDSILHP" localSheetId="4">[5]ATRUCK!#REF!</definedName>
    <definedName name="POLDSILHP">[5]ATRUCK!#REF!</definedName>
    <definedName name="POLDSMOBILE" localSheetId="0">[5]ATRUCK!#REF!</definedName>
    <definedName name="POLDSMOBILE" localSheetId="5">[5]ATRUCK!#REF!</definedName>
    <definedName name="POLDSMOBILE" localSheetId="4">[5]ATRUCK!#REF!</definedName>
    <definedName name="POLDSMOBILE">[5]ATRUCK!#REF!</definedName>
    <definedName name="POLDSMOBILETOTAL" localSheetId="0">#REF!</definedName>
    <definedName name="POLDSMOBILETOTAL" localSheetId="5">#REF!</definedName>
    <definedName name="POLDSMOBILETOTAL" localSheetId="4">#REF!</definedName>
    <definedName name="POLDSMOBILETOTAL">#REF!</definedName>
    <definedName name="PONT6000ALL" localSheetId="0">#REF!</definedName>
    <definedName name="PONT6000ALL" localSheetId="5">#REF!</definedName>
    <definedName name="PONT6000ALL" localSheetId="4">#REF!</definedName>
    <definedName name="PONT6000ALL">#REF!</definedName>
    <definedName name="PONTFIREBIRDALL" localSheetId="0">#REF!</definedName>
    <definedName name="PONTFIREBIRDALL" localSheetId="5">#REF!</definedName>
    <definedName name="PONTFIREBIRDALL" localSheetId="4">#REF!</definedName>
    <definedName name="PONTFIREBIRDALL">#REF!</definedName>
    <definedName name="PONTGRAMALL" localSheetId="0">#REF!</definedName>
    <definedName name="PONTGRAMALL" localSheetId="5">#REF!</definedName>
    <definedName name="PONTGRAMALL" localSheetId="4">#REF!</definedName>
    <definedName name="PONTGRAMALL">#REF!</definedName>
    <definedName name="PONTGRPRIXALL" localSheetId="0">#REF!</definedName>
    <definedName name="PONTGRPRIXALL" localSheetId="5">#REF!</definedName>
    <definedName name="PONTGRPRIXALL" localSheetId="4">#REF!</definedName>
    <definedName name="PONTGRPRIXALL">#REF!</definedName>
    <definedName name="PONTIACTOTAL" localSheetId="0">#REF!</definedName>
    <definedName name="PONTIACTOTAL" localSheetId="5">#REF!</definedName>
    <definedName name="PONTIACTOTAL" localSheetId="4">#REF!</definedName>
    <definedName name="PONTIACTOTAL">#REF!</definedName>
    <definedName name="PONTLEMANSALL" localSheetId="0">#REF!</definedName>
    <definedName name="PONTLEMANSALL" localSheetId="5">#REF!</definedName>
    <definedName name="PONTLEMANSALL" localSheetId="4">#REF!</definedName>
    <definedName name="PONTLEMANSALL">#REF!</definedName>
    <definedName name="PONTRECON">[5]ATRUCK!$F$132:$V$132</definedName>
    <definedName name="PONTSUNALL" localSheetId="0">#REF!</definedName>
    <definedName name="PONTSUNALL" localSheetId="5">#REF!</definedName>
    <definedName name="PONTSUNALL" localSheetId="4">#REF!</definedName>
    <definedName name="PONTSUNALL">#REF!</definedName>
    <definedName name="PONTT1000ALL" localSheetId="0">#REF!</definedName>
    <definedName name="PONTT1000ALL" localSheetId="5">#REF!</definedName>
    <definedName name="PONTT1000ALL" localSheetId="4">#REF!</definedName>
    <definedName name="PONTT1000ALL">#REF!</definedName>
    <definedName name="PONTTRANP">[5]ATRUCK!$F$66:$V$66</definedName>
    <definedName name="PORSCHE911ALL" localSheetId="0">#REF!</definedName>
    <definedName name="PORSCHE911ALL" localSheetId="5">#REF!</definedName>
    <definedName name="PORSCHE911ALL" localSheetId="4">#REF!</definedName>
    <definedName name="PORSCHE911ALL">#REF!</definedName>
    <definedName name="PORSCHE944_968ALL" localSheetId="0">#REF!</definedName>
    <definedName name="PORSCHE944_968ALL" localSheetId="5">#REF!</definedName>
    <definedName name="PORSCHE944_968ALL" localSheetId="4">#REF!</definedName>
    <definedName name="PORSCHE944_968ALL">#REF!</definedName>
    <definedName name="PORSCHETOTAL" localSheetId="0">#REF!</definedName>
    <definedName name="PORSCHETOTAL" localSheetId="5">#REF!</definedName>
    <definedName name="PORSCHETOTAL" localSheetId="4">#REF!</definedName>
    <definedName name="PORSCHETOTAL">#REF!</definedName>
    <definedName name="PORV2SU" localSheetId="0">[5]ATRUCK!#REF!</definedName>
    <definedName name="PORV2SU" localSheetId="5">[5]ATRUCK!#REF!</definedName>
    <definedName name="PORV2SU" localSheetId="4">[5]ATRUCK!#REF!</definedName>
    <definedName name="PORV2SU">[5]ATRUCK!#REF!</definedName>
    <definedName name="PORV4SU" localSheetId="0">[5]ATRUCK!#REF!</definedName>
    <definedName name="PORV4SU" localSheetId="5">[5]ATRUCK!#REF!</definedName>
    <definedName name="PORV4SU" localSheetId="4">[5]ATRUCK!#REF!</definedName>
    <definedName name="PORV4SU">[5]ATRUCK!#REF!</definedName>
    <definedName name="PORVTOTAL" localSheetId="0">[5]ATRUCK!#REF!</definedName>
    <definedName name="PORVTOTAL" localSheetId="5">[5]ATRUCK!#REF!</definedName>
    <definedName name="PORVTOTAL" localSheetId="4">[5]ATRUCK!#REF!</definedName>
    <definedName name="PORVTOTAL">[5]ATRUCK!#REF!</definedName>
    <definedName name="PP" localSheetId="0">#REF!</definedName>
    <definedName name="PP" localSheetId="5">#REF!</definedName>
    <definedName name="PP" localSheetId="4">#REF!</definedName>
    <definedName name="PP">#REF!</definedName>
    <definedName name="PPEUGEOTTOTAL" localSheetId="0">#REF!</definedName>
    <definedName name="PPEUGEOTTOTAL" localSheetId="5">#REF!</definedName>
    <definedName name="PPEUGEOTTOTAL" localSheetId="4">#REF!</definedName>
    <definedName name="PPEUGEOTTOTAL">#REF!</definedName>
    <definedName name="PPLYMOUTH" localSheetId="0">[5]ATRUCK!#REF!</definedName>
    <definedName name="PPLYMOUTH" localSheetId="5">[5]ATRUCK!#REF!</definedName>
    <definedName name="PPLYMOUTH" localSheetId="4">[5]ATRUCK!#REF!</definedName>
    <definedName name="PPLYMOUTH">[5]ATRUCK!#REF!</definedName>
    <definedName name="PPLYMOUTHTOTAL" localSheetId="0">#REF!</definedName>
    <definedName name="PPLYMOUTHTOTAL" localSheetId="5">#REF!</definedName>
    <definedName name="PPLYMOUTHTOTAL" localSheetId="4">#REF!</definedName>
    <definedName name="PPLYMOUTHTOTAL">#REF!</definedName>
    <definedName name="PPLYVOYP" localSheetId="0">[5]ATRUCK!#REF!</definedName>
    <definedName name="PPLYVOYP" localSheetId="5">[5]ATRUCK!#REF!</definedName>
    <definedName name="PPLYVOYP" localSheetId="4">[5]ATRUCK!#REF!</definedName>
    <definedName name="PPLYVOYP">[5]ATRUCK!#REF!</definedName>
    <definedName name="PPONTIAC" localSheetId="0">[5]ATRUCK!#REF!</definedName>
    <definedName name="PPONTIAC" localSheetId="5">[5]ATRUCK!#REF!</definedName>
    <definedName name="PPONTIAC" localSheetId="4">[5]ATRUCK!#REF!</definedName>
    <definedName name="PPONTIAC">[5]ATRUCK!#REF!</definedName>
    <definedName name="PPONTIACTOTAL" localSheetId="0">#REF!</definedName>
    <definedName name="PPONTIACTOTAL" localSheetId="5">#REF!</definedName>
    <definedName name="PPONTIACTOTAL" localSheetId="4">#REF!</definedName>
    <definedName name="PPONTIACTOTAL">#REF!</definedName>
    <definedName name="PPONTRECON" localSheetId="0">[5]ATRUCK!#REF!</definedName>
    <definedName name="PPONTRECON" localSheetId="5">[5]ATRUCK!#REF!</definedName>
    <definedName name="PPONTRECON" localSheetId="4">[5]ATRUCK!#REF!</definedName>
    <definedName name="PPONTRECON">[5]ATRUCK!#REF!</definedName>
    <definedName name="PPONTTRANP" localSheetId="0">[5]ATRUCK!#REF!</definedName>
    <definedName name="PPONTTRANP" localSheetId="5">[5]ATRUCK!#REF!</definedName>
    <definedName name="PPONTTRANP" localSheetId="4">[5]ATRUCK!#REF!</definedName>
    <definedName name="PPONTTRANP">[5]ATRUCK!#REF!</definedName>
    <definedName name="PPOR9010" localSheetId="0">[5]ATRUCK!#REF!</definedName>
    <definedName name="PPOR9010" localSheetId="5">[5]ATRUCK!#REF!</definedName>
    <definedName name="PPOR9010" localSheetId="4">[5]ATRUCK!#REF!</definedName>
    <definedName name="PPOR9010">[5]ATRUCK!#REF!</definedName>
    <definedName name="PPORSCHE" localSheetId="0">[5]ATRUCK!#REF!</definedName>
    <definedName name="PPORSCHE" localSheetId="5">[5]ATRUCK!#REF!</definedName>
    <definedName name="PPORSCHE" localSheetId="4">[5]ATRUCK!#REF!</definedName>
    <definedName name="PPORSCHE">[5]ATRUCK!#REF!</definedName>
    <definedName name="PPORSCHETOTAL" localSheetId="0">#REF!</definedName>
    <definedName name="PPORSCHETOTAL" localSheetId="5">#REF!</definedName>
    <definedName name="PPORSCHETOTAL" localSheetId="4">#REF!</definedName>
    <definedName name="PPORSCHETOTAL">#REF!</definedName>
    <definedName name="PPS" localSheetId="0">#REF!</definedName>
    <definedName name="PPS" localSheetId="5">#REF!</definedName>
    <definedName name="PPS" localSheetId="4">#REF!</definedName>
    <definedName name="PPS">#REF!</definedName>
    <definedName name="PPSR" localSheetId="0">#REF!</definedName>
    <definedName name="PPSR" localSheetId="5">#REF!</definedName>
    <definedName name="PPSR" localSheetId="4">#REF!</definedName>
    <definedName name="PPSR">#REF!</definedName>
    <definedName name="PPV" localSheetId="0">[5]ATRUCK!#REF!</definedName>
    <definedName name="PPV" localSheetId="5">[5]ATRUCK!#REF!</definedName>
    <definedName name="PPV" localSheetId="4">[5]ATRUCK!#REF!</definedName>
    <definedName name="PPV">[5]ATRUCK!#REF!</definedName>
    <definedName name="PPVTOTAL" localSheetId="0">[5]ATRUCK!#REF!</definedName>
    <definedName name="PPVTOTAL" localSheetId="5">[5]ATRUCK!#REF!</definedName>
    <definedName name="PPVTOTAL" localSheetId="4">[5]ATRUCK!#REF!</definedName>
    <definedName name="PPVTOTAL">[5]ATRUCK!#REF!</definedName>
    <definedName name="_xlnm.Print_Area" localSheetId="0">'Funding 2019'!$D$2:$N$81</definedName>
    <definedName name="_xlnm.Print_Area" localSheetId="8">'Product Summary'!$B$2:$H$27</definedName>
    <definedName name="_xlnm.Print_Area" localSheetId="5">#REF!</definedName>
    <definedName name="_xlnm.Print_Area" localSheetId="4">'Reminder (3)'!$A$1:$N$9</definedName>
    <definedName name="_xlnm.Print_Area">#REF!</definedName>
    <definedName name="Print_Area_MI">[24]L400!$A$1:$E$63</definedName>
    <definedName name="_xlnm.Print_Titles" localSheetId="0">'Funding 2019'!$D:$AC,'Funding 2019'!$4:$4</definedName>
    <definedName name="ProdForm" localSheetId="5" hidden="1">#REF!</definedName>
    <definedName name="ProdForm" localSheetId="4" hidden="1">#REF!</definedName>
    <definedName name="ProdForm" hidden="1">#REF!</definedName>
    <definedName name="Product" localSheetId="5" hidden="1">#REF!</definedName>
    <definedName name="Product" localSheetId="4" hidden="1">#REF!</definedName>
    <definedName name="Product" hidden="1">#REF!</definedName>
    <definedName name="PROV4" localSheetId="0">[5]ATRUCK!#REF!</definedName>
    <definedName name="PROV4" localSheetId="5">[5]ATRUCK!#REF!</definedName>
    <definedName name="PROV4" localSheetId="4">[5]ATRUCK!#REF!</definedName>
    <definedName name="PROV4">[5]ATRUCK!#REF!</definedName>
    <definedName name="PROVDEF110" localSheetId="0">[5]ATRUCK!#REF!</definedName>
    <definedName name="PROVDEF110" localSheetId="5">[5]ATRUCK!#REF!</definedName>
    <definedName name="PROVDEF110" localSheetId="4">[5]ATRUCK!#REF!</definedName>
    <definedName name="PROVDEF110">[5]ATRUCK!#REF!</definedName>
    <definedName name="PROVDEF90" localSheetId="0">[5]ATRUCK!#REF!</definedName>
    <definedName name="PROVDEF90" localSheetId="5">[5]ATRUCK!#REF!</definedName>
    <definedName name="PROVDEF90" localSheetId="4">[5]ATRUCK!#REF!</definedName>
    <definedName name="PROVDEF90">[5]ATRUCK!#REF!</definedName>
    <definedName name="PROVDEFALL" localSheetId="0">#REF!</definedName>
    <definedName name="PROVDEFALL" localSheetId="5">#REF!</definedName>
    <definedName name="PROVDEFALL" localSheetId="4">#REF!</definedName>
    <definedName name="PROVDEFALL">#REF!</definedName>
    <definedName name="PROVDISC4" localSheetId="0">[5]ATRUCK!#REF!</definedName>
    <definedName name="PROVDISC4" localSheetId="5">[5]ATRUCK!#REF!</definedName>
    <definedName name="PROVDISC4" localSheetId="4">[5]ATRUCK!#REF!</definedName>
    <definedName name="PROVDISC4">[5]ATRUCK!#REF!</definedName>
    <definedName name="PRover_Car" localSheetId="0">#REF!</definedName>
    <definedName name="PRover_Car" localSheetId="5">#REF!</definedName>
    <definedName name="PRover_Car" localSheetId="4">#REF!</definedName>
    <definedName name="PRover_Car">#REF!</definedName>
    <definedName name="PROVFREE4" localSheetId="0">[5]ATRUCK!#REF!</definedName>
    <definedName name="PROVFREE4" localSheetId="5">[5]ATRUCK!#REF!</definedName>
    <definedName name="PROVFREE4" localSheetId="4">[5]ATRUCK!#REF!</definedName>
    <definedName name="PROVFREE4">[5]ATRUCK!#REF!</definedName>
    <definedName name="PROVROVALL" localSheetId="0">#REF!</definedName>
    <definedName name="PROVROVALL" localSheetId="5">#REF!</definedName>
    <definedName name="PROVROVALL" localSheetId="4">#REF!</definedName>
    <definedName name="PROVROVALL">#REF!</definedName>
    <definedName name="PROVSE4" localSheetId="0">[5]ATRUCK!#REF!</definedName>
    <definedName name="PROVSE4" localSheetId="5">[5]ATRUCK!#REF!</definedName>
    <definedName name="PROVSE4" localSheetId="4">[5]ATRUCK!#REF!</definedName>
    <definedName name="PROVSE4">[5]ATRUCK!#REF!</definedName>
    <definedName name="PS24S">[11]内容詳細!$J$8</definedName>
    <definedName name="PSAAB" localSheetId="0">[5]ATRUCK!#REF!</definedName>
    <definedName name="PSAAB" localSheetId="5">[5]ATRUCK!#REF!</definedName>
    <definedName name="PSAAB" localSheetId="4">[5]ATRUCK!#REF!</definedName>
    <definedName name="PSAAB">[5]ATRUCK!#REF!</definedName>
    <definedName name="PSAABTOTAL" localSheetId="0">#REF!</definedName>
    <definedName name="PSAABTOTAL" localSheetId="5">#REF!</definedName>
    <definedName name="PSAABTOTAL" localSheetId="4">#REF!</definedName>
    <definedName name="PSAABTOTAL">#REF!</definedName>
    <definedName name="PSATSLV" localSheetId="0">[5]ATRUCK!#REF!</definedName>
    <definedName name="PSATSLV" localSheetId="5">[5]ATRUCK!#REF!</definedName>
    <definedName name="PSATSLV" localSheetId="4">[5]ATRUCK!#REF!</definedName>
    <definedName name="PSATSLV">[5]ATRUCK!#REF!</definedName>
    <definedName name="PSATURN" localSheetId="0">[5]ATRUCK!#REF!</definedName>
    <definedName name="PSATURN" localSheetId="5">[5]ATRUCK!#REF!</definedName>
    <definedName name="PSATURN" localSheetId="4">[5]ATRUCK!#REF!</definedName>
    <definedName name="PSATURN">[5]ATRUCK!#REF!</definedName>
    <definedName name="PSATURNTOTAL" localSheetId="0">#REF!</definedName>
    <definedName name="PSATURNTOTAL" localSheetId="5">#REF!</definedName>
    <definedName name="PSATURNTOTAL" localSheetId="4">#REF!</definedName>
    <definedName name="PSATURNTOTAL">#REF!</definedName>
    <definedName name="PSBFOREST4" localSheetId="0">[5]ATRUCK!#REF!</definedName>
    <definedName name="PSBFOREST4" localSheetId="5">[5]ATRUCK!#REF!</definedName>
    <definedName name="PSBFOREST4" localSheetId="4">[5]ATRUCK!#REF!</definedName>
    <definedName name="PSBFOREST4">[5]ATRUCK!#REF!</definedName>
    <definedName name="PSH2CP" localSheetId="0">[4]ACARS!#REF!</definedName>
    <definedName name="PSH2CP" localSheetId="5">[4]ACARS!#REF!</definedName>
    <definedName name="PSH2CP" localSheetId="4">[4]ACARS!#REF!</definedName>
    <definedName name="PSH2CP">[4]ACARS!#REF!</definedName>
    <definedName name="PSH2SD" localSheetId="0">[4]ACARS!#REF!</definedName>
    <definedName name="PSH2SD" localSheetId="5">[4]ACARS!#REF!</definedName>
    <definedName name="PSH2SD" localSheetId="4">[4]ACARS!#REF!</definedName>
    <definedName name="PSH2SD">[4]ACARS!#REF!</definedName>
    <definedName name="PSH2SU" localSheetId="0">[5]ATRUCK!#REF!</definedName>
    <definedName name="PSH2SU" localSheetId="5">[5]ATRUCK!#REF!</definedName>
    <definedName name="PSH2SU" localSheetId="4">[5]ATRUCK!#REF!</definedName>
    <definedName name="PSH2SU">[5]ATRUCK!#REF!</definedName>
    <definedName name="PSH3CP" localSheetId="0">[4]ACARS!#REF!</definedName>
    <definedName name="PSH3CP" localSheetId="5">[4]ACARS!#REF!</definedName>
    <definedName name="PSH3CP" localSheetId="4">[4]ACARS!#REF!</definedName>
    <definedName name="PSH3CP">[4]ACARS!#REF!</definedName>
    <definedName name="PSH3HB" localSheetId="0">[4]ACARS!#REF!</definedName>
    <definedName name="PSH3HB" localSheetId="5">[4]ACARS!#REF!</definedName>
    <definedName name="PSH3HB" localSheetId="4">[4]ACARS!#REF!</definedName>
    <definedName name="PSH3HB">[4]ACARS!#REF!</definedName>
    <definedName name="PSH4SU" localSheetId="0">[5]ATRUCK!#REF!</definedName>
    <definedName name="PSH4SU" localSheetId="5">[5]ATRUCK!#REF!</definedName>
    <definedName name="PSH4SU" localSheetId="4">[5]ATRUCK!#REF!</definedName>
    <definedName name="PSH4SU">[5]ATRUCK!#REF!</definedName>
    <definedName name="PSH5HB" localSheetId="0">[4]ACARS!#REF!</definedName>
    <definedName name="PSH5HB" localSheetId="5">[4]ACARS!#REF!</definedName>
    <definedName name="PSH5HB" localSheetId="4">[4]ACARS!#REF!</definedName>
    <definedName name="PSH5HB">[4]ACARS!#REF!</definedName>
    <definedName name="PSHCV" localSheetId="0">[4]ACARS!#REF!</definedName>
    <definedName name="PSHCV" localSheetId="5">[4]ACARS!#REF!</definedName>
    <definedName name="PSHCV" localSheetId="4">[4]ACARS!#REF!</definedName>
    <definedName name="PSHCV">[4]ACARS!#REF!</definedName>
    <definedName name="PSHSUTOTAL" localSheetId="0">[5]ATRUCK!#REF!</definedName>
    <definedName name="PSHSUTOTAL" localSheetId="5">[5]ATRUCK!#REF!</definedName>
    <definedName name="PSHSUTOTAL" localSheetId="4">[5]ATRUCK!#REF!</definedName>
    <definedName name="PSHSUTOTAL">[5]ATRUCK!#REF!</definedName>
    <definedName name="PSHW" localSheetId="0">[4]ACARS!#REF!</definedName>
    <definedName name="PSHW" localSheetId="5">[4]ACARS!#REF!</definedName>
    <definedName name="PSHW" localSheetId="4">[4]ACARS!#REF!</definedName>
    <definedName name="PSHW">[4]ACARS!#REF!</definedName>
    <definedName name="PSL2SD" localSheetId="0">[4]ACARS!#REF!</definedName>
    <definedName name="PSL2SD" localSheetId="5">[4]ACARS!#REF!</definedName>
    <definedName name="PSL2SD" localSheetId="4">[4]ACARS!#REF!</definedName>
    <definedName name="PSL2SD">[4]ACARS!#REF!</definedName>
    <definedName name="PSL2SU" localSheetId="0">[5]ATRUCK!#REF!</definedName>
    <definedName name="PSL2SU" localSheetId="5">[5]ATRUCK!#REF!</definedName>
    <definedName name="PSL2SU" localSheetId="4">[5]ATRUCK!#REF!</definedName>
    <definedName name="PSL2SU">[5]ATRUCK!#REF!</definedName>
    <definedName name="PSL2W" localSheetId="0">[4]ACARS!#REF!</definedName>
    <definedName name="PSL2W" localSheetId="5">[4]ACARS!#REF!</definedName>
    <definedName name="PSL2W" localSheetId="4">[4]ACARS!#REF!</definedName>
    <definedName name="PSL2W">[4]ACARS!#REF!</definedName>
    <definedName name="PSL3HB" localSheetId="0">[4]ACARS!#REF!</definedName>
    <definedName name="PSL3HB" localSheetId="5">[4]ACARS!#REF!</definedName>
    <definedName name="PSL3HB" localSheetId="4">[4]ACARS!#REF!</definedName>
    <definedName name="PSL3HB">[4]ACARS!#REF!</definedName>
    <definedName name="PSL4SU" localSheetId="0">[5]ATRUCK!#REF!</definedName>
    <definedName name="PSL4SU" localSheetId="5">[5]ATRUCK!#REF!</definedName>
    <definedName name="PSL4SU" localSheetId="4">[5]ATRUCK!#REF!</definedName>
    <definedName name="PSL4SU">[5]ATRUCK!#REF!</definedName>
    <definedName name="PSL5HB" localSheetId="0">[4]ACARS!#REF!</definedName>
    <definedName name="PSL5HB" localSheetId="5">[4]ACARS!#REF!</definedName>
    <definedName name="PSL5HB" localSheetId="4">[4]ACARS!#REF!</definedName>
    <definedName name="PSL5HB">[4]ACARS!#REF!</definedName>
    <definedName name="PSLCV" localSheetId="0">[4]ACARS!#REF!</definedName>
    <definedName name="PSLCV" localSheetId="5">[4]ACARS!#REF!</definedName>
    <definedName name="PSLCV" localSheetId="4">[4]ACARS!#REF!</definedName>
    <definedName name="PSLCV">[4]ACARS!#REF!</definedName>
    <definedName name="PSLSUTOTAL" localSheetId="0">[5]ATRUCK!#REF!</definedName>
    <definedName name="PSLSUTOTAL" localSheetId="5">[5]ATRUCK!#REF!</definedName>
    <definedName name="PSLSUTOTAL" localSheetId="4">[5]ATRUCK!#REF!</definedName>
    <definedName name="PSLSUTOTAL">[5]ATRUCK!#REF!</definedName>
    <definedName name="PSLW" localSheetId="0">[4]ACARS!#REF!</definedName>
    <definedName name="PSLW" localSheetId="5">[4]ACARS!#REF!</definedName>
    <definedName name="PSLW" localSheetId="4">[4]ACARS!#REF!</definedName>
    <definedName name="PSLW">[4]ACARS!#REF!</definedName>
    <definedName name="PSPTS2Cp" localSheetId="0">[4]ACARS!#REF!</definedName>
    <definedName name="PSPTS2Cp" localSheetId="5">[4]ACARS!#REF!</definedName>
    <definedName name="PSPTS2Cp" localSheetId="4">[4]ACARS!#REF!</definedName>
    <definedName name="PSPTS2Cp">[4]ACARS!#REF!</definedName>
    <definedName name="PSPTS3Cp" localSheetId="0">[4]ACARS!#REF!</definedName>
    <definedName name="PSPTS3Cp" localSheetId="5">[4]ACARS!#REF!</definedName>
    <definedName name="PSPTS3Cp" localSheetId="4">[4]ACARS!#REF!</definedName>
    <definedName name="PSPTS3Cp">[4]ACARS!#REF!</definedName>
    <definedName name="PSPTSCV" localSheetId="0">[4]ACARS!#REF!</definedName>
    <definedName name="PSPTSCV" localSheetId="5">[4]ACARS!#REF!</definedName>
    <definedName name="PSPTSCV" localSheetId="4">[4]ACARS!#REF!</definedName>
    <definedName name="PSPTSCV">[4]ACARS!#REF!</definedName>
    <definedName name="PSPTY2CP" localSheetId="0">[4]ACARS!#REF!</definedName>
    <definedName name="PSPTY2CP" localSheetId="5">[4]ACARS!#REF!</definedName>
    <definedName name="PSPTY2CP" localSheetId="4">[4]ACARS!#REF!</definedName>
    <definedName name="PSPTY2CP">[4]ACARS!#REF!</definedName>
    <definedName name="PSPTY3CP" localSheetId="0">[4]ACARS!#REF!</definedName>
    <definedName name="PSPTY3CP" localSheetId="5">[4]ACARS!#REF!</definedName>
    <definedName name="PSPTY3CP" localSheetId="4">[4]ACARS!#REF!</definedName>
    <definedName name="PSPTY3CP">[4]ACARS!#REF!</definedName>
    <definedName name="PSPTY3HB" localSheetId="0">[4]ACARS!#REF!</definedName>
    <definedName name="PSPTY3HB" localSheetId="5">[4]ACARS!#REF!</definedName>
    <definedName name="PSPTY3HB" localSheetId="4">[4]ACARS!#REF!</definedName>
    <definedName name="PSPTY3HB">[4]ACARS!#REF!</definedName>
    <definedName name="PSPTYCVT" localSheetId="0">[4]ACARS!#REF!</definedName>
    <definedName name="PSPTYCVT" localSheetId="5">[4]ACARS!#REF!</definedName>
    <definedName name="PSPTYCVT" localSheetId="4">[4]ACARS!#REF!</definedName>
    <definedName name="PSPTYCVT">[4]ACARS!#REF!</definedName>
    <definedName name="PSTERLINGTOTAL" localSheetId="0">#REF!</definedName>
    <definedName name="PSTERLINGTOTAL" localSheetId="5">#REF!</definedName>
    <definedName name="PSTERLINGTOTAL" localSheetId="4">#REF!</definedName>
    <definedName name="PSTERLINGTOTAL">#REF!</definedName>
    <definedName name="PSU">[11]内容詳細!$J$6</definedName>
    <definedName name="PSUBARU" localSheetId="0">[5]ATRUCK!#REF!</definedName>
    <definedName name="PSUBARU" localSheetId="5">[5]ATRUCK!#REF!</definedName>
    <definedName name="PSUBARU" localSheetId="4">[5]ATRUCK!#REF!</definedName>
    <definedName name="PSUBARU">[5]ATRUCK!#REF!</definedName>
    <definedName name="PSUBARUTOTAL" localSheetId="0">#REF!</definedName>
    <definedName name="PSUBARUTOTAL" localSheetId="5">#REF!</definedName>
    <definedName name="PSUBARUTOTAL" localSheetId="4">#REF!</definedName>
    <definedName name="PSUBARUTOTAL">#REF!</definedName>
    <definedName name="PSUZUKI" localSheetId="0">[5]ATRUCK!#REF!</definedName>
    <definedName name="PSUZUKI" localSheetId="5">[5]ATRUCK!#REF!</definedName>
    <definedName name="PSUZUKI" localSheetId="4">[5]ATRUCK!#REF!</definedName>
    <definedName name="PSUZUKI">[5]ATRUCK!#REF!</definedName>
    <definedName name="PSUZUKITOTAL" localSheetId="0">#REF!</definedName>
    <definedName name="PSUZUKITOTAL" localSheetId="5">#REF!</definedName>
    <definedName name="PSUZUKITOTAL" localSheetId="4">#REF!</definedName>
    <definedName name="PSUZUKITOTAL">#REF!</definedName>
    <definedName name="PSZSAM" localSheetId="0">[5]ATRUCK!#REF!</definedName>
    <definedName name="PSZSAM" localSheetId="5">[5]ATRUCK!#REF!</definedName>
    <definedName name="PSZSAM" localSheetId="4">[5]ATRUCK!#REF!</definedName>
    <definedName name="PSZSAM">[5]ATRUCK!#REF!</definedName>
    <definedName name="PSZSIDE" localSheetId="0">[5]ATRUCK!#REF!</definedName>
    <definedName name="PSZSIDE" localSheetId="5">[5]ATRUCK!#REF!</definedName>
    <definedName name="PSZSIDE" localSheetId="4">[5]ATRUCK!#REF!</definedName>
    <definedName name="PSZSIDE">[5]ATRUCK!#REF!</definedName>
    <definedName name="PSZSIDE4" localSheetId="0">[5]ATRUCK!#REF!</definedName>
    <definedName name="PSZSIDE4" localSheetId="5">[5]ATRUCK!#REF!</definedName>
    <definedName name="PSZSIDE4" localSheetId="4">[5]ATRUCK!#REF!</definedName>
    <definedName name="PSZSIDE4">[5]ATRUCK!#REF!</definedName>
    <definedName name="PSZSIDEALL" localSheetId="0">#REF!</definedName>
    <definedName name="PSZSIDEALL" localSheetId="5">#REF!</definedName>
    <definedName name="PSZSIDEALL" localSheetId="4">#REF!</definedName>
    <definedName name="PSZSIDEALL">#REF!</definedName>
    <definedName name="PSZX90" localSheetId="0">[5]ATRUCK!#REF!</definedName>
    <definedName name="PSZX90" localSheetId="5">[5]ATRUCK!#REF!</definedName>
    <definedName name="PSZX90" localSheetId="4">[5]ATRUCK!#REF!</definedName>
    <definedName name="PSZX90">[5]ATRUCK!#REF!</definedName>
    <definedName name="PTCCV" localSheetId="0">[5]ATRUCK!#REF!</definedName>
    <definedName name="PTCCV" localSheetId="5">[5]ATRUCK!#REF!</definedName>
    <definedName name="PTCCV" localSheetId="4">[5]ATRUCK!#REF!</definedName>
    <definedName name="PTCCV">[5]ATRUCK!#REF!</definedName>
    <definedName name="PTCPU" localSheetId="0">[5]ATRUCK!#REF!</definedName>
    <definedName name="PTCPU" localSheetId="5">[5]ATRUCK!#REF!</definedName>
    <definedName name="PTCPU" localSheetId="4">[5]ATRUCK!#REF!</definedName>
    <definedName name="PTCPU">[5]ATRUCK!#REF!</definedName>
    <definedName name="PTCPV" localSheetId="0">[5]ATRUCK!#REF!</definedName>
    <definedName name="PTCPV" localSheetId="5">[5]ATRUCK!#REF!</definedName>
    <definedName name="PTCPV" localSheetId="4">[5]ATRUCK!#REF!</definedName>
    <definedName name="PTCPV">[5]ATRUCK!#REF!</definedName>
    <definedName name="PTCVTOT" localSheetId="0">[5]ATRUCK!#REF!</definedName>
    <definedName name="PTCVTOT" localSheetId="5">[5]ATRUCK!#REF!</definedName>
    <definedName name="PTCVTOT" localSheetId="4">[5]ATRUCK!#REF!</definedName>
    <definedName name="PTCVTOT">[5]ATRUCK!#REF!</definedName>
    <definedName name="PTFSCV" localSheetId="0">[5]ATRUCK!#REF!</definedName>
    <definedName name="PTFSCV" localSheetId="5">[5]ATRUCK!#REF!</definedName>
    <definedName name="PTFSCV" localSheetId="4">[5]ATRUCK!#REF!</definedName>
    <definedName name="PTFSCV">[5]ATRUCK!#REF!</definedName>
    <definedName name="PTFSPU" localSheetId="0">[5]ATRUCK!#REF!</definedName>
    <definedName name="PTFSPU" localSheetId="5">[5]ATRUCK!#REF!</definedName>
    <definedName name="PTFSPU" localSheetId="4">[5]ATRUCK!#REF!</definedName>
    <definedName name="PTFSPU">[5]ATRUCK!#REF!</definedName>
    <definedName name="PTFSPV" localSheetId="0">[5]ATRUCK!#REF!</definedName>
    <definedName name="PTFSPV" localSheetId="5">[5]ATRUCK!#REF!</definedName>
    <definedName name="PTFSPV" localSheetId="4">[5]ATRUCK!#REF!</definedName>
    <definedName name="PTFSPV">[5]ATRUCK!#REF!</definedName>
    <definedName name="PTFSVTOT" localSheetId="0">[5]ATRUCK!#REF!</definedName>
    <definedName name="PTFSVTOT" localSheetId="5">[5]ATRUCK!#REF!</definedName>
    <definedName name="PTFSVTOT" localSheetId="4">[5]ATRUCK!#REF!</definedName>
    <definedName name="PTFSVTOT">[5]ATRUCK!#REF!</definedName>
    <definedName name="PTLSU" localSheetId="0">[5]ATRUCK!#REF!</definedName>
    <definedName name="PTLSU" localSheetId="5">[5]ATRUCK!#REF!</definedName>
    <definedName name="PTLSU" localSheetId="4">[5]ATRUCK!#REF!</definedName>
    <definedName name="PTLSU">[5]ATRUCK!#REF!</definedName>
    <definedName name="PTLSUTOTAL" localSheetId="0">[5]ATRUCK!#REF!</definedName>
    <definedName name="PTLSUTOTAL" localSheetId="5">[5]ATRUCK!#REF!</definedName>
    <definedName name="PTLSUTOTAL" localSheetId="4">[5]ATRUCK!#REF!</definedName>
    <definedName name="PTLSUTOTAL">[5]ATRUCK!#REF!</definedName>
    <definedName name="PTLXSU" localSheetId="0">[5]ATRUCK!#REF!</definedName>
    <definedName name="PTLXSU" localSheetId="5">[5]ATRUCK!#REF!</definedName>
    <definedName name="PTLXSU" localSheetId="4">[5]ATRUCK!#REF!</definedName>
    <definedName name="PTLXSU">[5]ATRUCK!#REF!</definedName>
    <definedName name="PTLXSUTOTAL" localSheetId="0">[5]ATRUCK!#REF!</definedName>
    <definedName name="PTLXSUTOTAL" localSheetId="5">[5]ATRUCK!#REF!</definedName>
    <definedName name="PTLXSUTOTAL" localSheetId="4">[5]ATRUCK!#REF!</definedName>
    <definedName name="PTLXSUTOTAL">[5]ATRUCK!#REF!</definedName>
    <definedName name="PTMHSU" localSheetId="0">[5]ATRUCK!#REF!</definedName>
    <definedName name="PTMHSU" localSheetId="5">[5]ATRUCK!#REF!</definedName>
    <definedName name="PTMHSU" localSheetId="4">[5]ATRUCK!#REF!</definedName>
    <definedName name="PTMHSU">[5]ATRUCK!#REF!</definedName>
    <definedName name="PTMLSU" localSheetId="0">[5]ATRUCK!#REF!</definedName>
    <definedName name="PTMLSU" localSheetId="5">[5]ATRUCK!#REF!</definedName>
    <definedName name="PTMLSU" localSheetId="4">[5]ATRUCK!#REF!</definedName>
    <definedName name="PTMLSU">[5]ATRUCK!#REF!</definedName>
    <definedName name="PTMPU" localSheetId="0">[5]ATRUCK!#REF!</definedName>
    <definedName name="PTMPU" localSheetId="5">[5]ATRUCK!#REF!</definedName>
    <definedName name="PTMPU" localSheetId="4">[5]ATRUCK!#REF!</definedName>
    <definedName name="PTMPU">[5]ATRUCK!#REF!</definedName>
    <definedName name="PTNLSU" localSheetId="0">[5]ATRUCK!#REF!</definedName>
    <definedName name="PTNLSU" localSheetId="5">[5]ATRUCK!#REF!</definedName>
    <definedName name="PTNLSU" localSheetId="4">[5]ATRUCK!#REF!</definedName>
    <definedName name="PTNLSU">[5]ATRUCK!#REF!</definedName>
    <definedName name="PTORV" localSheetId="0">[5]ATRUCK!#REF!</definedName>
    <definedName name="PTORV" localSheetId="5">[5]ATRUCK!#REF!</definedName>
    <definedName name="PTORV" localSheetId="4">[5]ATRUCK!#REF!</definedName>
    <definedName name="PTORV">[5]ATRUCK!#REF!</definedName>
    <definedName name="PTOY013N" localSheetId="0">[5]ATRUCK!#REF!</definedName>
    <definedName name="PTOY013N" localSheetId="5">[5]ATRUCK!#REF!</definedName>
    <definedName name="PTOY013N" localSheetId="4">[5]ATRUCK!#REF!</definedName>
    <definedName name="PTOY013N">[5]ATRUCK!#REF!</definedName>
    <definedName name="PTOY038N" localSheetId="0">[5]ATRUCK!#REF!</definedName>
    <definedName name="PTOY038N" localSheetId="5">[5]ATRUCK!#REF!</definedName>
    <definedName name="PTOY038N" localSheetId="4">[5]ATRUCK!#REF!</definedName>
    <definedName name="PTOY038N">[5]ATRUCK!#REF!</definedName>
    <definedName name="PTOY4RUN" localSheetId="0">[5]ATRUCK!#REF!</definedName>
    <definedName name="PTOY4RUN" localSheetId="5">[5]ATRUCK!#REF!</definedName>
    <definedName name="PTOY4RUN" localSheetId="4">[5]ATRUCK!#REF!</definedName>
    <definedName name="PTOY4RUN">[5]ATRUCK!#REF!</definedName>
    <definedName name="PTOY4RUN4" localSheetId="0">[5]ATRUCK!#REF!</definedName>
    <definedName name="PTOY4RUN4" localSheetId="5">[5]ATRUCK!#REF!</definedName>
    <definedName name="PTOY4RUN4" localSheetId="4">[5]ATRUCK!#REF!</definedName>
    <definedName name="PTOY4RUN4">[5]ATRUCK!#REF!</definedName>
    <definedName name="PTOY4RUNALL" localSheetId="0">#REF!</definedName>
    <definedName name="PTOY4RUNALL" localSheetId="5">#REF!</definedName>
    <definedName name="PTOY4RUNALL" localSheetId="4">#REF!</definedName>
    <definedName name="PTOY4RUNALL">#REF!</definedName>
    <definedName name="PTOYLAND" localSheetId="0">[5]ATRUCK!#REF!</definedName>
    <definedName name="PTOYLAND" localSheetId="5">[5]ATRUCK!#REF!</definedName>
    <definedName name="PTOYLAND" localSheetId="4">[5]ATRUCK!#REF!</definedName>
    <definedName name="PTOYLAND">[5]ATRUCK!#REF!</definedName>
    <definedName name="PTOYLSUV" localSheetId="0">[5]ATRUCK!#REF!</definedName>
    <definedName name="PTOYLSUV" localSheetId="5">[5]ATRUCK!#REF!</definedName>
    <definedName name="PTOYLSUV" localSheetId="4">[5]ATRUCK!#REF!</definedName>
    <definedName name="PTOYLSUV">[5]ATRUCK!#REF!</definedName>
    <definedName name="PTOYOTA" localSheetId="0">[5]ATRUCK!#REF!</definedName>
    <definedName name="PTOYOTA" localSheetId="5">[5]ATRUCK!#REF!</definedName>
    <definedName name="PTOYOTA" localSheetId="4">[5]ATRUCK!#REF!</definedName>
    <definedName name="PTOYOTA">[5]ATRUCK!#REF!</definedName>
    <definedName name="PToyotaCarTotal" localSheetId="0">#REF!</definedName>
    <definedName name="PToyotaCarTotal" localSheetId="5">#REF!</definedName>
    <definedName name="PToyotaCarTotal" localSheetId="4">#REF!</definedName>
    <definedName name="PToyotaCarTotal">#REF!</definedName>
    <definedName name="PTOYOTATOTAL" localSheetId="0">#REF!</definedName>
    <definedName name="PTOYOTATOTAL" localSheetId="5">#REF!</definedName>
    <definedName name="PTOYOTATOTAL" localSheetId="4">#REF!</definedName>
    <definedName name="PTOYOTATOTAL">#REF!</definedName>
    <definedName name="PToyotaTruckTotal" localSheetId="0">#REF!</definedName>
    <definedName name="PToyotaTruckTotal" localSheetId="5">#REF!</definedName>
    <definedName name="PToyotaTruckTotal" localSheetId="4">#REF!</definedName>
    <definedName name="PToyotaTruckTotal">#REF!</definedName>
    <definedName name="PTOYPREVIAP" localSheetId="0">[5]ATRUCK!#REF!</definedName>
    <definedName name="PTOYPREVIAP" localSheetId="5">[5]ATRUCK!#REF!</definedName>
    <definedName name="PTOYPREVIAP" localSheetId="4">[5]ATRUCK!#REF!</definedName>
    <definedName name="PTOYPREVIAP">[5]ATRUCK!#REF!</definedName>
    <definedName name="PTOYRAV4" localSheetId="0">[5]ATRUCK!#REF!</definedName>
    <definedName name="PTOYRAV4" localSheetId="5">[5]ATRUCK!#REF!</definedName>
    <definedName name="PTOYRAV4" localSheetId="4">[5]ATRUCK!#REF!</definedName>
    <definedName name="PTOYRAV4">[5]ATRUCK!#REF!</definedName>
    <definedName name="PTOYRAV44" localSheetId="0">[5]ATRUCK!#REF!</definedName>
    <definedName name="PTOYRAV44" localSheetId="5">[5]ATRUCK!#REF!</definedName>
    <definedName name="PTOYRAV44" localSheetId="4">[5]ATRUCK!#REF!</definedName>
    <definedName name="PTOYRAV44">[5]ATRUCK!#REF!</definedName>
    <definedName name="PTOYRAVA4ALL" localSheetId="0">#REF!</definedName>
    <definedName name="PTOYRAVA4ALL" localSheetId="5">#REF!</definedName>
    <definedName name="PTOYRAVA4ALL" localSheetId="4">#REF!</definedName>
    <definedName name="PTOYRAVA4ALL">#REF!</definedName>
    <definedName name="PTOYSIENP" localSheetId="0">[5]ATRUCK!#REF!</definedName>
    <definedName name="PTOYSIENP" localSheetId="5">[5]ATRUCK!#REF!</definedName>
    <definedName name="PTOYSIENP" localSheetId="4">[5]ATRUCK!#REF!</definedName>
    <definedName name="PTOYSIENP">[5]ATRUCK!#REF!</definedName>
    <definedName name="PTOYT100ALL" localSheetId="0">#REF!</definedName>
    <definedName name="PTOYT100ALL" localSheetId="5">#REF!</definedName>
    <definedName name="PTOYT100ALL" localSheetId="4">#REF!</definedName>
    <definedName name="PTOYT100ALL">#REF!</definedName>
    <definedName name="PTOYT100R" localSheetId="0">[5]ATRUCK!#REF!</definedName>
    <definedName name="PTOYT100R" localSheetId="5">[5]ATRUCK!#REF!</definedName>
    <definedName name="PTOYT100R" localSheetId="4">[5]ATRUCK!#REF!</definedName>
    <definedName name="PTOYT100R">[5]ATRUCK!#REF!</definedName>
    <definedName name="PTOYT100X" localSheetId="0">[5]ATRUCK!#REF!</definedName>
    <definedName name="PTOYT100X" localSheetId="5">[5]ATRUCK!#REF!</definedName>
    <definedName name="PTOYT100X" localSheetId="4">[5]ATRUCK!#REF!</definedName>
    <definedName name="PTOYT100X">[5]ATRUCK!#REF!</definedName>
    <definedName name="PTOYTACOALL" localSheetId="0">#REF!</definedName>
    <definedName name="PTOYTACOALL" localSheetId="5">#REF!</definedName>
    <definedName name="PTOYTACOALL" localSheetId="4">#REF!</definedName>
    <definedName name="PTOYTACOALL">#REF!</definedName>
    <definedName name="PTOYTACOR" localSheetId="0">[5]ATRUCK!#REF!</definedName>
    <definedName name="PTOYTACOR" localSheetId="5">[5]ATRUCK!#REF!</definedName>
    <definedName name="PTOYTACOR" localSheetId="4">[5]ATRUCK!#REF!</definedName>
    <definedName name="PTOYTACOR">[5]ATRUCK!#REF!</definedName>
    <definedName name="PTOYTACOX" localSheetId="0">[5]ATRUCK!#REF!</definedName>
    <definedName name="PTOYTACOX" localSheetId="5">[5]ATRUCK!#REF!</definedName>
    <definedName name="PTOYTACOX" localSheetId="4">[5]ATRUCK!#REF!</definedName>
    <definedName name="PTOYTACOX">[5]ATRUCK!#REF!</definedName>
    <definedName name="PTOYTUNDALL" localSheetId="0">#REF!</definedName>
    <definedName name="PTOYTUNDALL" localSheetId="5">#REF!</definedName>
    <definedName name="PTOYTUNDALL" localSheetId="4">#REF!</definedName>
    <definedName name="PTOYTUNDALL">#REF!</definedName>
    <definedName name="PTOYTUNDR" localSheetId="0">[5]ATRUCK!#REF!</definedName>
    <definedName name="PTOYTUNDR" localSheetId="5">[5]ATRUCK!#REF!</definedName>
    <definedName name="PTOYTUNDR" localSheetId="4">[5]ATRUCK!#REF!</definedName>
    <definedName name="PTOYTUNDR">[5]ATRUCK!#REF!</definedName>
    <definedName name="PTOYTUNDX" localSheetId="0">[5]ATRUCK!#REF!</definedName>
    <definedName name="PTOYTUNDX" localSheetId="5">[5]ATRUCK!#REF!</definedName>
    <definedName name="PTOYTUNDX" localSheetId="4">[5]ATRUCK!#REF!</definedName>
    <definedName name="PTOYTUNDX">[5]ATRUCK!#REF!</definedName>
    <definedName name="PTOYVANC" localSheetId="0">[5]ATRUCK!#REF!</definedName>
    <definedName name="PTOYVANC" localSheetId="5">[5]ATRUCK!#REF!</definedName>
    <definedName name="PTOYVANC" localSheetId="4">[5]ATRUCK!#REF!</definedName>
    <definedName name="PTOYVANC">[5]ATRUCK!#REF!</definedName>
    <definedName name="PTOYVANPALL" localSheetId="0">#REF!</definedName>
    <definedName name="PTOYVANPALL" localSheetId="5">#REF!</definedName>
    <definedName name="PTOYVANPALL" localSheetId="4">#REF!</definedName>
    <definedName name="PTOYVANPALL">#REF!</definedName>
    <definedName name="PTPUTOT" localSheetId="0">[5]ATRUCK!#REF!</definedName>
    <definedName name="PTPUTOT" localSheetId="5">[5]ATRUCK!#REF!</definedName>
    <definedName name="PTPUTOT" localSheetId="4">[5]ATRUCK!#REF!</definedName>
    <definedName name="PTPUTOT">[5]ATRUCK!#REF!</definedName>
    <definedName name="PTSHSU" localSheetId="0">[5]ATRUCK!#REF!</definedName>
    <definedName name="PTSHSU" localSheetId="5">[5]ATRUCK!#REF!</definedName>
    <definedName name="PTSHSU" localSheetId="4">[5]ATRUCK!#REF!</definedName>
    <definedName name="PTSHSU">[5]ATRUCK!#REF!</definedName>
    <definedName name="PTSL2SU" localSheetId="0">[5]ATRUCK!#REF!</definedName>
    <definedName name="PTSL2SU" localSheetId="5">[5]ATRUCK!#REF!</definedName>
    <definedName name="PTSL2SU" localSheetId="4">[5]ATRUCK!#REF!</definedName>
    <definedName name="PTSL2SU">[5]ATRUCK!#REF!</definedName>
    <definedName name="PTSL4SU" localSheetId="0">[5]ATRUCK!#REF!</definedName>
    <definedName name="PTSL4SU" localSheetId="5">[5]ATRUCK!#REF!</definedName>
    <definedName name="PTSL4SU" localSheetId="4">[5]ATRUCK!#REF!</definedName>
    <definedName name="PTSL4SU">[5]ATRUCK!#REF!</definedName>
    <definedName name="PTSLSU" localSheetId="0">[5]ATRUCK!#REF!</definedName>
    <definedName name="PTSLSU" localSheetId="5">[5]ATRUCK!#REF!</definedName>
    <definedName name="PTSLSU" localSheetId="4">[5]ATRUCK!#REF!</definedName>
    <definedName name="PTSLSU">[5]ATRUCK!#REF!</definedName>
    <definedName name="PTSLSUTOTAL" localSheetId="0">[5]ATRUCK!#REF!</definedName>
    <definedName name="PTSLSUTOTAL" localSheetId="5">[5]ATRUCK!#REF!</definedName>
    <definedName name="PTSLSUTOTAL" localSheetId="4">[5]ATRUCK!#REF!</definedName>
    <definedName name="PTSLSUTOTAL">[5]ATRUCK!#REF!</definedName>
    <definedName name="PTSUTOT" localSheetId="0">[5]ATRUCK!#REF!</definedName>
    <definedName name="PTSUTOT" localSheetId="5">[5]ATRUCK!#REF!</definedName>
    <definedName name="PTSUTOT" localSheetId="4">[5]ATRUCK!#REF!</definedName>
    <definedName name="PTSUTOT">[5]ATRUCK!#REF!</definedName>
    <definedName name="PTTLSU" localSheetId="0">[5]ATRUCK!#REF!</definedName>
    <definedName name="PTTLSU" localSheetId="5">[5]ATRUCK!#REF!</definedName>
    <definedName name="PTTLSU" localSheetId="4">[5]ATRUCK!#REF!</definedName>
    <definedName name="PTTLSU">[5]ATRUCK!#REF!</definedName>
    <definedName name="PTTOTAL" localSheetId="0">[5]ATRUCK!#REF!</definedName>
    <definedName name="PTTOTAL" localSheetId="5">[5]ATRUCK!#REF!</definedName>
    <definedName name="PTTOTAL" localSheetId="4">[5]ATRUCK!#REF!</definedName>
    <definedName name="PTTOTAL">[5]ATRUCK!#REF!</definedName>
    <definedName name="PTVTOT" localSheetId="0">[5]ATRUCK!#REF!</definedName>
    <definedName name="PTVTOT" localSheetId="5">[5]ATRUCK!#REF!</definedName>
    <definedName name="PTVTOT" localSheetId="4">[5]ATRUCK!#REF!</definedName>
    <definedName name="PTVTOT">[5]ATRUCK!#REF!</definedName>
    <definedName name="PV" localSheetId="0">[5]ATRUCK!#REF!</definedName>
    <definedName name="PV" localSheetId="5">[5]ATRUCK!#REF!</definedName>
    <definedName name="PV" localSheetId="4">[5]ATRUCK!#REF!</definedName>
    <definedName name="PV">[5]ATRUCK!#REF!</definedName>
    <definedName name="PVOLKSWAGEN" localSheetId="0">[5]ATRUCK!#REF!</definedName>
    <definedName name="PVOLKSWAGEN" localSheetId="5">[5]ATRUCK!#REF!</definedName>
    <definedName name="PVOLKSWAGEN" localSheetId="4">[5]ATRUCK!#REF!</definedName>
    <definedName name="PVOLKSWAGEN">[5]ATRUCK!#REF!</definedName>
    <definedName name="PVOLKSWAGENTOTAL" localSheetId="0">#REF!</definedName>
    <definedName name="PVOLKSWAGENTOTAL" localSheetId="5">#REF!</definedName>
    <definedName name="PVOLKSWAGENTOTAL" localSheetId="4">#REF!</definedName>
    <definedName name="PVOLKSWAGENTOTAL">#REF!</definedName>
    <definedName name="PVOLSUV" localSheetId="0">[5]ATRUCK!#REF!</definedName>
    <definedName name="PVOLSUV" localSheetId="5">[5]ATRUCK!#REF!</definedName>
    <definedName name="PVOLSUV" localSheetId="4">[5]ATRUCK!#REF!</definedName>
    <definedName name="PVOLSUV">[5]ATRUCK!#REF!</definedName>
    <definedName name="PVOLVAN" localSheetId="0">[5]ATRUCK!#REF!</definedName>
    <definedName name="PVOLVAN" localSheetId="5">[5]ATRUCK!#REF!</definedName>
    <definedName name="PVOLVAN" localSheetId="4">[5]ATRUCK!#REF!</definedName>
    <definedName name="PVOLVAN">[5]ATRUCK!#REF!</definedName>
    <definedName name="PVOLVO" localSheetId="0">[5]ATRUCK!#REF!</definedName>
    <definedName name="PVOLVO" localSheetId="5">[5]ATRUCK!#REF!</definedName>
    <definedName name="PVOLVO" localSheetId="4">[5]ATRUCK!#REF!</definedName>
    <definedName name="PVOLVO">[5]ATRUCK!#REF!</definedName>
    <definedName name="PVOLVOTOTAL" localSheetId="0">#REF!</definedName>
    <definedName name="PVOLVOTOTAL" localSheetId="5">#REF!</definedName>
    <definedName name="PVOLVOTOTAL" localSheetId="4">#REF!</definedName>
    <definedName name="PVOLVOTOTAL">#REF!</definedName>
    <definedName name="PVTOTAL" localSheetId="0">[5]ATRUCK!#REF!</definedName>
    <definedName name="PVTOTAL" localSheetId="5">[5]ATRUCK!#REF!</definedName>
    <definedName name="PVTOTAL" localSheetId="4">[5]ATRUCK!#REF!</definedName>
    <definedName name="PVTOTAL">[5]ATRUCK!#REF!</definedName>
    <definedName name="PVTPUTOT" localSheetId="0">[5]ATRUCK!#REF!</definedName>
    <definedName name="PVTPUTOT" localSheetId="5">[5]ATRUCK!#REF!</definedName>
    <definedName name="PVTPUTOT" localSheetId="4">[5]ATRUCK!#REF!</definedName>
    <definedName name="PVTPUTOT">[5]ATRUCK!#REF!</definedName>
    <definedName name="PVTSUTOT" localSheetId="0">[5]ATRUCK!#REF!</definedName>
    <definedName name="PVTSUTOT" localSheetId="5">[5]ATRUCK!#REF!</definedName>
    <definedName name="PVTSUTOT" localSheetId="4">[5]ATRUCK!#REF!</definedName>
    <definedName name="PVTSUTOT">[5]ATRUCK!#REF!</definedName>
    <definedName name="PVTVTOT" localSheetId="0">[5]ATRUCK!#REF!</definedName>
    <definedName name="PVTVTOT" localSheetId="5">[5]ATRUCK!#REF!</definedName>
    <definedName name="PVTVTOT" localSheetId="4">[5]ATRUCK!#REF!</definedName>
    <definedName name="PVTVTOT">[5]ATRUCK!#REF!</definedName>
    <definedName name="PVWEUROP" localSheetId="0">[5]ATRUCK!#REF!</definedName>
    <definedName name="PVWEUROP" localSheetId="5">[5]ATRUCK!#REF!</definedName>
    <definedName name="PVWEUROP" localSheetId="4">[5]ATRUCK!#REF!</definedName>
    <definedName name="PVWEUROP">[5]ATRUCK!#REF!</definedName>
    <definedName name="PVWPU" localSheetId="0">[5]ATRUCK!#REF!</definedName>
    <definedName name="PVWPU" localSheetId="5">[5]ATRUCK!#REF!</definedName>
    <definedName name="PVWPU" localSheetId="4">[5]ATRUCK!#REF!</definedName>
    <definedName name="PVWPU">[5]ATRUCK!#REF!</definedName>
    <definedName name="PVWSUV" localSheetId="0">[5]ATRUCK!#REF!</definedName>
    <definedName name="PVWSUV" localSheetId="5">[5]ATRUCK!#REF!</definedName>
    <definedName name="PVWSUV" localSheetId="4">[5]ATRUCK!#REF!</definedName>
    <definedName name="PVWSUV">[5]ATRUCK!#REF!</definedName>
    <definedName name="PYUGOTOTAL" localSheetId="0">#REF!</definedName>
    <definedName name="PYUGOTOTAL" localSheetId="5">#REF!</definedName>
    <definedName name="PYUGOTOTAL" localSheetId="4">#REF!</definedName>
    <definedName name="PYUGOTOTAL">#REF!</definedName>
    <definedName name="P増加" localSheetId="0">#REF!</definedName>
    <definedName name="P増加" localSheetId="5">#REF!</definedName>
    <definedName name="P増加" localSheetId="4">#REF!</definedName>
    <definedName name="P増加">#REF!</definedName>
    <definedName name="RCArea" localSheetId="5" hidden="1">#REF!</definedName>
    <definedName name="RCArea" localSheetId="4" hidden="1">#REF!</definedName>
    <definedName name="RCArea" hidden="1">#REF!</definedName>
    <definedName name="_xlnm.Recorder" localSheetId="0">#REF!</definedName>
    <definedName name="_xlnm.Recorder" localSheetId="5">#REF!</definedName>
    <definedName name="_xlnm.Recorder" localSheetId="4">#REF!</definedName>
    <definedName name="_xlnm.Recorder">#REF!</definedName>
    <definedName name="ROV600ALL" localSheetId="0">#REF!</definedName>
    <definedName name="ROV600ALL" localSheetId="5">#REF!</definedName>
    <definedName name="ROV600ALL" localSheetId="4">#REF!</definedName>
    <definedName name="ROV600ALL">#REF!</definedName>
    <definedName name="ROVDEF110">[5]ATRUCK!$F$168:$V$168</definedName>
    <definedName name="ROVDEF90">[5]ATRUCK!$F$167:$V$167</definedName>
    <definedName name="ROVDEFALL" localSheetId="0">#REF!</definedName>
    <definedName name="ROVDEFALL" localSheetId="5">#REF!</definedName>
    <definedName name="ROVDEFALL" localSheetId="4">#REF!</definedName>
    <definedName name="ROVDEFALL">#REF!</definedName>
    <definedName name="ROVDISC4" localSheetId="0">#REF!</definedName>
    <definedName name="ROVDISC4" localSheetId="5">#REF!</definedName>
    <definedName name="ROVDISC4" localSheetId="4">#REF!</definedName>
    <definedName name="ROVDISC4">#REF!</definedName>
    <definedName name="Rover_Car_Total" localSheetId="0">#REF!</definedName>
    <definedName name="Rover_Car_Total" localSheetId="5">#REF!</definedName>
    <definedName name="Rover_Car_Total" localSheetId="4">#REF!</definedName>
    <definedName name="Rover_Car_Total">#REF!</definedName>
    <definedName name="ROVFREE4">[5]ATRUCK!$F$175:$V$175</definedName>
    <definedName name="ROVFREEALL" localSheetId="0">#REF!</definedName>
    <definedName name="ROVFREEALL" localSheetId="5">#REF!</definedName>
    <definedName name="ROVFREEALL" localSheetId="4">#REF!</definedName>
    <definedName name="ROVFREEALL">#REF!</definedName>
    <definedName name="ROVROVALL" localSheetId="0">#REF!</definedName>
    <definedName name="ROVROVALL" localSheetId="5">#REF!</definedName>
    <definedName name="ROVROVALL" localSheetId="4">#REF!</definedName>
    <definedName name="ROVROVALL">#REF!</definedName>
    <definedName name="ROVSE4">[5]ATRUCK!$F$108:$V$108</definedName>
    <definedName name="ROW" localSheetId="0">#REF!</definedName>
    <definedName name="ROW" localSheetId="5">#REF!</definedName>
    <definedName name="ROW" localSheetId="4">#REF!</definedName>
    <definedName name="ROW">#REF!</definedName>
    <definedName name="RVR600ALL" localSheetId="0">#REF!</definedName>
    <definedName name="RVR600ALL" localSheetId="5">#REF!</definedName>
    <definedName name="RVR600ALL" localSheetId="4">#REF!</definedName>
    <definedName name="RVR600ALL">#REF!</definedName>
    <definedName name="SAAB900ALL" localSheetId="0">#REF!</definedName>
    <definedName name="SAAB900ALL" localSheetId="5">#REF!</definedName>
    <definedName name="SAAB900ALL" localSheetId="4">#REF!</definedName>
    <definedName name="SAAB900ALL">#REF!</definedName>
    <definedName name="SAAB95ALL" localSheetId="0">#REF!</definedName>
    <definedName name="SAAB95ALL" localSheetId="5">#REF!</definedName>
    <definedName name="SAAB95ALL" localSheetId="4">#REF!</definedName>
    <definedName name="SAAB95ALL">#REF!</definedName>
    <definedName name="SAABTOTAL" localSheetId="0">#REF!</definedName>
    <definedName name="SAABTOTAL" localSheetId="5">#REF!</definedName>
    <definedName name="SAABTOTAL" localSheetId="4">#REF!</definedName>
    <definedName name="SAABTOTAL">#REF!</definedName>
    <definedName name="SACAL00" localSheetId="0">#REF!</definedName>
    <definedName name="SACAL00" localSheetId="5">#REF!</definedName>
    <definedName name="SACAL00" localSheetId="4">#REF!</definedName>
    <definedName name="SACAL00">#REF!</definedName>
    <definedName name="SACAL01" localSheetId="0">#REF!</definedName>
    <definedName name="SACAL01" localSheetId="5">#REF!</definedName>
    <definedName name="SACAL01" localSheetId="4">#REF!</definedName>
    <definedName name="SACAL01">#REF!</definedName>
    <definedName name="SACAL03" localSheetId="0">#REF!</definedName>
    <definedName name="SACAL03" localSheetId="5">#REF!</definedName>
    <definedName name="SACAL03" localSheetId="4">#REF!</definedName>
    <definedName name="SACAL03">#REF!</definedName>
    <definedName name="SACAL88" localSheetId="0">#REF!</definedName>
    <definedName name="SACAL88" localSheetId="5">#REF!</definedName>
    <definedName name="SACAL88" localSheetId="4">#REF!</definedName>
    <definedName name="SACAL88">#REF!</definedName>
    <definedName name="SACAL89" localSheetId="0">#REF!</definedName>
    <definedName name="SACAL89" localSheetId="5">#REF!</definedName>
    <definedName name="SACAL89" localSheetId="4">#REF!</definedName>
    <definedName name="SACAL89">#REF!</definedName>
    <definedName name="SACAL90" localSheetId="0">#REF!</definedName>
    <definedName name="SACAL90" localSheetId="5">#REF!</definedName>
    <definedName name="SACAL90" localSheetId="4">#REF!</definedName>
    <definedName name="SACAL90">#REF!</definedName>
    <definedName name="SACAL91" localSheetId="0">#REF!</definedName>
    <definedName name="SACAL91" localSheetId="5">#REF!</definedName>
    <definedName name="SACAL91" localSheetId="4">#REF!</definedName>
    <definedName name="SACAL91">#REF!</definedName>
    <definedName name="SACAL92" localSheetId="0">#REF!</definedName>
    <definedName name="SACAL92" localSheetId="5">#REF!</definedName>
    <definedName name="SACAL92" localSheetId="4">#REF!</definedName>
    <definedName name="SACAL92">#REF!</definedName>
    <definedName name="SACAL93" localSheetId="0">#REF!</definedName>
    <definedName name="SACAL93" localSheetId="5">#REF!</definedName>
    <definedName name="SACAL93" localSheetId="4">#REF!</definedName>
    <definedName name="SACAL93">#REF!</definedName>
    <definedName name="SACAL94" localSheetId="0">#REF!</definedName>
    <definedName name="SACAL94" localSheetId="5">#REF!</definedName>
    <definedName name="SACAL94" localSheetId="4">#REF!</definedName>
    <definedName name="SACAL94">#REF!</definedName>
    <definedName name="SACAL95" localSheetId="0">#REF!</definedName>
    <definedName name="SACAL95" localSheetId="5">#REF!</definedName>
    <definedName name="SACAL95" localSheetId="4">#REF!</definedName>
    <definedName name="SACAL95">#REF!</definedName>
    <definedName name="SACAL96" localSheetId="0">#REF!</definedName>
    <definedName name="SACAL96" localSheetId="5">#REF!</definedName>
    <definedName name="SACAL96" localSheetId="4">#REF!</definedName>
    <definedName name="SACAL96">#REF!</definedName>
    <definedName name="SACAL97" localSheetId="0">#REF!</definedName>
    <definedName name="SACAL97" localSheetId="5">#REF!</definedName>
    <definedName name="SACAL97" localSheetId="4">#REF!</definedName>
    <definedName name="SACAL97">#REF!</definedName>
    <definedName name="SACAL98" localSheetId="0">#REF!</definedName>
    <definedName name="SACAL98" localSheetId="5">#REF!</definedName>
    <definedName name="SACAL98" localSheetId="4">#REF!</definedName>
    <definedName name="SACAL98">#REF!</definedName>
    <definedName name="SACAL99" localSheetId="0">#REF!</definedName>
    <definedName name="SACAL99" localSheetId="5">#REF!</definedName>
    <definedName name="SACAL99" localSheetId="4">#REF!</definedName>
    <definedName name="SACAL99">#REF!</definedName>
    <definedName name="SACINTEG_18AALL" localSheetId="0">#REF!</definedName>
    <definedName name="SACINTEG_18AALL" localSheetId="5">#REF!</definedName>
    <definedName name="SACINTEG_18AALL" localSheetId="4">#REF!</definedName>
    <definedName name="SACINTEG_18AALL">#REF!</definedName>
    <definedName name="SACSLX" localSheetId="0">[5]ATRUCK!#REF!</definedName>
    <definedName name="SACSLX" localSheetId="5">[5]ATRUCK!#REF!</definedName>
    <definedName name="SACSLX" localSheetId="4">[5]ATRUCK!#REF!</definedName>
    <definedName name="SACSLX">[5]ATRUCK!#REF!</definedName>
    <definedName name="SACURALEGALL" localSheetId="0">#REF!</definedName>
    <definedName name="SACURALEGALL" localSheetId="5">#REF!</definedName>
    <definedName name="SACURALEGALL" localSheetId="4">#REF!</definedName>
    <definedName name="SACURALEGALL">#REF!</definedName>
    <definedName name="SACURATLALL" localSheetId="0">#REF!</definedName>
    <definedName name="SACURATLALL" localSheetId="5">#REF!</definedName>
    <definedName name="SACURATLALL" localSheetId="4">#REF!</definedName>
    <definedName name="SACURATLALL">#REF!</definedName>
    <definedName name="SACURATLS" localSheetId="0">#REF!</definedName>
    <definedName name="SACURATLS" localSheetId="5">#REF!</definedName>
    <definedName name="SACURATLS" localSheetId="4">#REF!</definedName>
    <definedName name="SACURATLS">#REF!</definedName>
    <definedName name="SATSLSWALL" localSheetId="0">#REF!</definedName>
    <definedName name="SATSLSWALL" localSheetId="5">#REF!</definedName>
    <definedName name="SATSLSWALL" localSheetId="4">#REF!</definedName>
    <definedName name="SATSLSWALL">#REF!</definedName>
    <definedName name="SATSLV">[5]ATRUCK!$F$178:$V$178</definedName>
    <definedName name="SATSRALL" localSheetId="0">#REF!</definedName>
    <definedName name="SATSRALL" localSheetId="5">#REF!</definedName>
    <definedName name="SATSRALL" localSheetId="4">#REF!</definedName>
    <definedName name="SATSRALL">#REF!</definedName>
    <definedName name="SATURNTOTAL" localSheetId="0">#REF!</definedName>
    <definedName name="SATURNTOTAL" localSheetId="5">#REF!</definedName>
    <definedName name="SATURNTOTAL" localSheetId="4">#REF!</definedName>
    <definedName name="SATURNTOTAL">#REF!</definedName>
    <definedName name="SATVPU">[5]ATRUCK!$F$35:$V$35</definedName>
    <definedName name="SAUDI6ALL" localSheetId="0">#REF!</definedName>
    <definedName name="SAUDI6ALL" localSheetId="5">#REF!</definedName>
    <definedName name="SAUDI6ALL" localSheetId="4">#REF!</definedName>
    <definedName name="SAUDI6ALL">#REF!</definedName>
    <definedName name="SAUDIA4ALL" localSheetId="0">#REF!</definedName>
    <definedName name="SAUDIA4ALL" localSheetId="5">#REF!</definedName>
    <definedName name="SAUDIA4ALL" localSheetId="4">#REF!</definedName>
    <definedName name="SAUDIA4ALL">#REF!</definedName>
    <definedName name="SAUDIO200ALL" localSheetId="0">#REF!</definedName>
    <definedName name="SAUDIO200ALL" localSheetId="5">#REF!</definedName>
    <definedName name="SAUDIO200ALL" localSheetId="4">#REF!</definedName>
    <definedName name="SAUDIO200ALL">#REF!</definedName>
    <definedName name="SAUDISUV" localSheetId="0">[5]ATRUCK!#REF!</definedName>
    <definedName name="SAUDISUV" localSheetId="5">[5]ATRUCK!#REF!</definedName>
    <definedName name="SAUDISUV" localSheetId="4">[5]ATRUCK!#REF!</definedName>
    <definedName name="SAUDISUV">[5]ATRUCK!#REF!</definedName>
    <definedName name="SAUDITTSALL" localSheetId="0">#REF!</definedName>
    <definedName name="SAUDITTSALL" localSheetId="5">#REF!</definedName>
    <definedName name="SAUDITTSALL" localSheetId="4">#REF!</definedName>
    <definedName name="SAUDITTSALL">#REF!</definedName>
    <definedName name="SBFOREST4">[5]ATRUCK!$F$179:$V$179</definedName>
    <definedName name="SBKSUV" localSheetId="0">[5]ATRUCK!#REF!</definedName>
    <definedName name="SBKSUV" localSheetId="5">[5]ATRUCK!#REF!</definedName>
    <definedName name="SBKSUV" localSheetId="4">[5]ATRUCK!#REF!</definedName>
    <definedName name="SBKSUV">[5]ATRUCK!#REF!</definedName>
    <definedName name="SBMW3ALL" localSheetId="0">#REF!</definedName>
    <definedName name="SBMW3ALL" localSheetId="5">#REF!</definedName>
    <definedName name="SBMW3ALL" localSheetId="4">#REF!</definedName>
    <definedName name="SBMW3ALL">#REF!</definedName>
    <definedName name="SBMW3HBALL" localSheetId="0">#REF!</definedName>
    <definedName name="SBMW3HBALL" localSheetId="5">#REF!</definedName>
    <definedName name="SBMW3HBALL" localSheetId="4">#REF!</definedName>
    <definedName name="SBMW3HBALL">#REF!</definedName>
    <definedName name="SBMW5ALL" localSheetId="0">#REF!</definedName>
    <definedName name="SBMW5ALL" localSheetId="5">#REF!</definedName>
    <definedName name="SBMW5ALL" localSheetId="4">#REF!</definedName>
    <definedName name="SBMW5ALL">#REF!</definedName>
    <definedName name="SBMW7ALL" localSheetId="0">#REF!</definedName>
    <definedName name="SBMW7ALL" localSheetId="5">#REF!</definedName>
    <definedName name="SBMW7ALL" localSheetId="4">#REF!</definedName>
    <definedName name="SBMW7ALL">#REF!</definedName>
    <definedName name="SBMWE63ALL" localSheetId="0">#REF!</definedName>
    <definedName name="SBMWE63ALL" localSheetId="5">#REF!</definedName>
    <definedName name="SBMWE63ALL" localSheetId="4">#REF!</definedName>
    <definedName name="SBMWE63ALL">#REF!</definedName>
    <definedName name="SBMWEMV" localSheetId="0">[5]ATRUCK!#REF!</definedName>
    <definedName name="SBMWEMV" localSheetId="5">[5]ATRUCK!#REF!</definedName>
    <definedName name="SBMWEMV" localSheetId="4">[5]ATRUCK!#REF!</definedName>
    <definedName name="SBMWEMV">[5]ATRUCK!#REF!</definedName>
    <definedName name="SBMWZ3ALL" localSheetId="0">#REF!</definedName>
    <definedName name="SBMWZ3ALL" localSheetId="5">#REF!</definedName>
    <definedName name="SBMWZ3ALL" localSheetId="4">#REF!</definedName>
    <definedName name="SBMWZ3ALL">#REF!</definedName>
    <definedName name="SBMWZ7ALL" localSheetId="0">#REF!</definedName>
    <definedName name="SBMWZ7ALL" localSheetId="5">#REF!</definedName>
    <definedName name="SBMWZ7ALL" localSheetId="4">#REF!</definedName>
    <definedName name="SBMWZ7ALL">#REF!</definedName>
    <definedName name="SBUICKCENTALL" localSheetId="0">#REF!</definedName>
    <definedName name="SBUICKCENTALL" localSheetId="5">#REF!</definedName>
    <definedName name="SBUICKCENTALL" localSheetId="4">#REF!</definedName>
    <definedName name="SBUICKCENTALL">#REF!</definedName>
    <definedName name="SBUICKCENTSEDANALL" localSheetId="0">#REF!</definedName>
    <definedName name="SBUICKCENTSEDANALL" localSheetId="5">#REF!</definedName>
    <definedName name="SBUICKCENTSEDANALL" localSheetId="4">#REF!</definedName>
    <definedName name="SBUICKCENTSEDANALL">#REF!</definedName>
    <definedName name="SBUICKHAWKALL" localSheetId="0">#REF!</definedName>
    <definedName name="SBUICKHAWKALL" localSheetId="5">#REF!</definedName>
    <definedName name="SBUICKHAWKALL" localSheetId="4">#REF!</definedName>
    <definedName name="SBUICKHAWKALL">#REF!</definedName>
    <definedName name="SBUICKLESALL" localSheetId="0">#REF!</definedName>
    <definedName name="SBUICKLESALL" localSheetId="5">#REF!</definedName>
    <definedName name="SBUICKLESALL" localSheetId="4">#REF!</definedName>
    <definedName name="SBUICKLESALL">#REF!</definedName>
    <definedName name="SBUICKPARKALL" localSheetId="0">#REF!</definedName>
    <definedName name="SBUICKPARKALL" localSheetId="5">#REF!</definedName>
    <definedName name="SBUICKPARKALL" localSheetId="4">#REF!</definedName>
    <definedName name="SBUICKPARKALL">#REF!</definedName>
    <definedName name="SBUICKREATTAALL" localSheetId="0">#REF!</definedName>
    <definedName name="SBUICKREATTAALL" localSheetId="5">#REF!</definedName>
    <definedName name="SBUICKREATTAALL" localSheetId="4">#REF!</definedName>
    <definedName name="SBUICKREATTAALL">#REF!</definedName>
    <definedName name="SBUICKREGALALL" localSheetId="0">#REF!</definedName>
    <definedName name="SBUICKREGALALL" localSheetId="5">#REF!</definedName>
    <definedName name="SBUICKREGALALL" localSheetId="4">#REF!</definedName>
    <definedName name="SBUICKREGALALL">#REF!</definedName>
    <definedName name="SBUICKROADALL" localSheetId="0">#REF!</definedName>
    <definedName name="SBUICKROADALL" localSheetId="5">#REF!</definedName>
    <definedName name="SBUICKROADALL" localSheetId="4">#REF!</definedName>
    <definedName name="SBUICKROADALL">#REF!</definedName>
    <definedName name="SBUICKSKYLARKALL" localSheetId="0">#REF!</definedName>
    <definedName name="SBUICKSKYLARKALL" localSheetId="5">#REF!</definedName>
    <definedName name="SBUICKSKYLARKALL" localSheetId="4">#REF!</definedName>
    <definedName name="SBUICKSKYLARKALL">#REF!</definedName>
    <definedName name="SCADDILACDEVILLEALL" localSheetId="0">#REF!</definedName>
    <definedName name="SCADDILACDEVILLEALL" localSheetId="5">#REF!</definedName>
    <definedName name="SCADDILACDEVILLEALL" localSheetId="4">#REF!</definedName>
    <definedName name="SCADDILACDEVILLEALL">#REF!</definedName>
    <definedName name="SCADELDORADOALL" localSheetId="0">#REF!</definedName>
    <definedName name="SCADELDORADOALL" localSheetId="5">#REF!</definedName>
    <definedName name="SCADELDORADOALL" localSheetId="4">#REF!</definedName>
    <definedName name="SCADELDORADOALL">#REF!</definedName>
    <definedName name="SCADESCL" localSheetId="0">[5]ATRUCK!#REF!</definedName>
    <definedName name="SCADESCL" localSheetId="5">[5]ATRUCK!#REF!</definedName>
    <definedName name="SCADESCL" localSheetId="4">[5]ATRUCK!#REF!</definedName>
    <definedName name="SCADESCL">[5]ATRUCK!#REF!</definedName>
    <definedName name="SCADLAV" localSheetId="0">[5]ATRUCK!#REF!</definedName>
    <definedName name="SCADLAV" localSheetId="5">[5]ATRUCK!#REF!</definedName>
    <definedName name="SCADLAV" localSheetId="4">[5]ATRUCK!#REF!</definedName>
    <definedName name="SCADLAV">[5]ATRUCK!#REF!</definedName>
    <definedName name="SCADPU" localSheetId="0">[5]ATRUCK!#REF!</definedName>
    <definedName name="SCADPU" localSheetId="5">[5]ATRUCK!#REF!</definedName>
    <definedName name="SCADPU" localSheetId="4">[5]ATRUCK!#REF!</definedName>
    <definedName name="SCADPU">[5]ATRUCK!#REF!</definedName>
    <definedName name="SCAL88" localSheetId="0">[5]ATRUCK!#REF!</definedName>
    <definedName name="SCAL88" localSheetId="5">[5]ATRUCK!#REF!</definedName>
    <definedName name="SCAL88" localSheetId="4">[5]ATRUCK!#REF!</definedName>
    <definedName name="SCAL88">[5]ATRUCK!#REF!</definedName>
    <definedName name="SCAL89P" localSheetId="0">[5]ATRUCK!#REF!</definedName>
    <definedName name="SCAL89P" localSheetId="5">[5]ATRUCK!#REF!</definedName>
    <definedName name="SCAL89P" localSheetId="4">[5]ATRUCK!#REF!</definedName>
    <definedName name="SCAL89P">[5]ATRUCK!#REF!</definedName>
    <definedName name="SCAL91P" localSheetId="0">[5]ATRUCK!#REF!</definedName>
    <definedName name="SCAL91P" localSheetId="5">[5]ATRUCK!#REF!</definedName>
    <definedName name="SCAL91P" localSheetId="4">[5]ATRUCK!#REF!</definedName>
    <definedName name="SCAL91P">[5]ATRUCK!#REF!</definedName>
    <definedName name="SCHASTROALL" localSheetId="0">#REF!</definedName>
    <definedName name="SCHASTROALL" localSheetId="5">#REF!</definedName>
    <definedName name="SCHASTROALL" localSheetId="4">#REF!</definedName>
    <definedName name="SCHASTROALL">#REF!</definedName>
    <definedName name="SCHASTROC" localSheetId="0">[5]ATRUCK!#REF!</definedName>
    <definedName name="SCHASTROC" localSheetId="5">[5]ATRUCK!#REF!</definedName>
    <definedName name="SCHASTROC" localSheetId="4">[5]ATRUCK!#REF!</definedName>
    <definedName name="SCHASTROC">[5]ATRUCK!#REF!</definedName>
    <definedName name="SCHASTROP" localSheetId="0">[5]ATRUCK!#REF!</definedName>
    <definedName name="SCHASTROP" localSheetId="5">[5]ATRUCK!#REF!</definedName>
    <definedName name="SCHASTROP" localSheetId="4">[5]ATRUCK!#REF!</definedName>
    <definedName name="SCHASTROP">[5]ATRUCK!#REF!</definedName>
    <definedName name="SCHAVA" localSheetId="0">[5]ATRUCK!#REF!</definedName>
    <definedName name="SCHAVA" localSheetId="5">[5]ATRUCK!#REF!</definedName>
    <definedName name="SCHAVA" localSheetId="4">[5]ATRUCK!#REF!</definedName>
    <definedName name="SCHAVA">[5]ATRUCK!#REF!</definedName>
    <definedName name="SCHBLAZ4" localSheetId="0">[5]ATRUCK!#REF!</definedName>
    <definedName name="SCHBLAZ4" localSheetId="5">[5]ATRUCK!#REF!</definedName>
    <definedName name="SCHBLAZ4" localSheetId="4">[5]ATRUCK!#REF!</definedName>
    <definedName name="SCHBLAZ4">[5]ATRUCK!#REF!</definedName>
    <definedName name="SCHBLAZERALL" localSheetId="0">#REF!</definedName>
    <definedName name="SCHBLAZERALL" localSheetId="5">#REF!</definedName>
    <definedName name="SCHBLAZERALL" localSheetId="4">#REF!</definedName>
    <definedName name="SCHBLAZERALL">#REF!</definedName>
    <definedName name="SCHBLAZP4" localSheetId="0">[5]ATRUCK!#REF!</definedName>
    <definedName name="SCHBLAZP4" localSheetId="5">[5]ATRUCK!#REF!</definedName>
    <definedName name="SCHBLAZP4" localSheetId="4">[5]ATRUCK!#REF!</definedName>
    <definedName name="SCHBLAZP4">[5]ATRUCK!#REF!</definedName>
    <definedName name="SCHCAMAROALL" localSheetId="0">#REF!</definedName>
    <definedName name="SCHCAMAROALL" localSheetId="5">#REF!</definedName>
    <definedName name="SCHCAMAROALL" localSheetId="4">#REF!</definedName>
    <definedName name="SCHCAMAROALL">#REF!</definedName>
    <definedName name="SCHCAPRICALL" localSheetId="0">#REF!</definedName>
    <definedName name="SCHCAPRICALL" localSheetId="5">#REF!</definedName>
    <definedName name="SCHCAPRICALL" localSheetId="4">#REF!</definedName>
    <definedName name="SCHCAPRICALL">#REF!</definedName>
    <definedName name="SCHCAVALIERALL" localSheetId="0">#REF!</definedName>
    <definedName name="SCHCAVALIERALL" localSheetId="5">#REF!</definedName>
    <definedName name="SCHCAVALIERALL" localSheetId="4">#REF!</definedName>
    <definedName name="SCHCAVALIERALL">#REF!</definedName>
    <definedName name="SCHCELEBALL" localSheetId="0">#REF!</definedName>
    <definedName name="SCHCELEBALL" localSheetId="5">#REF!</definedName>
    <definedName name="SCHCELEBALL" localSheetId="4">#REF!</definedName>
    <definedName name="SCHCELEBALL">#REF!</definedName>
    <definedName name="SCHCHEVETTEALL" localSheetId="0">#REF!</definedName>
    <definedName name="SCHCHEVETTEALL" localSheetId="5">#REF!</definedName>
    <definedName name="SCHCHEVETTEALL" localSheetId="4">#REF!</definedName>
    <definedName name="SCHCHEVETTEALL">#REF!</definedName>
    <definedName name="SCHCKR" localSheetId="0">[5]ATRUCK!#REF!</definedName>
    <definedName name="SCHCKR" localSheetId="5">[5]ATRUCK!#REF!</definedName>
    <definedName name="SCHCKR" localSheetId="4">[5]ATRUCK!#REF!</definedName>
    <definedName name="SCHCKR">[5]ATRUCK!#REF!</definedName>
    <definedName name="SCHCKSERIESALL" localSheetId="0">#REF!</definedName>
    <definedName name="SCHCKSERIESALL" localSheetId="5">#REF!</definedName>
    <definedName name="SCHCKSERIESALL" localSheetId="4">#REF!</definedName>
    <definedName name="SCHCKSERIESALL">#REF!</definedName>
    <definedName name="SCHCKX" localSheetId="0">[5]ATRUCK!#REF!</definedName>
    <definedName name="SCHCKX" localSheetId="5">[5]ATRUCK!#REF!</definedName>
    <definedName name="SCHCKX" localSheetId="4">[5]ATRUCK!#REF!</definedName>
    <definedName name="SCHCKX">[5]ATRUCK!#REF!</definedName>
    <definedName name="SCHCORS_MALIBUALL" localSheetId="0">#REF!</definedName>
    <definedName name="SCHCORS_MALIBUALL" localSheetId="5">#REF!</definedName>
    <definedName name="SCHCORS_MALIBUALL" localSheetId="4">#REF!</definedName>
    <definedName name="SCHCORS_MALIBUALL">#REF!</definedName>
    <definedName name="SCHCORSICAALL" localSheetId="0">#REF!</definedName>
    <definedName name="SCHCORSICAALL" localSheetId="5">#REF!</definedName>
    <definedName name="SCHCORSICAALL" localSheetId="4">#REF!</definedName>
    <definedName name="SCHCORSICAALL">#REF!</definedName>
    <definedName name="SCHCORVETTEALL" localSheetId="0">#REF!</definedName>
    <definedName name="SCHCORVETTEALL" localSheetId="5">#REF!</definedName>
    <definedName name="SCHCORVETTEALL" localSheetId="4">#REF!</definedName>
    <definedName name="SCHCORVETTEALL">#REF!</definedName>
    <definedName name="SCHELCAM" localSheetId="0">[5]ATRUCK!#REF!</definedName>
    <definedName name="SCHELCAM" localSheetId="5">[5]ATRUCK!#REF!</definedName>
    <definedName name="SCHELCAM" localSheetId="4">[5]ATRUCK!#REF!</definedName>
    <definedName name="SCHELCAM">[5]ATRUCK!#REF!</definedName>
    <definedName name="SCHEVLUMINAALL" localSheetId="0">#REF!</definedName>
    <definedName name="SCHEVLUMINAALL" localSheetId="5">#REF!</definedName>
    <definedName name="SCHEVLUMINAALL" localSheetId="4">#REF!</definedName>
    <definedName name="SCHEVLUMINAALL">#REF!</definedName>
    <definedName name="SCHEVNOVPRIZM4" localSheetId="0">#REF!</definedName>
    <definedName name="SCHEVNOVPRIZM4" localSheetId="5">#REF!</definedName>
    <definedName name="SCHEVNOVPRIZM4" localSheetId="4">#REF!</definedName>
    <definedName name="SCHEVNOVPRIZM4">#REF!</definedName>
    <definedName name="SCHEVNOVPRIZM5" localSheetId="0">#REF!</definedName>
    <definedName name="SCHEVNOVPRIZM5" localSheetId="5">#REF!</definedName>
    <definedName name="SCHEVNOVPRIZM5" localSheetId="4">#REF!</definedName>
    <definedName name="SCHEVNOVPRIZM5">#REF!</definedName>
    <definedName name="SCHEVPRIZMALL" localSheetId="0">#REF!</definedName>
    <definedName name="SCHEVPRIZMALL" localSheetId="5">#REF!</definedName>
    <definedName name="SCHEVPRIZMALL" localSheetId="4">#REF!</definedName>
    <definedName name="SCHEVPRIZMALL">#REF!</definedName>
    <definedName name="SCHEXPC" localSheetId="0">[5]ATRUCK!#REF!</definedName>
    <definedName name="SCHEXPC" localSheetId="5">[5]ATRUCK!#REF!</definedName>
    <definedName name="SCHEXPC" localSheetId="4">[5]ATRUCK!#REF!</definedName>
    <definedName name="SCHEXPC">[5]ATRUCK!#REF!</definedName>
    <definedName name="SCHEXPP" localSheetId="0">[5]ATRUCK!#REF!</definedName>
    <definedName name="SCHEXPP" localSheetId="5">[5]ATRUCK!#REF!</definedName>
    <definedName name="SCHEXPP" localSheetId="4">[5]ATRUCK!#REF!</definedName>
    <definedName name="SCHEXPP">[5]ATRUCK!#REF!</definedName>
    <definedName name="SCHEXPRESSALL" localSheetId="0">#REF!</definedName>
    <definedName name="SCHEXPRESSALL" localSheetId="5">#REF!</definedName>
    <definedName name="SCHEXPRESSALL" localSheetId="4">#REF!</definedName>
    <definedName name="SCHEXPRESSALL">#REF!</definedName>
    <definedName name="SCHLUMINAALL" localSheetId="0">#REF!</definedName>
    <definedName name="SCHLUMINAALL" localSheetId="5">#REF!</definedName>
    <definedName name="SCHLUMINAALL" localSheetId="4">#REF!</definedName>
    <definedName name="SCHLUMINAALL">#REF!</definedName>
    <definedName name="SCHLUMINAC" localSheetId="0">[5]ATRUCK!#REF!</definedName>
    <definedName name="SCHLUMINAC" localSheetId="5">[5]ATRUCK!#REF!</definedName>
    <definedName name="SCHLUMINAC" localSheetId="4">[5]ATRUCK!#REF!</definedName>
    <definedName name="SCHLUMINAC">[5]ATRUCK!#REF!</definedName>
    <definedName name="SCHMETROALL" localSheetId="0">#REF!</definedName>
    <definedName name="SCHMETROALL" localSheetId="5">#REF!</definedName>
    <definedName name="SCHMETROALL" localSheetId="4">#REF!</definedName>
    <definedName name="SCHMETROALL">#REF!</definedName>
    <definedName name="SCHRLEBA_SEBALL" localSheetId="0">#REF!</definedName>
    <definedName name="SCHRLEBA_SEBALL" localSheetId="5">#REF!</definedName>
    <definedName name="SCHRLEBA_SEBALL" localSheetId="4">#REF!</definedName>
    <definedName name="SCHRLEBA_SEBALL">#REF!</definedName>
    <definedName name="SCHRNYLHSALL" localSheetId="0">#REF!</definedName>
    <definedName name="SCHRNYLHSALL" localSheetId="5">#REF!</definedName>
    <definedName name="SCHRNYLHSALL" localSheetId="4">#REF!</definedName>
    <definedName name="SCHRNYLHSALL">#REF!</definedName>
    <definedName name="SCHRPT" localSheetId="0">[5]ATRUCK!#REF!</definedName>
    <definedName name="SCHRPT" localSheetId="5">[5]ATRUCK!#REF!</definedName>
    <definedName name="SCHRPT" localSheetId="4">[5]ATRUCK!#REF!</definedName>
    <definedName name="SCHRPT">[5]ATRUCK!#REF!</definedName>
    <definedName name="SCHRSEBJXALL" localSheetId="0">#REF!</definedName>
    <definedName name="SCHRSEBJXALL" localSheetId="5">#REF!</definedName>
    <definedName name="SCHRSEBJXALL" localSheetId="4">#REF!</definedName>
    <definedName name="SCHRSEBJXALL">#REF!</definedName>
    <definedName name="SCHRYSEB_JXALL" localSheetId="0">#REF!</definedName>
    <definedName name="SCHRYSEB_JXALL" localSheetId="5">#REF!</definedName>
    <definedName name="SCHRYSEB_JXALL" localSheetId="4">#REF!</definedName>
    <definedName name="SCHRYSEB_JXALL">#REF!</definedName>
    <definedName name="SCHRYSEBLEBJXALL" localSheetId="0">#REF!</definedName>
    <definedName name="SCHRYSEBLEBJXALL" localSheetId="5">#REF!</definedName>
    <definedName name="SCHRYSEBLEBJXALL" localSheetId="4">#REF!</definedName>
    <definedName name="SCHRYSEBLEBJXALL">#REF!</definedName>
    <definedName name="SCHRYSLEBA_CIRRALL" localSheetId="0">#REF!</definedName>
    <definedName name="SCHRYSLEBA_CIRRALL" localSheetId="5">#REF!</definedName>
    <definedName name="SCHRYSLEBA_CIRRALL" localSheetId="4">#REF!</definedName>
    <definedName name="SCHRYSLEBA_CIRRALL">#REF!</definedName>
    <definedName name="SCHS10PUALL" localSheetId="0">#REF!</definedName>
    <definedName name="SCHS10PUALL" localSheetId="5">#REF!</definedName>
    <definedName name="SCHS10PUALL" localSheetId="4">#REF!</definedName>
    <definedName name="SCHS10PUALL">#REF!</definedName>
    <definedName name="SCHS10R" localSheetId="0">[5]ATRUCK!#REF!</definedName>
    <definedName name="SCHS10R" localSheetId="5">[5]ATRUCK!#REF!</definedName>
    <definedName name="SCHS10R" localSheetId="4">[5]ATRUCK!#REF!</definedName>
    <definedName name="SCHS10R">[5]ATRUCK!#REF!</definedName>
    <definedName name="SCHS10X" localSheetId="0">[5]ATRUCK!#REF!</definedName>
    <definedName name="SCHS10X" localSheetId="5">[5]ATRUCK!#REF!</definedName>
    <definedName name="SCHS10X" localSheetId="4">[5]ATRUCK!#REF!</definedName>
    <definedName name="SCHS10X">[5]ATRUCK!#REF!</definedName>
    <definedName name="SCHSUBURB" localSheetId="0">[5]ATRUCK!#REF!</definedName>
    <definedName name="SCHSUBURB" localSheetId="5">[5]ATRUCK!#REF!</definedName>
    <definedName name="SCHSUBURB" localSheetId="4">[5]ATRUCK!#REF!</definedName>
    <definedName name="SCHSUBURB">[5]ATRUCK!#REF!</definedName>
    <definedName name="SCHTAHOE" localSheetId="0">[5]ATRUCK!#REF!</definedName>
    <definedName name="SCHTAHOE" localSheetId="5">[5]ATRUCK!#REF!</definedName>
    <definedName name="SCHTAHOE" localSheetId="4">[5]ATRUCK!#REF!</definedName>
    <definedName name="SCHTAHOE">[5]ATRUCK!#REF!</definedName>
    <definedName name="SCHTAHOE4" localSheetId="0">[5]ATRUCK!#REF!</definedName>
    <definedName name="SCHTAHOE4" localSheetId="5">[5]ATRUCK!#REF!</definedName>
    <definedName name="SCHTAHOE4" localSheetId="4">[5]ATRUCK!#REF!</definedName>
    <definedName name="SCHTAHOE4">[5]ATRUCK!#REF!</definedName>
    <definedName name="SCHTAHOEALL" localSheetId="0">#REF!</definedName>
    <definedName name="SCHTAHOEALL" localSheetId="5">#REF!</definedName>
    <definedName name="SCHTAHOEALL" localSheetId="4">#REF!</definedName>
    <definedName name="SCHTAHOEALL">#REF!</definedName>
    <definedName name="SCHTRACK" localSheetId="0">[5]ATRUCK!#REF!</definedName>
    <definedName name="SCHTRACK" localSheetId="5">[5]ATRUCK!#REF!</definedName>
    <definedName name="SCHTRACK" localSheetId="4">[5]ATRUCK!#REF!</definedName>
    <definedName name="SCHTRACK">[5]ATRUCK!#REF!</definedName>
    <definedName name="SCHTRACK4" localSheetId="0">[5]ATRUCK!#REF!</definedName>
    <definedName name="SCHTRACK4" localSheetId="5">[5]ATRUCK!#REF!</definedName>
    <definedName name="SCHTRACK4" localSheetId="4">[5]ATRUCK!#REF!</definedName>
    <definedName name="SCHTRACK4">[5]ATRUCK!#REF!</definedName>
    <definedName name="SCHTRACKALL" localSheetId="0">#REF!</definedName>
    <definedName name="SCHTRACKALL" localSheetId="5">#REF!</definedName>
    <definedName name="SCHTRACKALL" localSheetId="4">#REF!</definedName>
    <definedName name="SCHTRACKALL">#REF!</definedName>
    <definedName name="SCHVENTP" localSheetId="0">[5]ATRUCK!#REF!</definedName>
    <definedName name="SCHVENTP" localSheetId="5">[5]ATRUCK!#REF!</definedName>
    <definedName name="SCHVENTP" localSheetId="4">[5]ATRUCK!#REF!</definedName>
    <definedName name="SCHVENTP">[5]ATRUCK!#REF!</definedName>
    <definedName name="SCHVNOVAALL" localSheetId="0">#REF!</definedName>
    <definedName name="SCHVNOVAALL" localSheetId="5">#REF!</definedName>
    <definedName name="SCHVNOVAALL" localSheetId="4">#REF!</definedName>
    <definedName name="SCHVNOVAALL">#REF!</definedName>
    <definedName name="SCHVSPECTRUMALL" localSheetId="0">#REF!</definedName>
    <definedName name="SCHVSPECTRUMALL" localSheetId="5">#REF!</definedName>
    <definedName name="SCHVSPECTRUMALL" localSheetId="4">#REF!</definedName>
    <definedName name="SCHVSPECTRUMALL">#REF!</definedName>
    <definedName name="SCHVSPRINTALL" localSheetId="0">#REF!</definedName>
    <definedName name="SCHVSPRINTALL" localSheetId="5">#REF!</definedName>
    <definedName name="SCHVSPRINTALL" localSheetId="4">#REF!</definedName>
    <definedName name="SCHVSPRINTALL">#REF!</definedName>
    <definedName name="SCHVSTORMALL" localSheetId="0">#REF!</definedName>
    <definedName name="SCHVSTORMALL" localSheetId="5">#REF!</definedName>
    <definedName name="SCHVSTORMALL" localSheetId="4">#REF!</definedName>
    <definedName name="SCHVSTORMALL">#REF!</definedName>
    <definedName name="SCHYVOY" localSheetId="0">[5]ATRUCK!#REF!</definedName>
    <definedName name="SCHYVOY" localSheetId="5">[5]ATRUCK!#REF!</definedName>
    <definedName name="SCHYVOY" localSheetId="4">[5]ATRUCK!#REF!</definedName>
    <definedName name="SCHYVOY">[5]ATRUCK!#REF!</definedName>
    <definedName name="SCL3HB" localSheetId="0">[4]ACARS!#REF!</definedName>
    <definedName name="SCL3HB" localSheetId="5">[4]ACARS!#REF!</definedName>
    <definedName name="SCL3HB" localSheetId="4">[4]ACARS!#REF!</definedName>
    <definedName name="SCL3HB">[4]ACARS!#REF!</definedName>
    <definedName name="SCPU4C" localSheetId="0">[5]ATRUCK!#REF!</definedName>
    <definedName name="SCPU4C" localSheetId="5">[5]ATRUCK!#REF!</definedName>
    <definedName name="SCPU4C" localSheetId="4">[5]ATRUCK!#REF!</definedName>
    <definedName name="SCPU4C">[5]ATRUCK!#REF!</definedName>
    <definedName name="SCPUEC" localSheetId="0">[5]ATRUCK!#REF!</definedName>
    <definedName name="SCPUEC" localSheetId="5">[5]ATRUCK!#REF!</definedName>
    <definedName name="SCPUEC" localSheetId="4">[5]ATRUCK!#REF!</definedName>
    <definedName name="SCPUEC">[5]ATRUCK!#REF!</definedName>
    <definedName name="SCPURC" localSheetId="0">[5]ATRUCK!#REF!</definedName>
    <definedName name="SCPURC" localSheetId="5">[5]ATRUCK!#REF!</definedName>
    <definedName name="SCPURC" localSheetId="4">[5]ATRUCK!#REF!</definedName>
    <definedName name="SCPURC">[5]ATRUCK!#REF!</definedName>
    <definedName name="SCPUTOTAL" localSheetId="0">[5]ATRUCK!#REF!</definedName>
    <definedName name="SCPUTOTAL" localSheetId="5">[5]ATRUCK!#REF!</definedName>
    <definedName name="SCPUTOTAL" localSheetId="4">[5]ATRUCK!#REF!</definedName>
    <definedName name="SCPUTOTAL">[5]ATRUCK!#REF!</definedName>
    <definedName name="SCRYTC" localSheetId="0">[5]ATRUCK!#REF!</definedName>
    <definedName name="SCRYTC" localSheetId="5">[5]ATRUCK!#REF!</definedName>
    <definedName name="SCRYTC" localSheetId="4">[5]ATRUCK!#REF!</definedName>
    <definedName name="SCRYTC">[5]ATRUCK!#REF!</definedName>
    <definedName name="SCV" localSheetId="0">[5]ATRUCK!#REF!</definedName>
    <definedName name="SCV" localSheetId="5">[5]ATRUCK!#REF!</definedName>
    <definedName name="SCV" localSheetId="4">[5]ATRUCK!#REF!</definedName>
    <definedName name="SCV">[5]ATRUCK!#REF!</definedName>
    <definedName name="SCVBLAZ" localSheetId="0">[5]ATRUCK!#REF!</definedName>
    <definedName name="SCVBLAZ" localSheetId="5">[5]ATRUCK!#REF!</definedName>
    <definedName name="SCVBLAZ" localSheetId="4">[5]ATRUCK!#REF!</definedName>
    <definedName name="SCVBLAZ">[5]ATRUCK!#REF!</definedName>
    <definedName name="SCVFSPUALL" localSheetId="0">#REF!</definedName>
    <definedName name="SCVFSPUALL" localSheetId="5">#REF!</definedName>
    <definedName name="SCVFSPUALL" localSheetId="4">#REF!</definedName>
    <definedName name="SCVFSPUALL">#REF!</definedName>
    <definedName name="SCVMONTEALL" localSheetId="0">#REF!</definedName>
    <definedName name="SCVMONTEALL" localSheetId="5">#REF!</definedName>
    <definedName name="SCVMONTEALL" localSheetId="4">#REF!</definedName>
    <definedName name="SCVMONTEALL">#REF!</definedName>
    <definedName name="SCVNOVPRIZALL" localSheetId="0">#REF!</definedName>
    <definedName name="SCVNOVPRIZALL" localSheetId="5">#REF!</definedName>
    <definedName name="SCVNOVPRIZALL" localSheetId="4">#REF!</definedName>
    <definedName name="SCVNOVPRIZALL">#REF!</definedName>
    <definedName name="SCVTOTAL" localSheetId="0">[5]ATRUCK!#REF!</definedName>
    <definedName name="SCVTOTAL" localSheetId="5">[5]ATRUCK!#REF!</definedName>
    <definedName name="SCVTOTAL" localSheetId="4">[5]ATRUCK!#REF!</definedName>
    <definedName name="SCVTOTAL">[5]ATRUCK!#REF!</definedName>
    <definedName name="SDAEKORAN" localSheetId="0">[5]ATRUCK!#REF!</definedName>
    <definedName name="SDAEKORAN" localSheetId="5">[5]ATRUCK!#REF!</definedName>
    <definedName name="SDAEKORAN" localSheetId="4">[5]ATRUCK!#REF!</definedName>
    <definedName name="SDAEKORAN">[5]ATRUCK!#REF!</definedName>
    <definedName name="SDAELANOSALL" localSheetId="0">#REF!</definedName>
    <definedName name="SDAELANOSALL" localSheetId="5">#REF!</definedName>
    <definedName name="SDAELANOSALL" localSheetId="4">#REF!</definedName>
    <definedName name="SDAELANOSALL">#REF!</definedName>
    <definedName name="SDAICHARADEALL" localSheetId="0">#REF!</definedName>
    <definedName name="SDAICHARADEALL" localSheetId="5">#REF!</definedName>
    <definedName name="SDAICHARADEALL" localSheetId="4">#REF!</definedName>
    <definedName name="SDAICHARADEALL">#REF!</definedName>
    <definedName name="SDAIROCKY" localSheetId="0">[5]ATRUCK!#REF!</definedName>
    <definedName name="SDAIROCKY" localSheetId="5">[5]ATRUCK!#REF!</definedName>
    <definedName name="SDAIROCKY" localSheetId="4">[5]ATRUCK!#REF!</definedName>
    <definedName name="SDAIROCKY">[5]ATRUCK!#REF!</definedName>
    <definedName name="SDG50ALL" localSheetId="0">#REF!</definedName>
    <definedName name="SDG50ALL" localSheetId="5">#REF!</definedName>
    <definedName name="SDG50ALL" localSheetId="4">#REF!</definedName>
    <definedName name="SDG50ALL">#REF!</definedName>
    <definedName name="SDG50R" localSheetId="0">[5]ATRUCK!#REF!</definedName>
    <definedName name="SDG50R" localSheetId="5">[5]ATRUCK!#REF!</definedName>
    <definedName name="SDG50R" localSheetId="4">[5]ATRUCK!#REF!</definedName>
    <definedName name="SDG50R">[5]ATRUCK!#REF!</definedName>
    <definedName name="SDG50X" localSheetId="0">[5]ATRUCK!#REF!</definedName>
    <definedName name="SDG50X" localSheetId="5">[5]ATRUCK!#REF!</definedName>
    <definedName name="SDG50X" localSheetId="4">[5]ATRUCK!#REF!</definedName>
    <definedName name="SDG50X">[5]ATRUCK!#REF!</definedName>
    <definedName name="SDGCARAVALL" localSheetId="0">#REF!</definedName>
    <definedName name="SDGCARAVALL" localSheetId="5">#REF!</definedName>
    <definedName name="SDGCARAVALL" localSheetId="4">#REF!</definedName>
    <definedName name="SDGCARAVALL">#REF!</definedName>
    <definedName name="SDGCARAVANC" localSheetId="0">[5]ATRUCK!#REF!</definedName>
    <definedName name="SDGCARAVANC" localSheetId="5">[5]ATRUCK!#REF!</definedName>
    <definedName name="SDGCARAVANC" localSheetId="4">[5]ATRUCK!#REF!</definedName>
    <definedName name="SDGCARAVANC">[5]ATRUCK!#REF!</definedName>
    <definedName name="SDGCARAVANP" localSheetId="0">[5]ATRUCK!#REF!</definedName>
    <definedName name="SDGCARAVANP" localSheetId="5">[5]ATRUCK!#REF!</definedName>
    <definedName name="SDGCARAVANP" localSheetId="4">[5]ATRUCK!#REF!</definedName>
    <definedName name="SDGCARAVANP">[5]ATRUCK!#REF!</definedName>
    <definedName name="SDGDAKOTA4NU" localSheetId="0">[5]ATRUCK!#REF!</definedName>
    <definedName name="SDGDAKOTA4NU" localSheetId="5">[5]ATRUCK!#REF!</definedName>
    <definedName name="SDGDAKOTA4NU" localSheetId="4">[5]ATRUCK!#REF!</definedName>
    <definedName name="SDGDAKOTA4NU">[5]ATRUCK!#REF!</definedName>
    <definedName name="SDGDAKOTAALL" localSheetId="0">#REF!</definedName>
    <definedName name="SDGDAKOTAALL" localSheetId="5">#REF!</definedName>
    <definedName name="SDGDAKOTAALL" localSheetId="4">#REF!</definedName>
    <definedName name="SDGDAKOTAALL">#REF!</definedName>
    <definedName name="SDGDAKOTANUALL" localSheetId="0">#REF!</definedName>
    <definedName name="SDGDAKOTANUALL" localSheetId="5">#REF!</definedName>
    <definedName name="SDGDAKOTANUALL" localSheetId="4">#REF!</definedName>
    <definedName name="SDGDAKOTANUALL">#REF!</definedName>
    <definedName name="SDGDAKOTAR" localSheetId="0">[5]ATRUCK!#REF!</definedName>
    <definedName name="SDGDAKOTAR" localSheetId="5">[5]ATRUCK!#REF!</definedName>
    <definedName name="SDGDAKOTAR" localSheetId="4">[5]ATRUCK!#REF!</definedName>
    <definedName name="SDGDAKOTAR">[5]ATRUCK!#REF!</definedName>
    <definedName name="SDGDAKOTARNU" localSheetId="0">[5]ATRUCK!#REF!</definedName>
    <definedName name="SDGDAKOTARNU" localSheetId="5">[5]ATRUCK!#REF!</definedName>
    <definedName name="SDGDAKOTARNU" localSheetId="4">[5]ATRUCK!#REF!</definedName>
    <definedName name="SDGDAKOTARNU">[5]ATRUCK!#REF!</definedName>
    <definedName name="SDGDAKOTAX" localSheetId="0">[5]ATRUCK!#REF!</definedName>
    <definedName name="SDGDAKOTAX" localSheetId="5">[5]ATRUCK!#REF!</definedName>
    <definedName name="SDGDAKOTAX" localSheetId="4">[5]ATRUCK!#REF!</definedName>
    <definedName name="SDGDAKOTAX">[5]ATRUCK!#REF!</definedName>
    <definedName name="SDGDAKOTAXNU" localSheetId="0">[5]ATRUCK!#REF!</definedName>
    <definedName name="SDGDAKOTAXNU" localSheetId="5">[5]ATRUCK!#REF!</definedName>
    <definedName name="SDGDAKOTAXNU" localSheetId="4">[5]ATRUCK!#REF!</definedName>
    <definedName name="SDGDAKOTAXNU">[5]ATRUCK!#REF!</definedName>
    <definedName name="SDGDURANGO" localSheetId="0">[5]ATRUCK!#REF!</definedName>
    <definedName name="SDGDURANGO" localSheetId="5">[5]ATRUCK!#REF!</definedName>
    <definedName name="SDGDURANGO" localSheetId="4">[5]ATRUCK!#REF!</definedName>
    <definedName name="SDGDURANGO">[5]ATRUCK!#REF!</definedName>
    <definedName name="SDGRAID" localSheetId="0">[5]ATRUCK!#REF!</definedName>
    <definedName name="SDGRAID" localSheetId="5">[5]ATRUCK!#REF!</definedName>
    <definedName name="SDGRAID" localSheetId="4">[5]ATRUCK!#REF!</definedName>
    <definedName name="SDGRAID">[5]ATRUCK!#REF!</definedName>
    <definedName name="SDGRAMALL" localSheetId="0">#REF!</definedName>
    <definedName name="SDGRAMALL" localSheetId="5">#REF!</definedName>
    <definedName name="SDGRAMALL" localSheetId="4">#REF!</definedName>
    <definedName name="SDGRAMALL">#REF!</definedName>
    <definedName name="SDGRAMC" localSheetId="0">[5]ATRUCK!#REF!</definedName>
    <definedName name="SDGRAMC" localSheetId="5">[5]ATRUCK!#REF!</definedName>
    <definedName name="SDGRAMC" localSheetId="4">[5]ATRUCK!#REF!</definedName>
    <definedName name="SDGRAMC">[5]ATRUCK!#REF!</definedName>
    <definedName name="SDGRAMCHARG" localSheetId="0">[5]ATRUCK!#REF!</definedName>
    <definedName name="SDGRAMCHARG" localSheetId="5">[5]ATRUCK!#REF!</definedName>
    <definedName name="SDGRAMCHARG" localSheetId="4">[5]ATRUCK!#REF!</definedName>
    <definedName name="SDGRAMCHARG">[5]ATRUCK!#REF!</definedName>
    <definedName name="SDGRAMP" localSheetId="0">[5]ATRUCK!#REF!</definedName>
    <definedName name="SDGRAMP" localSheetId="5">[5]ATRUCK!#REF!</definedName>
    <definedName name="SDGRAMP" localSheetId="4">[5]ATRUCK!#REF!</definedName>
    <definedName name="SDGRAMP">[5]ATRUCK!#REF!</definedName>
    <definedName name="SDGRAMR" localSheetId="0">[5]ATRUCK!#REF!</definedName>
    <definedName name="SDGRAMR" localSheetId="5">[5]ATRUCK!#REF!</definedName>
    <definedName name="SDGRAMR" localSheetId="4">[5]ATRUCK!#REF!</definedName>
    <definedName name="SDGRAMR">[5]ATRUCK!#REF!</definedName>
    <definedName name="SDGRAMVAN" localSheetId="0">#REF!</definedName>
    <definedName name="SDGRAMVAN" localSheetId="5">#REF!</definedName>
    <definedName name="SDGRAMVAN" localSheetId="4">#REF!</definedName>
    <definedName name="SDGRAMVAN">#REF!</definedName>
    <definedName name="SDGRAMX" localSheetId="0">[5]ATRUCK!#REF!</definedName>
    <definedName name="SDGRAMX" localSheetId="5">[5]ATRUCK!#REF!</definedName>
    <definedName name="SDGRAMX" localSheetId="4">[5]ATRUCK!#REF!</definedName>
    <definedName name="SDGRAMX">[5]ATRUCK!#REF!</definedName>
    <definedName name="SDODCOLTALL" localSheetId="0">#REF!</definedName>
    <definedName name="SDODCOLTALL" localSheetId="5">#REF!</definedName>
    <definedName name="SDODCOLTALL" localSheetId="4">#REF!</definedName>
    <definedName name="SDODCOLTALL">#REF!</definedName>
    <definedName name="SDODINTRALL" localSheetId="0">#REF!</definedName>
    <definedName name="SDODINTRALL" localSheetId="5">#REF!</definedName>
    <definedName name="SDODINTRALL" localSheetId="4">#REF!</definedName>
    <definedName name="SDODINTRALL">#REF!</definedName>
    <definedName name="SDODNEON_SHADALL" localSheetId="0">#REF!</definedName>
    <definedName name="SDODNEON_SHADALL" localSheetId="5">#REF!</definedName>
    <definedName name="SDODNEON_SHADALL" localSheetId="4">#REF!</definedName>
    <definedName name="SDODNEON_SHADALL">#REF!</definedName>
    <definedName name="SDODSPIRIT_STRATALL" localSheetId="0">#REF!</definedName>
    <definedName name="SDODSPIRIT_STRATALL" localSheetId="5">#REF!</definedName>
    <definedName name="SDODSPIRIT_STRATALL" localSheetId="4">#REF!</definedName>
    <definedName name="SDODSPIRIT_STRATALL">#REF!</definedName>
    <definedName name="SDODVIPERALL" localSheetId="0">#REF!</definedName>
    <definedName name="SDODVIPERALL" localSheetId="5">#REF!</definedName>
    <definedName name="SDODVIPERALL" localSheetId="4">#REF!</definedName>
    <definedName name="SDODVIPERALL">#REF!</definedName>
    <definedName name="SDOGSEQ" localSheetId="0">[5]ATRUCK!#REF!</definedName>
    <definedName name="SDOGSEQ" localSheetId="5">[5]ATRUCK!#REF!</definedName>
    <definedName name="SDOGSEQ" localSheetId="4">[5]ATRUCK!#REF!</definedName>
    <definedName name="SDOGSEQ">[5]ATRUCK!#REF!</definedName>
    <definedName name="SDW100P" localSheetId="0">[5]ATRUCK!#REF!</definedName>
    <definedName name="SDW100P" localSheetId="5">[5]ATRUCK!#REF!</definedName>
    <definedName name="SDW100P" localSheetId="4">[5]ATRUCK!#REF!</definedName>
    <definedName name="SDW100P">[5]ATRUCK!#REF!</definedName>
    <definedName name="SDWNUBALL" localSheetId="0">#REF!</definedName>
    <definedName name="SDWNUBALL" localSheetId="5">#REF!</definedName>
    <definedName name="SDWNUBALL" localSheetId="4">#REF!</definedName>
    <definedName name="SDWNUBALL">#REF!</definedName>
    <definedName name="SECH4SD" localSheetId="0">[4]ACARS!#REF!</definedName>
    <definedName name="SECH4SD" localSheetId="5">[4]ACARS!#REF!</definedName>
    <definedName name="SECH4SD" localSheetId="4">[4]ACARS!#REF!</definedName>
    <definedName name="SECH4SD">[4]ACARS!#REF!</definedName>
    <definedName name="SECO2CP" localSheetId="0">[4]ACARS!#REF!</definedName>
    <definedName name="SECO2CP" localSheetId="5">[4]ACARS!#REF!</definedName>
    <definedName name="SECO2CP" localSheetId="4">[4]ACARS!#REF!</definedName>
    <definedName name="SECO2CP">[4]ACARS!#REF!</definedName>
    <definedName name="SECO3CP" localSheetId="0">[4]ACARS!#REF!</definedName>
    <definedName name="SECO3CP" localSheetId="5">[4]ACARS!#REF!</definedName>
    <definedName name="SECO3CP" localSheetId="4">[4]ACARS!#REF!</definedName>
    <definedName name="SECO3CP">[4]ACARS!#REF!</definedName>
    <definedName name="SECO3HB" localSheetId="0">[4]ACARS!#REF!</definedName>
    <definedName name="SECO3HB" localSheetId="5">[4]ACARS!#REF!</definedName>
    <definedName name="SECO3HB" localSheetId="4">[4]ACARS!#REF!</definedName>
    <definedName name="SECO3HB">[4]ACARS!#REF!</definedName>
    <definedName name="SECO4WG" localSheetId="0">[4]ACARS!#REF!</definedName>
    <definedName name="SECO4WG" localSheetId="5">[4]ACARS!#REF!</definedName>
    <definedName name="SECO4WG" localSheetId="4">[4]ACARS!#REF!</definedName>
    <definedName name="SECO4WG">[4]ACARS!#REF!</definedName>
    <definedName name="SECOTOTAL" localSheetId="0">[4]ACARS!#REF!</definedName>
    <definedName name="SECOTOTAL" localSheetId="5">[4]ACARS!#REF!</definedName>
    <definedName name="SECOTOTAL" localSheetId="4">[4]ACARS!#REF!</definedName>
    <definedName name="SECOTOTAL">[4]ACARS!#REF!</definedName>
    <definedName name="SEGLMEDALL" localSheetId="0">#REF!</definedName>
    <definedName name="SEGLMEDALL" localSheetId="5">#REF!</definedName>
    <definedName name="SEGLMEDALL" localSheetId="4">#REF!</definedName>
    <definedName name="SEGLMEDALL">#REF!</definedName>
    <definedName name="SEGLPREM_VISALL" localSheetId="0">#REF!</definedName>
    <definedName name="SEGLPREM_VISALL" localSheetId="5">#REF!</definedName>
    <definedName name="SEGLPREM_VISALL" localSheetId="4">#REF!</definedName>
    <definedName name="SEGLPREM_VISALL">#REF!</definedName>
    <definedName name="SEGLSUMMITALL" localSheetId="0">#REF!</definedName>
    <definedName name="SEGLSUMMITALL" localSheetId="5">#REF!</definedName>
    <definedName name="SEGLSUMMITALL" localSheetId="4">#REF!</definedName>
    <definedName name="SEGLSUMMITALL">#REF!</definedName>
    <definedName name="SFD150X" localSheetId="0">[5]ATRUCK!#REF!</definedName>
    <definedName name="SFD150X" localSheetId="5">[5]ATRUCK!#REF!</definedName>
    <definedName name="SFD150X" localSheetId="4">[5]ATRUCK!#REF!</definedName>
    <definedName name="SFD150X">[5]ATRUCK!#REF!</definedName>
    <definedName name="SFDAEROALL" localSheetId="0">#REF!</definedName>
    <definedName name="SFDAEROALL" localSheetId="5">#REF!</definedName>
    <definedName name="SFDAEROALL" localSheetId="4">#REF!</definedName>
    <definedName name="SFDAEROALL">#REF!</definedName>
    <definedName name="SFDAEROC" localSheetId="0">[5]ATRUCK!#REF!</definedName>
    <definedName name="SFDAEROC" localSheetId="5">[5]ATRUCK!#REF!</definedName>
    <definedName name="SFDAEROC" localSheetId="4">[5]ATRUCK!#REF!</definedName>
    <definedName name="SFDAEROC">[5]ATRUCK!#REF!</definedName>
    <definedName name="SFDAEROP" localSheetId="0">[5]ATRUCK!#REF!</definedName>
    <definedName name="SFDAEROP" localSheetId="5">[5]ATRUCK!#REF!</definedName>
    <definedName name="SFDAEROP" localSheetId="4">[5]ATRUCK!#REF!</definedName>
    <definedName name="SFDAEROP">[5]ATRUCK!#REF!</definedName>
    <definedName name="SFDASPIREALL" localSheetId="0">#REF!</definedName>
    <definedName name="SFDASPIREALL" localSheetId="5">#REF!</definedName>
    <definedName name="SFDASPIREALL" localSheetId="4">#REF!</definedName>
    <definedName name="SFDASPIREALL">#REF!</definedName>
    <definedName name="SFDBRONCO" localSheetId="0">[5]ATRUCK!#REF!</definedName>
    <definedName name="SFDBRONCO" localSheetId="5">[5]ATRUCK!#REF!</definedName>
    <definedName name="SFDBRONCO" localSheetId="4">[5]ATRUCK!#REF!</definedName>
    <definedName name="SFDBRONCO">[5]ATRUCK!#REF!</definedName>
    <definedName name="SFDCLUB" localSheetId="0">[5]ATRUCK!#REF!</definedName>
    <definedName name="SFDCLUB" localSheetId="5">[5]ATRUCK!#REF!</definedName>
    <definedName name="SFDCLUB" localSheetId="4">[5]ATRUCK!#REF!</definedName>
    <definedName name="SFDCLUB">[5]ATRUCK!#REF!</definedName>
    <definedName name="SFDCONTOUR4" localSheetId="0">#REF!</definedName>
    <definedName name="SFDCONTOUR4" localSheetId="5">#REF!</definedName>
    <definedName name="SFDCONTOUR4" localSheetId="4">#REF!</definedName>
    <definedName name="SFDCONTOUR4">#REF!</definedName>
    <definedName name="SFDCRWNVICALL" localSheetId="0">#REF!</definedName>
    <definedName name="SFDCRWNVICALL" localSheetId="5">#REF!</definedName>
    <definedName name="SFDCRWNVICALL" localSheetId="4">#REF!</definedName>
    <definedName name="SFDCRWNVICALL">#REF!</definedName>
    <definedName name="SFDECON" localSheetId="0">[5]ATRUCK!#REF!</definedName>
    <definedName name="SFDECON" localSheetId="5">[5]ATRUCK!#REF!</definedName>
    <definedName name="SFDECON" localSheetId="4">[5]ATRUCK!#REF!</definedName>
    <definedName name="SFDECON">[5]ATRUCK!#REF!</definedName>
    <definedName name="SFDECONOALL" localSheetId="0">#REF!</definedName>
    <definedName name="SFDECONOALL" localSheetId="5">#REF!</definedName>
    <definedName name="SFDECONOALL" localSheetId="4">#REF!</definedName>
    <definedName name="SFDECONOALL">#REF!</definedName>
    <definedName name="SFDESCORTALL" localSheetId="0">#REF!</definedName>
    <definedName name="SFDESCORTALL" localSheetId="5">#REF!</definedName>
    <definedName name="SFDESCORTALL" localSheetId="4">#REF!</definedName>
    <definedName name="SFDESCORTALL">#REF!</definedName>
    <definedName name="SFDESCORTONLYALL" localSheetId="0">#REF!</definedName>
    <definedName name="SFDESCORTONLYALL" localSheetId="5">#REF!</definedName>
    <definedName name="SFDESCORTONLYALL" localSheetId="4">#REF!</definedName>
    <definedName name="SFDESCORTONLYALL">#REF!</definedName>
    <definedName name="SFDEXCUR" localSheetId="0">[5]ATRUCK!#REF!</definedName>
    <definedName name="SFDEXCUR" localSheetId="5">[5]ATRUCK!#REF!</definedName>
    <definedName name="SFDEXCUR" localSheetId="4">[5]ATRUCK!#REF!</definedName>
    <definedName name="SFDEXCUR">[5]ATRUCK!#REF!</definedName>
    <definedName name="SFDEXPED" localSheetId="0">[5]ATRUCK!#REF!</definedName>
    <definedName name="SFDEXPED" localSheetId="5">[5]ATRUCK!#REF!</definedName>
    <definedName name="SFDEXPED" localSheetId="4">[5]ATRUCK!#REF!</definedName>
    <definedName name="SFDEXPED">[5]ATRUCK!#REF!</definedName>
    <definedName name="SFDEXPEDALL" localSheetId="0">#REF!</definedName>
    <definedName name="SFDEXPEDALL" localSheetId="5">#REF!</definedName>
    <definedName name="SFDEXPEDALL" localSheetId="4">#REF!</definedName>
    <definedName name="SFDEXPEDALL">#REF!</definedName>
    <definedName name="SFDEXPLOR" localSheetId="0">[5]ATRUCK!#REF!</definedName>
    <definedName name="SFDEXPLOR" localSheetId="5">[5]ATRUCK!#REF!</definedName>
    <definedName name="SFDEXPLOR" localSheetId="4">[5]ATRUCK!#REF!</definedName>
    <definedName name="SFDEXPLOR">[5]ATRUCK!#REF!</definedName>
    <definedName name="SFDEXPLOR4" localSheetId="0">[5]ATRUCK!#REF!</definedName>
    <definedName name="SFDEXPLOR4" localSheetId="5">[5]ATRUCK!#REF!</definedName>
    <definedName name="SFDEXPLOR4" localSheetId="4">[5]ATRUCK!#REF!</definedName>
    <definedName name="SFDEXPLOR4">[5]ATRUCK!#REF!</definedName>
    <definedName name="SFDEXPLORALL" localSheetId="0">#REF!</definedName>
    <definedName name="SFDEXPLORALL" localSheetId="5">#REF!</definedName>
    <definedName name="SFDEXPLORALL" localSheetId="4">#REF!</definedName>
    <definedName name="SFDEXPLORALL">#REF!</definedName>
    <definedName name="SFDF150R" localSheetId="0">[5]ATRUCK!#REF!</definedName>
    <definedName name="SFDF150R" localSheetId="5">[5]ATRUCK!#REF!</definedName>
    <definedName name="SFDF150R" localSheetId="4">[5]ATRUCK!#REF!</definedName>
    <definedName name="SFDF150R">[5]ATRUCK!#REF!</definedName>
    <definedName name="SFDF150RALL" localSheetId="0">#REF!</definedName>
    <definedName name="SFDF150RALL" localSheetId="5">#REF!</definedName>
    <definedName name="SFDF150RALL" localSheetId="4">#REF!</definedName>
    <definedName name="SFDF150RALL">#REF!</definedName>
    <definedName name="SFDF150XALL" localSheetId="0">#REF!</definedName>
    <definedName name="SFDF150XALL" localSheetId="5">#REF!</definedName>
    <definedName name="SFDF150XALL" localSheetId="4">#REF!</definedName>
    <definedName name="SFDF150XALL">#REF!</definedName>
    <definedName name="SFDFOCUSALL" localSheetId="0">#REF!</definedName>
    <definedName name="SFDFOCUSALL" localSheetId="5">#REF!</definedName>
    <definedName name="SFDFOCUSALL" localSheetId="4">#REF!</definedName>
    <definedName name="SFDFOCUSALL">#REF!</definedName>
    <definedName name="SFDFSERIESALL" localSheetId="0">#REF!</definedName>
    <definedName name="SFDFSERIESALL" localSheetId="5">#REF!</definedName>
    <definedName name="SFDFSERIESALL" localSheetId="4">#REF!</definedName>
    <definedName name="SFDFSERIESALL">#REF!</definedName>
    <definedName name="SFDFSPUALL" localSheetId="0">#REF!</definedName>
    <definedName name="SFDFSPUALL" localSheetId="5">#REF!</definedName>
    <definedName name="SFDFSPUALL" localSheetId="4">#REF!</definedName>
    <definedName name="SFDFSPUALL">#REF!</definedName>
    <definedName name="SFDMUSTANGALL" localSheetId="0">#REF!</definedName>
    <definedName name="SFDMUSTANGALL" localSheetId="5">#REF!</definedName>
    <definedName name="SFDMUSTANGALL" localSheetId="4">#REF!</definedName>
    <definedName name="SFDMUSTANGALL">#REF!</definedName>
    <definedName name="SFDP225X" localSheetId="0">[5]ATRUCK!#REF!</definedName>
    <definedName name="SFDP225X" localSheetId="5">[5]ATRUCK!#REF!</definedName>
    <definedName name="SFDP225X" localSheetId="4">[5]ATRUCK!#REF!</definedName>
    <definedName name="SFDP225X">[5]ATRUCK!#REF!</definedName>
    <definedName name="SFDPHN131R" localSheetId="0">[5]ATRUCK!#REF!</definedName>
    <definedName name="SFDPHN131R" localSheetId="5">[5]ATRUCK!#REF!</definedName>
    <definedName name="SFDPHN131R" localSheetId="4">[5]ATRUCK!#REF!</definedName>
    <definedName name="SFDPHN131R">[5]ATRUCK!#REF!</definedName>
    <definedName name="SFDPHN131X" localSheetId="0">[5]ATRUCK!#REF!</definedName>
    <definedName name="SFDPHN131X" localSheetId="5">[5]ATRUCK!#REF!</definedName>
    <definedName name="SFDPHN131X" localSheetId="4">[5]ATRUCK!#REF!</definedName>
    <definedName name="SFDPHN131X">[5]ATRUCK!#REF!</definedName>
    <definedName name="SFDPN96R" localSheetId="0">[5]ATRUCK!#REF!</definedName>
    <definedName name="SFDPN96R" localSheetId="5">[5]ATRUCK!#REF!</definedName>
    <definedName name="SFDPN96R" localSheetId="4">[5]ATRUCK!#REF!</definedName>
    <definedName name="SFDPN96R">[5]ATRUCK!#REF!</definedName>
    <definedName name="SFDPN96X" localSheetId="0">[5]ATRUCK!#REF!</definedName>
    <definedName name="SFDPN96X" localSheetId="5">[5]ATRUCK!#REF!</definedName>
    <definedName name="SFDPN96X" localSheetId="4">[5]ATRUCK!#REF!</definedName>
    <definedName name="SFDPN96X">[5]ATRUCK!#REF!</definedName>
    <definedName name="SFDRANGALL" localSheetId="0">#REF!</definedName>
    <definedName name="SFDRANGALL" localSheetId="5">#REF!</definedName>
    <definedName name="SFDRANGALL" localSheetId="4">#REF!</definedName>
    <definedName name="SFDRANGALL">#REF!</definedName>
    <definedName name="SFDRANGER4" localSheetId="0">[5]ATRUCK!#REF!</definedName>
    <definedName name="SFDRANGER4" localSheetId="5">[5]ATRUCK!#REF!</definedName>
    <definedName name="SFDRANGER4" localSheetId="4">[5]ATRUCK!#REF!</definedName>
    <definedName name="SFDRANGER4">[5]ATRUCK!#REF!</definedName>
    <definedName name="SFDRANGERPLUS4" localSheetId="0">#REF!</definedName>
    <definedName name="SFDRANGERPLUS4" localSheetId="5">#REF!</definedName>
    <definedName name="SFDRANGERPLUS4" localSheetId="4">#REF!</definedName>
    <definedName name="SFDRANGERPLUS4">#REF!</definedName>
    <definedName name="SFDRANGERR" localSheetId="0">[5]ATRUCK!#REF!</definedName>
    <definedName name="SFDRANGERR" localSheetId="5">[5]ATRUCK!#REF!</definedName>
    <definedName name="SFDRANGERR" localSheetId="4">[5]ATRUCK!#REF!</definedName>
    <definedName name="SFDRANGERR">[5]ATRUCK!#REF!</definedName>
    <definedName name="SFDRANGERX" localSheetId="0">[5]ATRUCK!#REF!</definedName>
    <definedName name="SFDRANGERX" localSheetId="5">[5]ATRUCK!#REF!</definedName>
    <definedName name="SFDRANGERX" localSheetId="4">[5]ATRUCK!#REF!</definedName>
    <definedName name="SFDRANGERX">[5]ATRUCK!#REF!</definedName>
    <definedName name="SFDTAURUSALL" localSheetId="0">#REF!</definedName>
    <definedName name="SFDTAURUSALL" localSheetId="5">#REF!</definedName>
    <definedName name="SFDTAURUSALL" localSheetId="4">#REF!</definedName>
    <definedName name="SFDTAURUSALL">#REF!</definedName>
    <definedName name="SFDTBIRDOLDALL" localSheetId="0">#REF!</definedName>
    <definedName name="SFDTBIRDOLDALL" localSheetId="5">#REF!</definedName>
    <definedName name="SFDTBIRDOLDALL" localSheetId="4">#REF!</definedName>
    <definedName name="SFDTBIRDOLDALL">#REF!</definedName>
    <definedName name="SFDTEMPOALL" localSheetId="0">#REF!</definedName>
    <definedName name="SFDTEMPOALL" localSheetId="5">#REF!</definedName>
    <definedName name="SFDTEMPOALL" localSheetId="4">#REF!</definedName>
    <definedName name="SFDTEMPOALL">#REF!</definedName>
    <definedName name="SFDU204" localSheetId="0">[5]ATRUCK!#REF!</definedName>
    <definedName name="SFDU204" localSheetId="5">[5]ATRUCK!#REF!</definedName>
    <definedName name="SFDU204" localSheetId="4">[5]ATRUCK!#REF!</definedName>
    <definedName name="SFDU204">[5]ATRUCK!#REF!</definedName>
    <definedName name="SFDU207" localSheetId="0">[5]ATRUCK!#REF!</definedName>
    <definedName name="SFDU207" localSheetId="5">[5]ATRUCK!#REF!</definedName>
    <definedName name="SFDU207" localSheetId="4">[5]ATRUCK!#REF!</definedName>
    <definedName name="SFDU207">[5]ATRUCK!#REF!</definedName>
    <definedName name="SFDU2214" localSheetId="0">[5]ATRUCK!#REF!</definedName>
    <definedName name="SFDU2214" localSheetId="5">[5]ATRUCK!#REF!</definedName>
    <definedName name="SFDU2214" localSheetId="4">[5]ATRUCK!#REF!</definedName>
    <definedName name="SFDU2214">[5]ATRUCK!#REF!</definedName>
    <definedName name="SFDWINDALL" localSheetId="0">#REF!</definedName>
    <definedName name="SFDWINDALL" localSheetId="5">#REF!</definedName>
    <definedName name="SFDWINDALL" localSheetId="4">#REF!</definedName>
    <definedName name="SFDWINDALL">#REF!</definedName>
    <definedName name="SFDWINDC" localSheetId="0">[5]ATRUCK!#REF!</definedName>
    <definedName name="SFDWINDC" localSheetId="5">[5]ATRUCK!#REF!</definedName>
    <definedName name="SFDWINDC" localSheetId="4">[5]ATRUCK!#REF!</definedName>
    <definedName name="SFDWINDC">[5]ATRUCK!#REF!</definedName>
    <definedName name="SFDWINDP" localSheetId="0">[5]ATRUCK!#REF!</definedName>
    <definedName name="SFDWINDP" localSheetId="5">[5]ATRUCK!#REF!</definedName>
    <definedName name="SFDWINDP" localSheetId="4">[5]ATRUCK!#REF!</definedName>
    <definedName name="SFDWINDP">[5]ATRUCK!#REF!</definedName>
    <definedName name="SFSCV" localSheetId="0">[5]ATRUCK!#REF!</definedName>
    <definedName name="SFSCV" localSheetId="5">[5]ATRUCK!#REF!</definedName>
    <definedName name="SFSCV" localSheetId="4">[5]ATRUCK!#REF!</definedName>
    <definedName name="SFSCV">[5]ATRUCK!#REF!</definedName>
    <definedName name="SFSCVTOTAL" localSheetId="0">[5]ATRUCK!#REF!</definedName>
    <definedName name="SFSCVTOTAL" localSheetId="5">[5]ATRUCK!#REF!</definedName>
    <definedName name="SFSCVTOTAL" localSheetId="4">[5]ATRUCK!#REF!</definedName>
    <definedName name="SFSCVTOTAL">[5]ATRUCK!#REF!</definedName>
    <definedName name="SFSPU4DR" localSheetId="0">[5]ATRUCK!#REF!</definedName>
    <definedName name="SFSPU4DR" localSheetId="5">[5]ATRUCK!#REF!</definedName>
    <definedName name="SFSPU4DR" localSheetId="4">[5]ATRUCK!#REF!</definedName>
    <definedName name="SFSPU4DR">[5]ATRUCK!#REF!</definedName>
    <definedName name="SFSPUEC" localSheetId="0">[5]ATRUCK!#REF!</definedName>
    <definedName name="SFSPUEC" localSheetId="5">[5]ATRUCK!#REF!</definedName>
    <definedName name="SFSPUEC" localSheetId="4">[5]ATRUCK!#REF!</definedName>
    <definedName name="SFSPUEC">[5]ATRUCK!#REF!</definedName>
    <definedName name="SFSPURC" localSheetId="0">[5]ATRUCK!#REF!</definedName>
    <definedName name="SFSPURC" localSheetId="5">[5]ATRUCK!#REF!</definedName>
    <definedName name="SFSPURC" localSheetId="4">[5]ATRUCK!#REF!</definedName>
    <definedName name="SFSPURC">[5]ATRUCK!#REF!</definedName>
    <definedName name="SFSPUTOTAL" localSheetId="0">[5]ATRUCK!#REF!</definedName>
    <definedName name="SFSPUTOTAL" localSheetId="5">[5]ATRUCK!#REF!</definedName>
    <definedName name="SFSPUTOTAL" localSheetId="4">[5]ATRUCK!#REF!</definedName>
    <definedName name="SFSPUTOTAL">[5]ATRUCK!#REF!</definedName>
    <definedName name="SFSPV" localSheetId="0">[5]ATRUCK!#REF!</definedName>
    <definedName name="SFSPV" localSheetId="5">[5]ATRUCK!#REF!</definedName>
    <definedName name="SFSPV" localSheetId="4">[5]ATRUCK!#REF!</definedName>
    <definedName name="SFSPV">[5]ATRUCK!#REF!</definedName>
    <definedName name="SFSPVTOTAL" localSheetId="0">[5]ATRUCK!#REF!</definedName>
    <definedName name="SFSPVTOTAL" localSheetId="5">[5]ATRUCK!#REF!</definedName>
    <definedName name="SFSPVTOTAL" localSheetId="4">[5]ATRUCK!#REF!</definedName>
    <definedName name="SFSPVTOTAL">[5]ATRUCK!#REF!</definedName>
    <definedName name="SGMCCAB" localSheetId="0">[5]ATRUCK!#REF!</definedName>
    <definedName name="SGMCCAB" localSheetId="5">[5]ATRUCK!#REF!</definedName>
    <definedName name="SGMCCAB" localSheetId="4">[5]ATRUCK!#REF!</definedName>
    <definedName name="SGMCCAB">[5]ATRUCK!#REF!</definedName>
    <definedName name="SGMCENVW4" localSheetId="0">[5]ATRUCK!#REF!</definedName>
    <definedName name="SGMCENVW4" localSheetId="5">[5]ATRUCK!#REF!</definedName>
    <definedName name="SGMCENVW4" localSheetId="4">[5]ATRUCK!#REF!</definedName>
    <definedName name="SGMCENVW4">[5]ATRUCK!#REF!</definedName>
    <definedName name="SGMCJIM" localSheetId="0">[5]ATRUCK!#REF!</definedName>
    <definedName name="SGMCJIM" localSheetId="5">[5]ATRUCK!#REF!</definedName>
    <definedName name="SGMCJIM" localSheetId="4">[5]ATRUCK!#REF!</definedName>
    <definedName name="SGMCJIM">[5]ATRUCK!#REF!</definedName>
    <definedName name="SGMCJIM4" localSheetId="0">[5]ATRUCK!#REF!</definedName>
    <definedName name="SGMCJIM4" localSheetId="5">[5]ATRUCK!#REF!</definedName>
    <definedName name="SGMCJIM4" localSheetId="4">[5]ATRUCK!#REF!</definedName>
    <definedName name="SGMCJIM4">[5]ATRUCK!#REF!</definedName>
    <definedName name="SGMCJIMALL" localSheetId="0">#REF!</definedName>
    <definedName name="SGMCJIMALL" localSheetId="5">#REF!</definedName>
    <definedName name="SGMCJIMALL" localSheetId="4">#REF!</definedName>
    <definedName name="SGMCJIMALL">#REF!</definedName>
    <definedName name="SGMCSAFARIALL" localSheetId="0">#REF!</definedName>
    <definedName name="SGMCSAFARIALL" localSheetId="5">#REF!</definedName>
    <definedName name="SGMCSAFARIALL" localSheetId="4">#REF!</definedName>
    <definedName name="SGMCSAFARIALL">#REF!</definedName>
    <definedName name="SGMCSAFARIC" localSheetId="0">[5]ATRUCK!#REF!</definedName>
    <definedName name="SGMCSAFARIC" localSheetId="5">[5]ATRUCK!#REF!</definedName>
    <definedName name="SGMCSAFARIC" localSheetId="4">[5]ATRUCK!#REF!</definedName>
    <definedName name="SGMCSAFARIC">[5]ATRUCK!#REF!</definedName>
    <definedName name="SGMCSAFARIP" localSheetId="0">[5]ATRUCK!#REF!</definedName>
    <definedName name="SGMCSAFARIP" localSheetId="5">[5]ATRUCK!#REF!</definedName>
    <definedName name="SGMCSAFARIP" localSheetId="4">[5]ATRUCK!#REF!</definedName>
    <definedName name="SGMCSAFARIP">[5]ATRUCK!#REF!</definedName>
    <definedName name="SGMCSAVAC" localSheetId="0">[5]ATRUCK!#REF!</definedName>
    <definedName name="SGMCSAVAC" localSheetId="5">[5]ATRUCK!#REF!</definedName>
    <definedName name="SGMCSAVAC" localSheetId="4">[5]ATRUCK!#REF!</definedName>
    <definedName name="SGMCSAVAC">[5]ATRUCK!#REF!</definedName>
    <definedName name="SGMCSAVANAALL" localSheetId="0">#REF!</definedName>
    <definedName name="SGMCSAVANAALL" localSheetId="5">#REF!</definedName>
    <definedName name="SGMCSAVANAALL" localSheetId="4">#REF!</definedName>
    <definedName name="SGMCSAVANAALL">#REF!</definedName>
    <definedName name="SGMCSAVAP" localSheetId="0">[5]ATRUCK!#REF!</definedName>
    <definedName name="SGMCSAVAP" localSheetId="5">[5]ATRUCK!#REF!</definedName>
    <definedName name="SGMCSAVAP" localSheetId="4">[5]ATRUCK!#REF!</definedName>
    <definedName name="SGMCSAVAP">[5]ATRUCK!#REF!</definedName>
    <definedName name="SGMCSIERR" localSheetId="0">[5]ATRUCK!#REF!</definedName>
    <definedName name="SGMCSIERR" localSheetId="5">[5]ATRUCK!#REF!</definedName>
    <definedName name="SGMCSIERR" localSheetId="4">[5]ATRUCK!#REF!</definedName>
    <definedName name="SGMCSIERR">[5]ATRUCK!#REF!</definedName>
    <definedName name="SGMCSIERRAALL" localSheetId="0">#REF!</definedName>
    <definedName name="SGMCSIERRAALL" localSheetId="5">#REF!</definedName>
    <definedName name="SGMCSIERRAALL" localSheetId="4">#REF!</definedName>
    <definedName name="SGMCSIERRAALL">#REF!</definedName>
    <definedName name="SGMCSIERX" localSheetId="0">[5]ATRUCK!#REF!</definedName>
    <definedName name="SGMCSIERX" localSheetId="5">[5]ATRUCK!#REF!</definedName>
    <definedName name="SGMCSIERX" localSheetId="4">[5]ATRUCK!#REF!</definedName>
    <definedName name="SGMCSIERX">[5]ATRUCK!#REF!</definedName>
    <definedName name="SGMCSONALL" localSheetId="0">#REF!</definedName>
    <definedName name="SGMCSONALL" localSheetId="5">#REF!</definedName>
    <definedName name="SGMCSONALL" localSheetId="4">#REF!</definedName>
    <definedName name="SGMCSONALL">#REF!</definedName>
    <definedName name="SGMCSONR" localSheetId="0">[5]ATRUCK!#REF!</definedName>
    <definedName name="SGMCSONR" localSheetId="5">[5]ATRUCK!#REF!</definedName>
    <definedName name="SGMCSONR" localSheetId="4">[5]ATRUCK!#REF!</definedName>
    <definedName name="SGMCSONR">[5]ATRUCK!#REF!</definedName>
    <definedName name="SGMCSONX" localSheetId="0">[5]ATRUCK!#REF!</definedName>
    <definedName name="SGMCSONX" localSheetId="5">[5]ATRUCK!#REF!</definedName>
    <definedName name="SGMCSONX" localSheetId="4">[5]ATRUCK!#REF!</definedName>
    <definedName name="SGMCSONX">[5]ATRUCK!#REF!</definedName>
    <definedName name="SGMCSUBUR" localSheetId="0">[5]ATRUCK!#REF!</definedName>
    <definedName name="SGMCSUBUR" localSheetId="5">[5]ATRUCK!#REF!</definedName>
    <definedName name="SGMCSUBUR" localSheetId="4">[5]ATRUCK!#REF!</definedName>
    <definedName name="SGMCSUBUR">[5]ATRUCK!#REF!</definedName>
    <definedName name="SGMCYUK" localSheetId="0">[5]ATRUCK!#REF!</definedName>
    <definedName name="SGMCYUK" localSheetId="5">[5]ATRUCK!#REF!</definedName>
    <definedName name="SGMCYUK" localSheetId="4">[5]ATRUCK!#REF!</definedName>
    <definedName name="SGMCYUK">[5]ATRUCK!#REF!</definedName>
    <definedName name="SGMCYUK4" localSheetId="0">[5]ATRUCK!#REF!</definedName>
    <definedName name="SGMCYUK4" localSheetId="5">[5]ATRUCK!#REF!</definedName>
    <definedName name="SGMCYUK4" localSheetId="4">[5]ATRUCK!#REF!</definedName>
    <definedName name="SGMCYUK4">[5]ATRUCK!#REF!</definedName>
    <definedName name="SGMCYUKALL" localSheetId="0">#REF!</definedName>
    <definedName name="SGMCYUKALL" localSheetId="5">#REF!</definedName>
    <definedName name="SGMCYUKALL" localSheetId="4">#REF!</definedName>
    <definedName name="SGMCYUKALL">#REF!</definedName>
    <definedName name="SGTOTAL" localSheetId="0">[5]ATRUCK!#REF!</definedName>
    <definedName name="SGTOTAL" localSheetId="5">[5]ATRUCK!#REF!</definedName>
    <definedName name="SGTOTAL" localSheetId="4">[5]ATRUCK!#REF!</definedName>
    <definedName name="SGTOTAL">[5]ATRUCK!#REF!</definedName>
    <definedName name="SH2CP" localSheetId="0">[4]ACARS!#REF!</definedName>
    <definedName name="SH2CP" localSheetId="5">[4]ACARS!#REF!</definedName>
    <definedName name="SH2CP" localSheetId="4">[4]ACARS!#REF!</definedName>
    <definedName name="SH2CP">[4]ACARS!#REF!</definedName>
    <definedName name="SH2SD" localSheetId="0">[4]ACARS!#REF!</definedName>
    <definedName name="SH2SD" localSheetId="5">[4]ACARS!#REF!</definedName>
    <definedName name="SH2SD" localSheetId="4">[4]ACARS!#REF!</definedName>
    <definedName name="SH2SD">[4]ACARS!#REF!</definedName>
    <definedName name="SH2SU" localSheetId="0">[5]ATRUCK!#REF!</definedName>
    <definedName name="SH2SU" localSheetId="5">[5]ATRUCK!#REF!</definedName>
    <definedName name="SH2SU" localSheetId="4">[5]ATRUCK!#REF!</definedName>
    <definedName name="SH2SU">[5]ATRUCK!#REF!</definedName>
    <definedName name="SH3CP" localSheetId="0">[4]ACARS!#REF!</definedName>
    <definedName name="SH3CP" localSheetId="5">[4]ACARS!#REF!</definedName>
    <definedName name="SH3CP" localSheetId="4">[4]ACARS!#REF!</definedName>
    <definedName name="SH3CP">[4]ACARS!#REF!</definedName>
    <definedName name="SH3HB" localSheetId="0">[4]ACARS!#REF!</definedName>
    <definedName name="SH3HB" localSheetId="5">[4]ACARS!#REF!</definedName>
    <definedName name="SH3HB" localSheetId="4">[4]ACARS!#REF!</definedName>
    <definedName name="SH3HB">[4]ACARS!#REF!</definedName>
    <definedName name="SH4SU" localSheetId="0">[5]ATRUCK!#REF!</definedName>
    <definedName name="SH4SU" localSheetId="5">[5]ATRUCK!#REF!</definedName>
    <definedName name="SH4SU" localSheetId="4">[5]ATRUCK!#REF!</definedName>
    <definedName name="SH4SU">[5]ATRUCK!#REF!</definedName>
    <definedName name="SHCV" localSheetId="0">[4]ACARS!#REF!</definedName>
    <definedName name="SHCV" localSheetId="5">[4]ACARS!#REF!</definedName>
    <definedName name="SHCV" localSheetId="4">[4]ACARS!#REF!</definedName>
    <definedName name="SHCV">[4]ACARS!#REF!</definedName>
    <definedName name="SHNDODYPJTMALL" localSheetId="0">#REF!</definedName>
    <definedName name="SHNDODYPJTMALL" localSheetId="5">#REF!</definedName>
    <definedName name="SHNDODYPJTMALL" localSheetId="4">#REF!</definedName>
    <definedName name="SHNDODYPJTMALL">#REF!</definedName>
    <definedName name="SHONACCORDALL" localSheetId="0">#REF!</definedName>
    <definedName name="SHONACCORDALL" localSheetId="5">#REF!</definedName>
    <definedName name="SHONACCORDALL" localSheetId="4">#REF!</definedName>
    <definedName name="SHONACCORDALL">#REF!</definedName>
    <definedName name="SHONCIVICALL" localSheetId="0">#REF!</definedName>
    <definedName name="SHONCIVICALL" localSheetId="5">#REF!</definedName>
    <definedName name="SHONCIVICALL" localSheetId="4">#REF!</definedName>
    <definedName name="SHONCIVICALL">#REF!</definedName>
    <definedName name="SHONCIVICDELSOLALL" localSheetId="0">#REF!</definedName>
    <definedName name="SHONCIVICDELSOLALL" localSheetId="5">#REF!</definedName>
    <definedName name="SHONCIVICDELSOLALL" localSheetId="4">#REF!</definedName>
    <definedName name="SHONCIVICDELSOLALL">#REF!</definedName>
    <definedName name="SHONCRV" localSheetId="0">[5]ATRUCK!#REF!</definedName>
    <definedName name="SHONCRV" localSheetId="5">[5]ATRUCK!#REF!</definedName>
    <definedName name="SHONCRV" localSheetId="4">[5]ATRUCK!#REF!</definedName>
    <definedName name="SHONCRV">[5]ATRUCK!#REF!</definedName>
    <definedName name="SHONMAV" localSheetId="0">[5]ATRUCK!#REF!</definedName>
    <definedName name="SHONMAV" localSheetId="5">[5]ATRUCK!#REF!</definedName>
    <definedName name="SHONMAV" localSheetId="4">[5]ATRUCK!#REF!</definedName>
    <definedName name="SHONMAV">[5]ATRUCK!#REF!</definedName>
    <definedName name="SHONODYP" localSheetId="0">[5]ATRUCK!#REF!</definedName>
    <definedName name="SHONODYP" localSheetId="5">[5]ATRUCK!#REF!</definedName>
    <definedName name="SHONODYP" localSheetId="4">[5]ATRUCK!#REF!</definedName>
    <definedName name="SHONODYP">[5]ATRUCK!#REF!</definedName>
    <definedName name="SHONPASS" localSheetId="0">[5]ATRUCK!#REF!</definedName>
    <definedName name="SHONPASS" localSheetId="5">[5]ATRUCK!#REF!</definedName>
    <definedName name="SHONPASS" localSheetId="4">[5]ATRUCK!#REF!</definedName>
    <definedName name="SHONPASS">[5]ATRUCK!#REF!</definedName>
    <definedName name="SHONPASSMAVALL" localSheetId="0">#REF!</definedName>
    <definedName name="SHONPASSMAVALL" localSheetId="5">#REF!</definedName>
    <definedName name="SHONPASSMAVALL" localSheetId="4">#REF!</definedName>
    <definedName name="SHONPASSMAVALL">#REF!</definedName>
    <definedName name="SHONTMP" localSheetId="0">[5]ATRUCK!#REF!</definedName>
    <definedName name="SHONTMP" localSheetId="5">[5]ATRUCK!#REF!</definedName>
    <definedName name="SHONTMP" localSheetId="4">[5]ATRUCK!#REF!</definedName>
    <definedName name="SHONTMP">[5]ATRUCK!#REF!</definedName>
    <definedName name="SHSUA">[5]ATRUCK!$F$401:$V$401</definedName>
    <definedName name="SHSUDO">[5]ATRUCK!$F$399:$V$399</definedName>
    <definedName name="SHSUE">[5]ATRUCK!$F$400:$V$400</definedName>
    <definedName name="SHSUTOTAL" localSheetId="0">[5]ATRUCK!#REF!</definedName>
    <definedName name="SHSUTOTAL" localSheetId="5">[5]ATRUCK!#REF!</definedName>
    <definedName name="SHSUTOTAL" localSheetId="4">[5]ATRUCK!#REF!</definedName>
    <definedName name="SHSUTOTAL">[5]ATRUCK!#REF!</definedName>
    <definedName name="SHW" localSheetId="0">[4]ACARS!#REF!</definedName>
    <definedName name="SHW" localSheetId="5">[4]ACARS!#REF!</definedName>
    <definedName name="SHW" localSheetId="4">[4]ACARS!#REF!</definedName>
    <definedName name="SHW">[4]ACARS!#REF!</definedName>
    <definedName name="SHYNACCENTALL" localSheetId="0">#REF!</definedName>
    <definedName name="SHYNACCENTALL" localSheetId="5">#REF!</definedName>
    <definedName name="SHYNACCENTALL" localSheetId="4">#REF!</definedName>
    <definedName name="SHYNACCENTALL">#REF!</definedName>
    <definedName name="SHYNELANTRAALL" localSheetId="0">#REF!</definedName>
    <definedName name="SHYNELANTRAALL" localSheetId="5">#REF!</definedName>
    <definedName name="SHYNELANTRAALL" localSheetId="4">#REF!</definedName>
    <definedName name="SHYNELANTRAALL">#REF!</definedName>
    <definedName name="SHYNMINI" localSheetId="0">[5]ATRUCK!#REF!</definedName>
    <definedName name="SHYNMINI" localSheetId="5">[5]ATRUCK!#REF!</definedName>
    <definedName name="SHYNMINI" localSheetId="4">[5]ATRUCK!#REF!</definedName>
    <definedName name="SHYNMINI">[5]ATRUCK!#REF!</definedName>
    <definedName name="SINFG20_24ALL" localSheetId="0">#REF!</definedName>
    <definedName name="SINFG20_24ALL" localSheetId="5">#REF!</definedName>
    <definedName name="SINFG20_24ALL" localSheetId="4">#REF!</definedName>
    <definedName name="SINFG20_24ALL">#REF!</definedName>
    <definedName name="SINFM30ALL" localSheetId="0">#REF!</definedName>
    <definedName name="SINFM30ALL" localSheetId="5">#REF!</definedName>
    <definedName name="SINFM30ALL" localSheetId="4">#REF!</definedName>
    <definedName name="SINFM30ALL">#REF!</definedName>
    <definedName name="SINFQX4" localSheetId="0">[5]ATRUCK!#REF!</definedName>
    <definedName name="SINFQX4" localSheetId="5">[5]ATRUCK!#REF!</definedName>
    <definedName name="SINFQX4" localSheetId="4">[5]ATRUCK!#REF!</definedName>
    <definedName name="SINFQX4">[5]ATRUCK!#REF!</definedName>
    <definedName name="SISIMPULSEALL" localSheetId="0">#REF!</definedName>
    <definedName name="SISIMPULSEALL" localSheetId="5">#REF!</definedName>
    <definedName name="SISIMPULSEALL" localSheetId="4">#REF!</definedName>
    <definedName name="SISIMPULSEALL">#REF!</definedName>
    <definedName name="SIZAMIGO" localSheetId="0">[5]ATRUCK!#REF!</definedName>
    <definedName name="SIZAMIGO" localSheetId="5">[5]ATRUCK!#REF!</definedName>
    <definedName name="SIZAMIGO" localSheetId="4">[5]ATRUCK!#REF!</definedName>
    <definedName name="SIZAMIGO">[5]ATRUCK!#REF!</definedName>
    <definedName name="SIZHOMBR" localSheetId="0">[5]ATRUCK!#REF!</definedName>
    <definedName name="SIZHOMBR" localSheetId="5">[5]ATRUCK!#REF!</definedName>
    <definedName name="SIZHOMBR" localSheetId="4">[5]ATRUCK!#REF!</definedName>
    <definedName name="SIZHOMBR">[5]ATRUCK!#REF!</definedName>
    <definedName name="SIZHOMBREALL" localSheetId="0">#REF!</definedName>
    <definedName name="SIZHOMBREALL" localSheetId="5">#REF!</definedName>
    <definedName name="SIZHOMBREALL" localSheetId="4">#REF!</definedName>
    <definedName name="SIZHOMBREALL">#REF!</definedName>
    <definedName name="SIZHOMBREX" localSheetId="0">[5]ATRUCK!#REF!</definedName>
    <definedName name="SIZHOMBREX" localSheetId="5">[5]ATRUCK!#REF!</definedName>
    <definedName name="SIZHOMBREX" localSheetId="4">[5]ATRUCK!#REF!</definedName>
    <definedName name="SIZHOMBREX">[5]ATRUCK!#REF!</definedName>
    <definedName name="SIZIMARKALL" localSheetId="0">#REF!</definedName>
    <definedName name="SIZIMARKALL" localSheetId="5">#REF!</definedName>
    <definedName name="SIZIMARKALL" localSheetId="4">#REF!</definedName>
    <definedName name="SIZIMARKALL">#REF!</definedName>
    <definedName name="SIZOASISP" localSheetId="0">[5]ATRUCK!#REF!</definedName>
    <definedName name="SIZOASISP" localSheetId="5">[5]ATRUCK!#REF!</definedName>
    <definedName name="SIZOASISP" localSheetId="4">[5]ATRUCK!#REF!</definedName>
    <definedName name="SIZOASISP">[5]ATRUCK!#REF!</definedName>
    <definedName name="SIZPUALL" localSheetId="0">#REF!</definedName>
    <definedName name="SIZPUALL" localSheetId="5">#REF!</definedName>
    <definedName name="SIZPUALL" localSheetId="4">#REF!</definedName>
    <definedName name="SIZPUALL">#REF!</definedName>
    <definedName name="SIZPUR" localSheetId="0">[5]ATRUCK!#REF!</definedName>
    <definedName name="SIZPUR" localSheetId="5">[5]ATRUCK!#REF!</definedName>
    <definedName name="SIZPUR" localSheetId="4">[5]ATRUCK!#REF!</definedName>
    <definedName name="SIZPUR">[5]ATRUCK!#REF!</definedName>
    <definedName name="SIZPUX" localSheetId="0">[5]ATRUCK!#REF!</definedName>
    <definedName name="SIZPUX" localSheetId="5">[5]ATRUCK!#REF!</definedName>
    <definedName name="SIZPUX" localSheetId="4">[5]ATRUCK!#REF!</definedName>
    <definedName name="SIZPUX">[5]ATRUCK!#REF!</definedName>
    <definedName name="SIZRODEO" localSheetId="0">[5]ATRUCK!#REF!</definedName>
    <definedName name="SIZRODEO" localSheetId="5">[5]ATRUCK!#REF!</definedName>
    <definedName name="SIZRODEO" localSheetId="4">[5]ATRUCK!#REF!</definedName>
    <definedName name="SIZRODEO">[5]ATRUCK!#REF!</definedName>
    <definedName name="SIZTROOP" localSheetId="0">[5]ATRUCK!#REF!</definedName>
    <definedName name="SIZTROOP" localSheetId="5">[5]ATRUCK!#REF!</definedName>
    <definedName name="SIZTROOP" localSheetId="4">[5]ATRUCK!#REF!</definedName>
    <definedName name="SIZTROOP">[5]ATRUCK!#REF!</definedName>
    <definedName name="SIZTROOP4" localSheetId="0">[5]ATRUCK!#REF!</definedName>
    <definedName name="SIZTROOP4" localSheetId="5">[5]ATRUCK!#REF!</definedName>
    <definedName name="SIZTROOP4" localSheetId="4">[5]ATRUCK!#REF!</definedName>
    <definedName name="SIZTROOP4">[5]ATRUCK!#REF!</definedName>
    <definedName name="SIZTROOPALL" localSheetId="0">#REF!</definedName>
    <definedName name="SIZTROOPALL" localSheetId="5">#REF!</definedName>
    <definedName name="SIZTROOPALL" localSheetId="4">#REF!</definedName>
    <definedName name="SIZTROOPALL">#REF!</definedName>
    <definedName name="SJAGSTYPEALL" localSheetId="0">#REF!</definedName>
    <definedName name="SJAGSTYPEALL" localSheetId="5">#REF!</definedName>
    <definedName name="SJAGSTYPEALL" localSheetId="4">#REF!</definedName>
    <definedName name="SJAGSTYPEALL">#REF!</definedName>
    <definedName name="SJAGX400ALL" localSheetId="0">#REF!</definedName>
    <definedName name="SJAGX400ALL" localSheetId="5">#REF!</definedName>
    <definedName name="SJAGX400ALL" localSheetId="4">#REF!</definedName>
    <definedName name="SJAGX400ALL">#REF!</definedName>
    <definedName name="SJAGXJALL" localSheetId="0">#REF!</definedName>
    <definedName name="SJAGXJALL" localSheetId="5">#REF!</definedName>
    <definedName name="SJAGXJALL" localSheetId="4">#REF!</definedName>
    <definedName name="SJAGXJALL">#REF!</definedName>
    <definedName name="SJAGXK8ALL" localSheetId="0">#REF!</definedName>
    <definedName name="SJAGXK8ALL" localSheetId="5">#REF!</definedName>
    <definedName name="SJAGXK8ALL" localSheetId="4">#REF!</definedName>
    <definedName name="SJAGXK8ALL">#REF!</definedName>
    <definedName name="SJPCHER" localSheetId="0">[5]ATRUCK!#REF!</definedName>
    <definedName name="SJPCHER" localSheetId="5">[5]ATRUCK!#REF!</definedName>
    <definedName name="SJPCHER" localSheetId="4">[5]ATRUCK!#REF!</definedName>
    <definedName name="SJPCHER">[5]ATRUCK!#REF!</definedName>
    <definedName name="SJPCHER4" localSheetId="0">[5]ATRUCK!#REF!</definedName>
    <definedName name="SJPCHER4" localSheetId="5">[5]ATRUCK!#REF!</definedName>
    <definedName name="SJPCHER4" localSheetId="4">[5]ATRUCK!#REF!</definedName>
    <definedName name="SJPCHER4">[5]ATRUCK!#REF!</definedName>
    <definedName name="SJPCHERALL" localSheetId="0">#REF!</definedName>
    <definedName name="SJPCHERALL" localSheetId="5">#REF!</definedName>
    <definedName name="SJPCHERALL" localSheetId="4">#REF!</definedName>
    <definedName name="SJPCHERALL">#REF!</definedName>
    <definedName name="SJPCOMAN" localSheetId="0">[5]ATRUCK!#REF!</definedName>
    <definedName name="SJPCOMAN" localSheetId="5">[5]ATRUCK!#REF!</definedName>
    <definedName name="SJPCOMAN" localSheetId="4">[5]ATRUCK!#REF!</definedName>
    <definedName name="SJPCOMAN">[5]ATRUCK!#REF!</definedName>
    <definedName name="SJPGWAG" localSheetId="0">[5]ATRUCK!#REF!</definedName>
    <definedName name="SJPGWAG" localSheetId="5">[5]ATRUCK!#REF!</definedName>
    <definedName name="SJPGWAG" localSheetId="4">[5]ATRUCK!#REF!</definedName>
    <definedName name="SJPGWAG">[5]ATRUCK!#REF!</definedName>
    <definedName name="SJPWAG" localSheetId="0">[5]ATRUCK!#REF!</definedName>
    <definedName name="SJPWAG" localSheetId="5">[5]ATRUCK!#REF!</definedName>
    <definedName name="SJPWAG" localSheetId="4">[5]ATRUCK!#REF!</definedName>
    <definedName name="SJPWAG">[5]ATRUCK!#REF!</definedName>
    <definedName name="SJPWRANG" localSheetId="0">[5]ATRUCK!#REF!</definedName>
    <definedName name="SJPWRANG" localSheetId="5">[5]ATRUCK!#REF!</definedName>
    <definedName name="SJPWRANG" localSheetId="4">[5]ATRUCK!#REF!</definedName>
    <definedName name="SJPWRANG">[5]ATRUCK!#REF!</definedName>
    <definedName name="SJSGCHER" localSheetId="0">[5]ATRUCK!#REF!</definedName>
    <definedName name="SJSGCHER" localSheetId="5">[5]ATRUCK!#REF!</definedName>
    <definedName name="SJSGCHER" localSheetId="4">[5]ATRUCK!#REF!</definedName>
    <definedName name="SJSGCHER">[5]ATRUCK!#REF!</definedName>
    <definedName name="SKIAAVELLAALL" localSheetId="0">#REF!</definedName>
    <definedName name="SKIAAVELLAALL" localSheetId="5">#REF!</definedName>
    <definedName name="SKIAAVELLAALL" localSheetId="4">#REF!</definedName>
    <definedName name="SKIAAVELLAALL">#REF!</definedName>
    <definedName name="SKIASEDOP" localSheetId="0">[5]ATRUCK!#REF!</definedName>
    <definedName name="SKIASEDOP" localSheetId="5">[5]ATRUCK!#REF!</definedName>
    <definedName name="SKIASEDOP" localSheetId="4">[5]ATRUCK!#REF!</definedName>
    <definedName name="SKIASEDOP">[5]ATRUCK!#REF!</definedName>
    <definedName name="SKIASPORT" localSheetId="0">[5]ATRUCK!#REF!</definedName>
    <definedName name="SKIASPORT" localSheetId="5">[5]ATRUCK!#REF!</definedName>
    <definedName name="SKIASPORT" localSheetId="4">[5]ATRUCK!#REF!</definedName>
    <definedName name="SKIASPORT">[5]ATRUCK!#REF!</definedName>
    <definedName name="SKIASPORT4" localSheetId="0">[5]ATRUCK!#REF!</definedName>
    <definedName name="SKIASPORT4" localSheetId="5">[5]ATRUCK!#REF!</definedName>
    <definedName name="SKIASPORT4" localSheetId="4">[5]ATRUCK!#REF!</definedName>
    <definedName name="SKIASPORT4">[5]ATRUCK!#REF!</definedName>
    <definedName name="SKIASPORTALL" localSheetId="0">#REF!</definedName>
    <definedName name="SKIASPORTALL" localSheetId="5">#REF!</definedName>
    <definedName name="SKIASPORTALL" localSheetId="4">#REF!</definedName>
    <definedName name="SKIASPORTALL">#REF!</definedName>
    <definedName name="SL2SD" localSheetId="0">[4]ACARS!#REF!</definedName>
    <definedName name="SL2SD" localSheetId="5">[4]ACARS!#REF!</definedName>
    <definedName name="SL2SD" localSheetId="4">[4]ACARS!#REF!</definedName>
    <definedName name="SL2SD">[4]ACARS!#REF!</definedName>
    <definedName name="SL2SU" localSheetId="0">[5]ATRUCK!#REF!</definedName>
    <definedName name="SL2SU" localSheetId="5">[5]ATRUCK!#REF!</definedName>
    <definedName name="SL2SU" localSheetId="4">[5]ATRUCK!#REF!</definedName>
    <definedName name="SL2SU">[5]ATRUCK!#REF!</definedName>
    <definedName name="SL2W" localSheetId="0">[4]ACARS!#REF!</definedName>
    <definedName name="SL2W" localSheetId="5">[4]ACARS!#REF!</definedName>
    <definedName name="SL2W" localSheetId="4">[4]ACARS!#REF!</definedName>
    <definedName name="SL2W">[4]ACARS!#REF!</definedName>
    <definedName name="SL4SU" localSheetId="0">[5]ATRUCK!#REF!</definedName>
    <definedName name="SL4SU" localSheetId="5">[5]ATRUCK!#REF!</definedName>
    <definedName name="SL4SU" localSheetId="4">[5]ATRUCK!#REF!</definedName>
    <definedName name="SL4SU">[5]ATRUCK!#REF!</definedName>
    <definedName name="SLCV" localSheetId="0">[4]ACARS!#REF!</definedName>
    <definedName name="SLCV" localSheetId="5">[4]ACARS!#REF!</definedName>
    <definedName name="SLCV" localSheetId="4">[4]ACARS!#REF!</definedName>
    <definedName name="SLCV">[4]ACARS!#REF!</definedName>
    <definedName name="SLEXGS300ALL" localSheetId="0">#REF!</definedName>
    <definedName name="SLEXGS300ALL" localSheetId="5">#REF!</definedName>
    <definedName name="SLEXGS300ALL" localSheetId="4">#REF!</definedName>
    <definedName name="SLEXGS300ALL">#REF!</definedName>
    <definedName name="SLEXIS220ALL" localSheetId="0">#REF!</definedName>
    <definedName name="SLEXIS220ALL" localSheetId="5">#REF!</definedName>
    <definedName name="SLEXIS220ALL" localSheetId="4">#REF!</definedName>
    <definedName name="SLEXIS220ALL">#REF!</definedName>
    <definedName name="SLEXLX450" localSheetId="0">[5]ATRUCK!#REF!</definedName>
    <definedName name="SLEXLX450" localSheetId="5">[5]ATRUCK!#REF!</definedName>
    <definedName name="SLEXLX450" localSheetId="4">[5]ATRUCK!#REF!</definedName>
    <definedName name="SLEXLX450">[5]ATRUCK!#REF!</definedName>
    <definedName name="SLEXRX300" localSheetId="0">[5]ATRUCK!#REF!</definedName>
    <definedName name="SLEXRX300" localSheetId="5">[5]ATRUCK!#REF!</definedName>
    <definedName name="SLEXRX300" localSheetId="4">[5]ATRUCK!#REF!</definedName>
    <definedName name="SLEXRX300">[5]ATRUCK!#REF!</definedName>
    <definedName name="SLINCBLAK" localSheetId="0">[5]ATRUCK!#REF!</definedName>
    <definedName name="SLINCBLAK" localSheetId="5">[5]ATRUCK!#REF!</definedName>
    <definedName name="SLINCBLAK" localSheetId="4">[5]ATRUCK!#REF!</definedName>
    <definedName name="SLINCBLAK">[5]ATRUCK!#REF!</definedName>
    <definedName name="SLINCNAV" localSheetId="0">[5]ATRUCK!#REF!</definedName>
    <definedName name="SLINCNAV" localSheetId="5">[5]ATRUCK!#REF!</definedName>
    <definedName name="SLINCNAV" localSheetId="4">[5]ATRUCK!#REF!</definedName>
    <definedName name="SLINCNAV">[5]ATRUCK!#REF!</definedName>
    <definedName name="SLINCU204" localSheetId="0">[5]ATRUCK!#REF!</definedName>
    <definedName name="SLINCU204" localSheetId="5">[5]ATRUCK!#REF!</definedName>
    <definedName name="SLINCU204" localSheetId="4">[5]ATRUCK!#REF!</definedName>
    <definedName name="SLINCU204">[5]ATRUCK!#REF!</definedName>
    <definedName name="SLINCU231" localSheetId="0">[5]ATRUCK!#REF!</definedName>
    <definedName name="SLINCU231" localSheetId="5">[5]ATRUCK!#REF!</definedName>
    <definedName name="SLINCU231" localSheetId="4">[5]ATRUCK!#REF!</definedName>
    <definedName name="SLINCU231">[5]ATRUCK!#REF!</definedName>
    <definedName name="SLSUA">[5]ATRUCK!$F$408:$V$408</definedName>
    <definedName name="SLSUDO">[5]ATRUCK!$F$406:$V$406</definedName>
    <definedName name="SLSUE">[5]ATRUCK!$F$407:$V$407</definedName>
    <definedName name="SLSUTOT" localSheetId="0">[5]ATRUCK!#REF!</definedName>
    <definedName name="SLSUTOT" localSheetId="5">[5]ATRUCK!#REF!</definedName>
    <definedName name="SLSUTOT" localSheetId="4">[5]ATRUCK!#REF!</definedName>
    <definedName name="SLSUTOT">[5]ATRUCK!#REF!</definedName>
    <definedName name="SLSUTOTAL" localSheetId="0">[5]ATRUCK!#REF!</definedName>
    <definedName name="SLSUTOTAL" localSheetId="5">[5]ATRUCK!#REF!</definedName>
    <definedName name="SLSUTOTAL" localSheetId="4">[5]ATRUCK!#REF!</definedName>
    <definedName name="SLSUTOTAL">[5]ATRUCK!#REF!</definedName>
    <definedName name="SLW" localSheetId="0">[4]ACARS!#REF!</definedName>
    <definedName name="SLW" localSheetId="5">[4]ACARS!#REF!</definedName>
    <definedName name="SLW" localSheetId="4">[4]ACARS!#REF!</definedName>
    <definedName name="SLW">[4]ACARS!#REF!</definedName>
    <definedName name="SMAZ626ALL" localSheetId="0">#REF!</definedName>
    <definedName name="SMAZ626ALL" localSheetId="5">#REF!</definedName>
    <definedName name="SMAZ626ALL" localSheetId="4">#REF!</definedName>
    <definedName name="SMAZ626ALL">#REF!</definedName>
    <definedName name="SMAZPROTEGEALL" localSheetId="0">#REF!</definedName>
    <definedName name="SMAZPROTEGEALL" localSheetId="5">#REF!</definedName>
    <definedName name="SMAZPROTEGEALL" localSheetId="4">#REF!</definedName>
    <definedName name="SMAZPROTEGEALL">#REF!</definedName>
    <definedName name="SMAZRX7ALL" localSheetId="0">#REF!</definedName>
    <definedName name="SMAZRX7ALL" localSheetId="5">#REF!</definedName>
    <definedName name="SMAZRX7ALL" localSheetId="4">#REF!</definedName>
    <definedName name="SMAZRX7ALL">#REF!</definedName>
    <definedName name="SMBCCLASSALL" localSheetId="0">#REF!</definedName>
    <definedName name="SMBCCLASSALL" localSheetId="5">#REF!</definedName>
    <definedName name="SMBCCLASSALL" localSheetId="4">#REF!</definedName>
    <definedName name="SMBCCLASSALL">#REF!</definedName>
    <definedName name="SMBCLKALL" localSheetId="0">#REF!</definedName>
    <definedName name="SMBCLKALL" localSheetId="5">#REF!</definedName>
    <definedName name="SMBCLKALL" localSheetId="4">#REF!</definedName>
    <definedName name="SMBCLKALL">#REF!</definedName>
    <definedName name="SMBECLASSALL" localSheetId="0">#REF!</definedName>
    <definedName name="SMBECLASSALL" localSheetId="5">#REF!</definedName>
    <definedName name="SMBECLASSALL" localSheetId="4">#REF!</definedName>
    <definedName name="SMBECLASSALL">#REF!</definedName>
    <definedName name="SMBMCLASS" localSheetId="0">[5]ATRUCK!#REF!</definedName>
    <definedName name="SMBMCLASS" localSheetId="5">[5]ATRUCK!#REF!</definedName>
    <definedName name="SMBMCLASS" localSheetId="4">[5]ATRUCK!#REF!</definedName>
    <definedName name="SMBMCLASS">[5]ATRUCK!#REF!</definedName>
    <definedName name="SMBSCLASSALL" localSheetId="0">#REF!</definedName>
    <definedName name="SMBSCLASSALL" localSheetId="5">#REF!</definedName>
    <definedName name="SMBSCLASSALL" localSheetId="4">#REF!</definedName>
    <definedName name="SMBSCLASSALL">#REF!</definedName>
    <definedName name="SMBYCLASS" localSheetId="0">[5]ATRUCK!#REF!</definedName>
    <definedName name="SMBYCLASS" localSheetId="5">[5]ATRUCK!#REF!</definedName>
    <definedName name="SMBYCLASS" localSheetId="4">[5]ATRUCK!#REF!</definedName>
    <definedName name="SMBYCLASS">[5]ATRUCK!#REF!</definedName>
    <definedName name="SMERCC212" localSheetId="0">[5]ATRUCK!#REF!</definedName>
    <definedName name="SMERCC212" localSheetId="5">[5]ATRUCK!#REF!</definedName>
    <definedName name="SMERCC212" localSheetId="4">[5]ATRUCK!#REF!</definedName>
    <definedName name="SMERCC212">[5]ATRUCK!#REF!</definedName>
    <definedName name="SMERCD219" localSheetId="0">[5]ATRUCK!#REF!</definedName>
    <definedName name="SMERCD219" localSheetId="5">[5]ATRUCK!#REF!</definedName>
    <definedName name="SMERCD219" localSheetId="4">[5]ATRUCK!#REF!</definedName>
    <definedName name="SMERCD219">[5]ATRUCK!#REF!</definedName>
    <definedName name="SMERCMOUNT" localSheetId="0">[5]ATRUCK!#REF!</definedName>
    <definedName name="SMERCMOUNT" localSheetId="5">[5]ATRUCK!#REF!</definedName>
    <definedName name="SMERCMOUNT" localSheetId="4">[5]ATRUCK!#REF!</definedName>
    <definedName name="SMERCMOUNT">[5]ATRUCK!#REF!</definedName>
    <definedName name="SMERCMYSTIQUE4ALL" localSheetId="0">#REF!</definedName>
    <definedName name="SMERCMYSTIQUE4ALL" localSheetId="5">#REF!</definedName>
    <definedName name="SMERCMYSTIQUE4ALL" localSheetId="4">#REF!</definedName>
    <definedName name="SMERCMYSTIQUE4ALL">#REF!</definedName>
    <definedName name="SMERCOUG99ALL" localSheetId="0">#REF!</definedName>
    <definedName name="SMERCOUG99ALL" localSheetId="5">#REF!</definedName>
    <definedName name="SMERCOUG99ALL" localSheetId="4">#REF!</definedName>
    <definedName name="SMERCOUG99ALL">#REF!</definedName>
    <definedName name="SMERCOUGARALL" localSheetId="0">#REF!</definedName>
    <definedName name="SMERCOUGARALL" localSheetId="5">#REF!</definedName>
    <definedName name="SMERCOUGARALL" localSheetId="4">#REF!</definedName>
    <definedName name="SMERCOUGARALL">#REF!</definedName>
    <definedName name="SMERCTOPAZALL" localSheetId="0">#REF!</definedName>
    <definedName name="SMERCTOPAZALL" localSheetId="5">#REF!</definedName>
    <definedName name="SMERCTOPAZALL" localSheetId="4">#REF!</definedName>
    <definedName name="SMERCTOPAZALL">#REF!</definedName>
    <definedName name="SMERCVILLP" localSheetId="0">[5]ATRUCK!#REF!</definedName>
    <definedName name="SMERCVILLP" localSheetId="5">[5]ATRUCK!#REF!</definedName>
    <definedName name="SMERCVILLP" localSheetId="4">[5]ATRUCK!#REF!</definedName>
    <definedName name="SMERCVILLP">[5]ATRUCK!#REF!</definedName>
    <definedName name="SMERMARQALL" localSheetId="0">#REF!</definedName>
    <definedName name="SMERMARQALL" localSheetId="5">#REF!</definedName>
    <definedName name="SMERMARQALL" localSheetId="4">#REF!</definedName>
    <definedName name="SMERMARQALL">#REF!</definedName>
    <definedName name="SMERSABLEALL" localSheetId="0">#REF!</definedName>
    <definedName name="SMERSABLEALL" localSheetId="5">#REF!</definedName>
    <definedName name="SMERSABLEALL" localSheetId="4">#REF!</definedName>
    <definedName name="SMERSABLEALL">#REF!</definedName>
    <definedName name="SMERTRACERALL" localSheetId="0">#REF!</definedName>
    <definedName name="SMERTRACERALL" localSheetId="5">#REF!</definedName>
    <definedName name="SMERTRACERALL" localSheetId="4">#REF!</definedName>
    <definedName name="SMERTRACERALL">#REF!</definedName>
    <definedName name="SMH2SU" localSheetId="0">[5]ATRUCK!#REF!</definedName>
    <definedName name="SMH2SU" localSheetId="5">[5]ATRUCK!#REF!</definedName>
    <definedName name="SMH2SU" localSheetId="4">[5]ATRUCK!#REF!</definedName>
    <definedName name="SMH2SU">[5]ATRUCK!#REF!</definedName>
    <definedName name="SMH4SU" localSheetId="0">[5]ATRUCK!#REF!</definedName>
    <definedName name="SMH4SU" localSheetId="5">[5]ATRUCK!#REF!</definedName>
    <definedName name="SMH4SU" localSheetId="4">[5]ATRUCK!#REF!</definedName>
    <definedName name="SMH4SU">[5]ATRUCK!#REF!</definedName>
    <definedName name="SMHSUTOTAL" localSheetId="0">[5]ATRUCK!#REF!</definedName>
    <definedName name="SMHSUTOTAL" localSheetId="5">[5]ATRUCK!#REF!</definedName>
    <definedName name="SMHSUTOTAL" localSheetId="4">[5]ATRUCK!#REF!</definedName>
    <definedName name="SMHSUTOTAL">[5]ATRUCK!#REF!</definedName>
    <definedName name="SMIT3000ALL" localSheetId="0">#REF!</definedName>
    <definedName name="SMIT3000ALL" localSheetId="5">#REF!</definedName>
    <definedName name="SMIT3000ALL" localSheetId="4">#REF!</definedName>
    <definedName name="SMIT3000ALL">#REF!</definedName>
    <definedName name="SMITC" localSheetId="0">[5]ATRUCK!#REF!</definedName>
    <definedName name="SMITC" localSheetId="5">[5]ATRUCK!#REF!</definedName>
    <definedName name="SMITC" localSheetId="4">[5]ATRUCK!#REF!</definedName>
    <definedName name="SMITC">[5]ATRUCK!#REF!</definedName>
    <definedName name="SMITDIAMANTEALL" localSheetId="0">#REF!</definedName>
    <definedName name="SMITDIAMANTEALL" localSheetId="5">#REF!</definedName>
    <definedName name="SMITDIAMANTEALL" localSheetId="4">#REF!</definedName>
    <definedName name="SMITDIAMANTEALL">#REF!</definedName>
    <definedName name="SMITECLIPSEALL" localSheetId="0">#REF!</definedName>
    <definedName name="SMITECLIPSEALL" localSheetId="5">#REF!</definedName>
    <definedName name="SMITECLIPSEALL" localSheetId="4">#REF!</definedName>
    <definedName name="SMITECLIPSEALL">#REF!</definedName>
    <definedName name="SMITEXPOALL" localSheetId="0">#REF!</definedName>
    <definedName name="SMITEXPOALL" localSheetId="5">#REF!</definedName>
    <definedName name="SMITEXPOALL" localSheetId="4">#REF!</definedName>
    <definedName name="SMITEXPOALL">#REF!</definedName>
    <definedName name="SMITEXPOP" localSheetId="0">[5]ATRUCK!#REF!</definedName>
    <definedName name="SMITEXPOP" localSheetId="5">[5]ATRUCK!#REF!</definedName>
    <definedName name="SMITEXPOP" localSheetId="4">[5]ATRUCK!#REF!</definedName>
    <definedName name="SMITEXPOP">[5]ATRUCK!#REF!</definedName>
    <definedName name="SMITMAXR" localSheetId="0">[5]ATRUCK!#REF!</definedName>
    <definedName name="SMITMAXR" localSheetId="5">[5]ATRUCK!#REF!</definedName>
    <definedName name="SMITMAXR" localSheetId="4">[5]ATRUCK!#REF!</definedName>
    <definedName name="SMITMAXR">[5]ATRUCK!#REF!</definedName>
    <definedName name="SMITMAXX" localSheetId="0">[5]ATRUCK!#REF!</definedName>
    <definedName name="SMITMAXX" localSheetId="5">[5]ATRUCK!#REF!</definedName>
    <definedName name="SMITMAXX" localSheetId="4">[5]ATRUCK!#REF!</definedName>
    <definedName name="SMITMAXX">[5]ATRUCK!#REF!</definedName>
    <definedName name="SMITMIRAGEALL" localSheetId="0">#REF!</definedName>
    <definedName name="SMITMIRAGEALL" localSheetId="5">#REF!</definedName>
    <definedName name="SMITMIRAGEALL" localSheetId="4">#REF!</definedName>
    <definedName name="SMITMIRAGEALL">#REF!</definedName>
    <definedName name="SMITMONT" localSheetId="0">[5]ATRUCK!#REF!</definedName>
    <definedName name="SMITMONT" localSheetId="5">[5]ATRUCK!#REF!</definedName>
    <definedName name="SMITMONT" localSheetId="4">[5]ATRUCK!#REF!</definedName>
    <definedName name="SMITMONT">[5]ATRUCK!#REF!</definedName>
    <definedName name="SMITMONT4" localSheetId="0">[5]ATRUCK!#REF!</definedName>
    <definedName name="SMITMONT4" localSheetId="5">[5]ATRUCK!#REF!</definedName>
    <definedName name="SMITMONT4" localSheetId="4">[5]ATRUCK!#REF!</definedName>
    <definedName name="SMITMONT4">[5]ATRUCK!#REF!</definedName>
    <definedName name="SMITMONTALL" localSheetId="0">#REF!</definedName>
    <definedName name="SMITMONTALL" localSheetId="5">#REF!</definedName>
    <definedName name="SMITMONTALL" localSheetId="4">#REF!</definedName>
    <definedName name="SMITMONTALL">#REF!</definedName>
    <definedName name="SMITMONTSPT" localSheetId="0">[5]ATRUCK!#REF!</definedName>
    <definedName name="SMITMONTSPT" localSheetId="5">[5]ATRUCK!#REF!</definedName>
    <definedName name="SMITMONTSPT" localSheetId="4">[5]ATRUCK!#REF!</definedName>
    <definedName name="SMITMONTSPT">[5]ATRUCK!#REF!</definedName>
    <definedName name="SMITMXALL" localSheetId="0">#REF!</definedName>
    <definedName name="SMITMXALL" localSheetId="5">#REF!</definedName>
    <definedName name="SMITMXALL" localSheetId="4">#REF!</definedName>
    <definedName name="SMITMXALL">#REF!</definedName>
    <definedName name="SMITPRECALL" localSheetId="0">#REF!</definedName>
    <definedName name="SMITPRECALL" localSheetId="5">#REF!</definedName>
    <definedName name="SMITPRECALL" localSheetId="4">#REF!</definedName>
    <definedName name="SMITPRECALL">#REF!</definedName>
    <definedName name="SMITSUV" localSheetId="0">[5]ATRUCK!#REF!</definedName>
    <definedName name="SMITSUV" localSheetId="5">[5]ATRUCK!#REF!</definedName>
    <definedName name="SMITSUV" localSheetId="4">[5]ATRUCK!#REF!</definedName>
    <definedName name="SMITSUV">[5]ATRUCK!#REF!</definedName>
    <definedName name="SMITVANALL" localSheetId="0">#REF!</definedName>
    <definedName name="SMITVANALL" localSheetId="5">#REF!</definedName>
    <definedName name="SMITVANALL" localSheetId="4">#REF!</definedName>
    <definedName name="SMITVANALL">#REF!</definedName>
    <definedName name="SMITVANP" localSheetId="0">[5]ATRUCK!#REF!</definedName>
    <definedName name="SMITVANP" localSheetId="5">[5]ATRUCK!#REF!</definedName>
    <definedName name="SMITVANP" localSheetId="4">[5]ATRUCK!#REF!</definedName>
    <definedName name="SMITVANP">[5]ATRUCK!#REF!</definedName>
    <definedName name="SML2SU" localSheetId="0">[5]ATRUCK!#REF!</definedName>
    <definedName name="SML2SU" localSheetId="5">[5]ATRUCK!#REF!</definedName>
    <definedName name="SML2SU" localSheetId="4">[5]ATRUCK!#REF!</definedName>
    <definedName name="SML2SU">[5]ATRUCK!#REF!</definedName>
    <definedName name="SML4SU" localSheetId="0">[5]ATRUCK!#REF!</definedName>
    <definedName name="SML4SU" localSheetId="5">[5]ATRUCK!#REF!</definedName>
    <definedName name="SML4SU" localSheetId="4">[5]ATRUCK!#REF!</definedName>
    <definedName name="SML4SU">[5]ATRUCK!#REF!</definedName>
    <definedName name="SMLSUTOTAL" localSheetId="0">[5]ATRUCK!#REF!</definedName>
    <definedName name="SMLSUTOTAL" localSheetId="5">[5]ATRUCK!#REF!</definedName>
    <definedName name="SMLSUTOTAL" localSheetId="4">[5]ATRUCK!#REF!</definedName>
    <definedName name="SMLSUTOTAL">[5]ATRUCK!#REF!</definedName>
    <definedName name="SMNEMONIC" localSheetId="0">[5]ATRUCK!#REF!</definedName>
    <definedName name="SMNEMONIC" localSheetId="5">[5]ATRUCK!#REF!</definedName>
    <definedName name="SMNEMONIC" localSheetId="4">[5]ATRUCK!#REF!</definedName>
    <definedName name="SMNEMONIC">[5]ATRUCK!#REF!</definedName>
    <definedName name="SMPUEC" localSheetId="0">[5]ATRUCK!#REF!</definedName>
    <definedName name="SMPUEC" localSheetId="5">[5]ATRUCK!#REF!</definedName>
    <definedName name="SMPUEC" localSheetId="4">[5]ATRUCK!#REF!</definedName>
    <definedName name="SMPUEC">[5]ATRUCK!#REF!</definedName>
    <definedName name="SMPURC" localSheetId="0">[5]ATRUCK!#REF!</definedName>
    <definedName name="SMPURC" localSheetId="5">[5]ATRUCK!#REF!</definedName>
    <definedName name="SMPURC" localSheetId="4">[5]ATRUCK!#REF!</definedName>
    <definedName name="SMPURC">[5]ATRUCK!#REF!</definedName>
    <definedName name="SMPUTOTAL" localSheetId="0">[5]ATRUCK!#REF!</definedName>
    <definedName name="SMPUTOTAL" localSheetId="5">[5]ATRUCK!#REF!</definedName>
    <definedName name="SMPUTOTAL" localSheetId="4">[5]ATRUCK!#REF!</definedName>
    <definedName name="SMPUTOTAL">[5]ATRUCK!#REF!</definedName>
    <definedName name="SMZBSERIESALL" localSheetId="0">#REF!</definedName>
    <definedName name="SMZBSERIESALL" localSheetId="5">#REF!</definedName>
    <definedName name="SMZBSERIESALL" localSheetId="4">#REF!</definedName>
    <definedName name="SMZBSERIESALL">#REF!</definedName>
    <definedName name="SMZMPV" localSheetId="0">[5]ATRUCK!#REF!</definedName>
    <definedName name="SMZMPV" localSheetId="5">[5]ATRUCK!#REF!</definedName>
    <definedName name="SMZMPV" localSheetId="4">[5]ATRUCK!#REF!</definedName>
    <definedName name="SMZMPV">[5]ATRUCK!#REF!</definedName>
    <definedName name="SMZNAVA" localSheetId="0">[5]ATRUCK!#REF!</definedName>
    <definedName name="SMZNAVA" localSheetId="5">[5]ATRUCK!#REF!</definedName>
    <definedName name="SMZNAVA" localSheetId="4">[5]ATRUCK!#REF!</definedName>
    <definedName name="SMZNAVA">[5]ATRUCK!#REF!</definedName>
    <definedName name="SMZPATH" localSheetId="0">[5]ATRUCK!#REF!</definedName>
    <definedName name="SMZPATH" localSheetId="5">[5]ATRUCK!#REF!</definedName>
    <definedName name="SMZPATH" localSheetId="4">[5]ATRUCK!#REF!</definedName>
    <definedName name="SMZPATH">[5]ATRUCK!#REF!</definedName>
    <definedName name="SMZR" localSheetId="0">[5]ATRUCK!#REF!</definedName>
    <definedName name="SMZR" localSheetId="5">[5]ATRUCK!#REF!</definedName>
    <definedName name="SMZR" localSheetId="4">[5]ATRUCK!#REF!</definedName>
    <definedName name="SMZR">[5]ATRUCK!#REF!</definedName>
    <definedName name="SMZU204" localSheetId="0">[5]ATRUCK!#REF!</definedName>
    <definedName name="SMZU204" localSheetId="5">[5]ATRUCK!#REF!</definedName>
    <definedName name="SMZU204" localSheetId="4">[5]ATRUCK!#REF!</definedName>
    <definedName name="SMZU204">[5]ATRUCK!#REF!</definedName>
    <definedName name="SMZX" localSheetId="0">[5]ATRUCK!#REF!</definedName>
    <definedName name="SMZX" localSheetId="5">[5]ATRUCK!#REF!</definedName>
    <definedName name="SMZX" localSheetId="4">[5]ATRUCK!#REF!</definedName>
    <definedName name="SMZX">[5]ATRUCK!#REF!</definedName>
    <definedName name="SNIS240SXALL" localSheetId="0">#REF!</definedName>
    <definedName name="SNIS240SXALL" localSheetId="5">#REF!</definedName>
    <definedName name="SNIS240SXALL" localSheetId="4">#REF!</definedName>
    <definedName name="SNIS240SXALL">#REF!</definedName>
    <definedName name="SNIS300ZXALL" localSheetId="0">#REF!</definedName>
    <definedName name="SNIS300ZXALL" localSheetId="5">#REF!</definedName>
    <definedName name="SNIS300ZXALL" localSheetId="4">#REF!</definedName>
    <definedName name="SNIS300ZXALL">#REF!</definedName>
    <definedName name="SNISALTIMAALL" localSheetId="0">#REF!</definedName>
    <definedName name="SNISALTIMAALL" localSheetId="5">#REF!</definedName>
    <definedName name="SNISALTIMAALL" localSheetId="4">#REF!</definedName>
    <definedName name="SNISALTIMAALL">#REF!</definedName>
    <definedName name="SNISFRONT4" localSheetId="0">[5]ATRUCK!#REF!</definedName>
    <definedName name="SNISFRONT4" localSheetId="5">[5]ATRUCK!#REF!</definedName>
    <definedName name="SNISFRONT4" localSheetId="4">[5]ATRUCK!#REF!</definedName>
    <definedName name="SNISFRONT4">[5]ATRUCK!#REF!</definedName>
    <definedName name="SNISFRONTALL" localSheetId="0">#REF!</definedName>
    <definedName name="SNISFRONTALL" localSheetId="5">#REF!</definedName>
    <definedName name="SNISFRONTALL" localSheetId="4">#REF!</definedName>
    <definedName name="SNISFRONTALL">#REF!</definedName>
    <definedName name="SNISLSUT" localSheetId="0">[5]ATRUCK!#REF!</definedName>
    <definedName name="SNISLSUT" localSheetId="5">[5]ATRUCK!#REF!</definedName>
    <definedName name="SNISLSUT" localSheetId="4">[5]ATRUCK!#REF!</definedName>
    <definedName name="SNISLSUT">[5]ATRUCK!#REF!</definedName>
    <definedName name="SNISLTR" localSheetId="0">[5]ATRUCK!#REF!</definedName>
    <definedName name="SNISLTR" localSheetId="5">[5]ATRUCK!#REF!</definedName>
    <definedName name="SNISLTR" localSheetId="4">[5]ATRUCK!#REF!</definedName>
    <definedName name="SNISLTR">[5]ATRUCK!#REF!</definedName>
    <definedName name="SNISMAXALL" localSheetId="0">#REF!</definedName>
    <definedName name="SNISMAXALL" localSheetId="5">#REF!</definedName>
    <definedName name="SNISMAXALL" localSheetId="4">#REF!</definedName>
    <definedName name="SNISMAXALL">#REF!</definedName>
    <definedName name="SNISOLDMAXALL" localSheetId="0">#REF!</definedName>
    <definedName name="SNISOLDMAXALL" localSheetId="5">#REF!</definedName>
    <definedName name="SNISOLDMAXALL" localSheetId="4">#REF!</definedName>
    <definedName name="SNISOLDMAXALL">#REF!</definedName>
    <definedName name="SNISPATH4" localSheetId="0">[5]ATRUCK!#REF!</definedName>
    <definedName name="SNISPATH4" localSheetId="5">[5]ATRUCK!#REF!</definedName>
    <definedName name="SNISPATH4" localSheetId="4">[5]ATRUCK!#REF!</definedName>
    <definedName name="SNISPATH4">[5]ATRUCK!#REF!</definedName>
    <definedName name="SNISPATHALL" localSheetId="0">#REF!</definedName>
    <definedName name="SNISPATHALL" localSheetId="5">#REF!</definedName>
    <definedName name="SNISPATHALL" localSheetId="4">#REF!</definedName>
    <definedName name="SNISPATHALL">#REF!</definedName>
    <definedName name="SNISPUR" localSheetId="0">[5]ATRUCK!#REF!</definedName>
    <definedName name="SNISPUR" localSheetId="5">[5]ATRUCK!#REF!</definedName>
    <definedName name="SNISPUR" localSheetId="4">[5]ATRUCK!#REF!</definedName>
    <definedName name="SNISPUR">[5]ATRUCK!#REF!</definedName>
    <definedName name="SNISPUX" localSheetId="0">[5]ATRUCK!#REF!</definedName>
    <definedName name="SNISPUX" localSheetId="5">[5]ATRUCK!#REF!</definedName>
    <definedName name="SNISPUX" localSheetId="4">[5]ATRUCK!#REF!</definedName>
    <definedName name="SNISPUX">[5]ATRUCK!#REF!</definedName>
    <definedName name="SNISQUESTP" localSheetId="0">[5]ATRUCK!#REF!</definedName>
    <definedName name="SNISQUESTP" localSheetId="5">[5]ATRUCK!#REF!</definedName>
    <definedName name="SNISQUESTP" localSheetId="4">[5]ATRUCK!#REF!</definedName>
    <definedName name="SNISQUESTP">[5]ATRUCK!#REF!</definedName>
    <definedName name="SNISSENTRAALL" localSheetId="0">#REF!</definedName>
    <definedName name="SNISSENTRAALL" localSheetId="5">#REF!</definedName>
    <definedName name="SNISSENTRAALL" localSheetId="4">#REF!</definedName>
    <definedName name="SNISSENTRAALL">#REF!</definedName>
    <definedName name="SNISSUT" localSheetId="0">[5]ATRUCK!#REF!</definedName>
    <definedName name="SNISSUT" localSheetId="5">[5]ATRUCK!#REF!</definedName>
    <definedName name="SNISSUT" localSheetId="4">[5]ATRUCK!#REF!</definedName>
    <definedName name="SNISSUT">[5]ATRUCK!#REF!</definedName>
    <definedName name="SNISVANP" localSheetId="0">[5]ATRUCK!#REF!</definedName>
    <definedName name="SNISVANP" localSheetId="5">[5]ATRUCK!#REF!</definedName>
    <definedName name="SNISVANP" localSheetId="4">[5]ATRUCK!#REF!</definedName>
    <definedName name="SNISVANP">[5]ATRUCK!#REF!</definedName>
    <definedName name="SNISWQW4" localSheetId="0">[5]ATRUCK!#REF!</definedName>
    <definedName name="SNISWQW4" localSheetId="5">[5]ATRUCK!#REF!</definedName>
    <definedName name="SNISWQW4" localSheetId="4">[5]ATRUCK!#REF!</definedName>
    <definedName name="SNISWQW4">[5]ATRUCK!#REF!</definedName>
    <definedName name="SNL2SU" localSheetId="0">[5]ATRUCK!#REF!</definedName>
    <definedName name="SNL2SU" localSheetId="5">[5]ATRUCK!#REF!</definedName>
    <definedName name="SNL2SU" localSheetId="4">[5]ATRUCK!#REF!</definedName>
    <definedName name="SNL2SU">[5]ATRUCK!#REF!</definedName>
    <definedName name="SNL4SU" localSheetId="0">[5]ATRUCK!#REF!</definedName>
    <definedName name="SNL4SU" localSheetId="5">[5]ATRUCK!#REF!</definedName>
    <definedName name="SNL4SU" localSheetId="4">[5]ATRUCK!#REF!</definedName>
    <definedName name="SNL4SU">[5]ATRUCK!#REF!</definedName>
    <definedName name="SNLSUTOTAL" localSheetId="0">[5]ATRUCK!#REF!</definedName>
    <definedName name="SNLSUTOTAL" localSheetId="5">[5]ATRUCK!#REF!</definedName>
    <definedName name="SNLSUTOTAL" localSheetId="4">[5]ATRUCK!#REF!</definedName>
    <definedName name="SNLSUTOTAL">[5]ATRUCK!#REF!</definedName>
    <definedName name="SOLD315" localSheetId="0">[5]ATRUCK!#REF!</definedName>
    <definedName name="SOLD315" localSheetId="5">[5]ATRUCK!#REF!</definedName>
    <definedName name="SOLD315" localSheetId="4">[5]ATRUCK!#REF!</definedName>
    <definedName name="SOLD315">[5]ATRUCK!#REF!</definedName>
    <definedName name="SOLD88ALL" localSheetId="0">#REF!</definedName>
    <definedName name="SOLD88ALL" localSheetId="5">#REF!</definedName>
    <definedName name="SOLD88ALL" localSheetId="4">#REF!</definedName>
    <definedName name="SOLD88ALL">#REF!</definedName>
    <definedName name="SOLD98ALL" localSheetId="0">#REF!</definedName>
    <definedName name="SOLD98ALL" localSheetId="5">#REF!</definedName>
    <definedName name="SOLD98ALL" localSheetId="4">#REF!</definedName>
    <definedName name="SOLD98ALL">#REF!</definedName>
    <definedName name="SOLDACH_ALEROALL" localSheetId="0">#REF!</definedName>
    <definedName name="SOLDACH_ALEROALL" localSheetId="5">#REF!</definedName>
    <definedName name="SOLDACH_ALEROALL" localSheetId="4">#REF!</definedName>
    <definedName name="SOLDACH_ALEROALL">#REF!</definedName>
    <definedName name="SOLDAURORA_TORALL" localSheetId="0">#REF!</definedName>
    <definedName name="SOLDAURORA_TORALL" localSheetId="5">#REF!</definedName>
    <definedName name="SOLDAURORA_TORALL" localSheetId="4">#REF!</definedName>
    <definedName name="SOLDAURORA_TORALL">#REF!</definedName>
    <definedName name="SOLDBRAV" localSheetId="0">[5]ATRUCK!#REF!</definedName>
    <definedName name="SOLDBRAV" localSheetId="5">[5]ATRUCK!#REF!</definedName>
    <definedName name="SOLDBRAV" localSheetId="4">[5]ATRUCK!#REF!</definedName>
    <definedName name="SOLDBRAV">[5]ATRUCK!#REF!</definedName>
    <definedName name="SOLDCIERAALL" localSheetId="0">#REF!</definedName>
    <definedName name="SOLDCIERAALL" localSheetId="5">#REF!</definedName>
    <definedName name="SOLDCIERAALL" localSheetId="4">#REF!</definedName>
    <definedName name="SOLDCIERAALL">#REF!</definedName>
    <definedName name="SOLDCUTCIERAALL" localSheetId="0">#REF!</definedName>
    <definedName name="SOLDCUTCIERAALL" localSheetId="5">#REF!</definedName>
    <definedName name="SOLDCUTCIERAALL" localSheetId="4">#REF!</definedName>
    <definedName name="SOLDCUTCIERAALL">#REF!</definedName>
    <definedName name="SOLDCUTSUPALL" localSheetId="0">#REF!</definedName>
    <definedName name="SOLDCUTSUPALL" localSheetId="5">#REF!</definedName>
    <definedName name="SOLDCUTSUPALL" localSheetId="4">#REF!</definedName>
    <definedName name="SOLDCUTSUPALL">#REF!</definedName>
    <definedName name="SOLDSILHP" localSheetId="0">[5]ATRUCK!#REF!</definedName>
    <definedName name="SOLDSILHP" localSheetId="5">[5]ATRUCK!#REF!</definedName>
    <definedName name="SOLDSILHP" localSheetId="4">[5]ATRUCK!#REF!</definedName>
    <definedName name="SOLDSILHP">[5]ATRUCK!#REF!</definedName>
    <definedName name="SORV2SU" localSheetId="0">[5]ATRUCK!#REF!</definedName>
    <definedName name="SORV2SU" localSheetId="5">[5]ATRUCK!#REF!</definedName>
    <definedName name="SORV2SU" localSheetId="4">[5]ATRUCK!#REF!</definedName>
    <definedName name="SORV2SU">[5]ATRUCK!#REF!</definedName>
    <definedName name="SORV4SU" localSheetId="0">[5]ATRUCK!#REF!</definedName>
    <definedName name="SORV4SU" localSheetId="5">[5]ATRUCK!#REF!</definedName>
    <definedName name="SORV4SU" localSheetId="4">[5]ATRUCK!#REF!</definedName>
    <definedName name="SORV4SU">[5]ATRUCK!#REF!</definedName>
    <definedName name="SORVTOTAL" localSheetId="0">[5]ATRUCK!#REF!</definedName>
    <definedName name="SORVTOTAL" localSheetId="5">[5]ATRUCK!#REF!</definedName>
    <definedName name="SORVTOTAL" localSheetId="4">[5]ATRUCK!#REF!</definedName>
    <definedName name="SORVTOTAL">[5]ATRUCK!#REF!</definedName>
    <definedName name="SpecialPrice" localSheetId="5" hidden="1">#REF!</definedName>
    <definedName name="SpecialPrice" localSheetId="4" hidden="1">#REF!</definedName>
    <definedName name="SpecialPrice" hidden="1">#REF!</definedName>
    <definedName name="SPEUG405ALL" localSheetId="0">#REF!</definedName>
    <definedName name="SPEUG405ALL" localSheetId="5">#REF!</definedName>
    <definedName name="SPEUG405ALL" localSheetId="4">#REF!</definedName>
    <definedName name="SPEUG405ALL">#REF!</definedName>
    <definedName name="SPEUG505ALL" localSheetId="0">#REF!</definedName>
    <definedName name="SPEUG505ALL" localSheetId="5">#REF!</definedName>
    <definedName name="SPEUG505ALL" localSheetId="4">#REF!</definedName>
    <definedName name="SPEUG505ALL">#REF!</definedName>
    <definedName name="SPLYACCLAIMALL" localSheetId="0">#REF!</definedName>
    <definedName name="SPLYACCLAIMALL" localSheetId="5">#REF!</definedName>
    <definedName name="SPLYACCLAIMALL" localSheetId="4">#REF!</definedName>
    <definedName name="SPLYACCLAIMALL">#REF!</definedName>
    <definedName name="SPLYCOLTALL" localSheetId="0">#REF!</definedName>
    <definedName name="SPLYCOLTALL" localSheetId="5">#REF!</definedName>
    <definedName name="SPLYCOLTALL" localSheetId="4">#REF!</definedName>
    <definedName name="SPLYCOLTALL">#REF!</definedName>
    <definedName name="SPLYSUN_NEONALL" localSheetId="0">#REF!</definedName>
    <definedName name="SPLYSUN_NEONALL" localSheetId="5">#REF!</definedName>
    <definedName name="SPLYSUN_NEONALL" localSheetId="4">#REF!</definedName>
    <definedName name="SPLYSUN_NEONALL">#REF!</definedName>
    <definedName name="SPLYVOYP" localSheetId="0">[5]ATRUCK!#REF!</definedName>
    <definedName name="SPLYVOYP" localSheetId="5">[5]ATRUCK!#REF!</definedName>
    <definedName name="SPLYVOYP" localSheetId="4">[5]ATRUCK!#REF!</definedName>
    <definedName name="SPLYVOYP">[5]ATRUCK!#REF!</definedName>
    <definedName name="SPONT6000ALL" localSheetId="0">#REF!</definedName>
    <definedName name="SPONT6000ALL" localSheetId="5">#REF!</definedName>
    <definedName name="SPONT6000ALL" localSheetId="4">#REF!</definedName>
    <definedName name="SPONT6000ALL">#REF!</definedName>
    <definedName name="SPONTFIREBIRDALL" localSheetId="0">#REF!</definedName>
    <definedName name="SPONTFIREBIRDALL" localSheetId="5">#REF!</definedName>
    <definedName name="SPONTFIREBIRDALL" localSheetId="4">#REF!</definedName>
    <definedName name="SPONTFIREBIRDALL">#REF!</definedName>
    <definedName name="SPONTGRAMALL" localSheetId="0">#REF!</definedName>
    <definedName name="SPONTGRAMALL" localSheetId="5">#REF!</definedName>
    <definedName name="SPONTGRAMALL" localSheetId="4">#REF!</definedName>
    <definedName name="SPONTGRAMALL">#REF!</definedName>
    <definedName name="SPONTGRPRIXALL" localSheetId="0">#REF!</definedName>
    <definedName name="SPONTGRPRIXALL" localSheetId="5">#REF!</definedName>
    <definedName name="SPONTGRPRIXALL" localSheetId="4">#REF!</definedName>
    <definedName name="SPONTGRPRIXALL">#REF!</definedName>
    <definedName name="SPONTLEMANSALL" localSheetId="0">#REF!</definedName>
    <definedName name="SPONTLEMANSALL" localSheetId="5">#REF!</definedName>
    <definedName name="SPONTLEMANSALL" localSheetId="4">#REF!</definedName>
    <definedName name="SPONTLEMANSALL">#REF!</definedName>
    <definedName name="SPONTRECON" localSheetId="0">[5]ATRUCK!#REF!</definedName>
    <definedName name="SPONTRECON" localSheetId="5">[5]ATRUCK!#REF!</definedName>
    <definedName name="SPONTRECON" localSheetId="4">[5]ATRUCK!#REF!</definedName>
    <definedName name="SPONTRECON">[5]ATRUCK!#REF!</definedName>
    <definedName name="SPONTSUNALL" localSheetId="0">#REF!</definedName>
    <definedName name="SPONTSUNALL" localSheetId="5">#REF!</definedName>
    <definedName name="SPONTSUNALL" localSheetId="4">#REF!</definedName>
    <definedName name="SPONTSUNALL">#REF!</definedName>
    <definedName name="SPONTT1000ALL" localSheetId="0">#REF!</definedName>
    <definedName name="SPONTT1000ALL" localSheetId="5">#REF!</definedName>
    <definedName name="SPONTT1000ALL" localSheetId="4">#REF!</definedName>
    <definedName name="SPONTT1000ALL">#REF!</definedName>
    <definedName name="SPONTTRANP" localSheetId="0">[5]ATRUCK!#REF!</definedName>
    <definedName name="SPONTTRANP" localSheetId="5">[5]ATRUCK!#REF!</definedName>
    <definedName name="SPONTTRANP" localSheetId="4">[5]ATRUCK!#REF!</definedName>
    <definedName name="SPONTTRANP">[5]ATRUCK!#REF!</definedName>
    <definedName name="SPOR9010" localSheetId="0">[5]ATRUCK!#REF!</definedName>
    <definedName name="SPOR9010" localSheetId="5">[5]ATRUCK!#REF!</definedName>
    <definedName name="SPOR9010" localSheetId="4">[5]ATRUCK!#REF!</definedName>
    <definedName name="SPOR9010">[5]ATRUCK!#REF!</definedName>
    <definedName name="SPORSCHE911ALL" localSheetId="0">#REF!</definedName>
    <definedName name="SPORSCHE911ALL" localSheetId="5">#REF!</definedName>
    <definedName name="SPORSCHE911ALL" localSheetId="4">#REF!</definedName>
    <definedName name="SPORSCHE911ALL">#REF!</definedName>
    <definedName name="SPORSCHE944_968ALL" localSheetId="0">#REF!</definedName>
    <definedName name="SPORSCHE944_968ALL" localSheetId="5">#REF!</definedName>
    <definedName name="SPORSCHE944_968ALL" localSheetId="4">#REF!</definedName>
    <definedName name="SPORSCHE944_968ALL">#REF!</definedName>
    <definedName name="SPORT_UTILITY_VEHICLES" localSheetId="0">[5]ATRUCK!#REF!</definedName>
    <definedName name="SPORT_UTILITY_VEHICLES" localSheetId="5">[5]ATRUCK!#REF!</definedName>
    <definedName name="SPORT_UTILITY_VEHICLES" localSheetId="4">[5]ATRUCK!#REF!</definedName>
    <definedName name="SPORT_UTILITY_VEHICLES">[5]ATRUCK!#REF!</definedName>
    <definedName name="SPTLSU" localSheetId="0">[5]ATRUCK!#REF!</definedName>
    <definedName name="SPTLSU" localSheetId="5">[5]ATRUCK!#REF!</definedName>
    <definedName name="SPTLSU" localSheetId="4">[5]ATRUCK!#REF!</definedName>
    <definedName name="SPTLSU">[5]ATRUCK!#REF!</definedName>
    <definedName name="SPTMHSU" localSheetId="0">[5]ATRUCK!#REF!</definedName>
    <definedName name="SPTMHSU" localSheetId="5">[5]ATRUCK!#REF!</definedName>
    <definedName name="SPTMHSU" localSheetId="4">[5]ATRUCK!#REF!</definedName>
    <definedName name="SPTMHSU">[5]ATRUCK!#REF!</definedName>
    <definedName name="SPTMLSU" localSheetId="0">[5]ATRUCK!#REF!</definedName>
    <definedName name="SPTMLSU" localSheetId="5">[5]ATRUCK!#REF!</definedName>
    <definedName name="SPTMLSU" localSheetId="4">[5]ATRUCK!#REF!</definedName>
    <definedName name="SPTMLSU">[5]ATRUCK!#REF!</definedName>
    <definedName name="SPTNLSU" localSheetId="0">[5]ATRUCK!#REF!</definedName>
    <definedName name="SPTNLSU" localSheetId="5">[5]ATRUCK!#REF!</definedName>
    <definedName name="SPTNLSU" localSheetId="4">[5]ATRUCK!#REF!</definedName>
    <definedName name="SPTNLSU">[5]ATRUCK!#REF!</definedName>
    <definedName name="SPTORV" localSheetId="0">[5]ATRUCK!#REF!</definedName>
    <definedName name="SPTORV" localSheetId="5">[5]ATRUCK!#REF!</definedName>
    <definedName name="SPTORV" localSheetId="4">[5]ATRUCK!#REF!</definedName>
    <definedName name="SPTORV">[5]ATRUCK!#REF!</definedName>
    <definedName name="SPTS2Cp" localSheetId="0">[4]ACARS!#REF!</definedName>
    <definedName name="SPTS2Cp" localSheetId="5">[4]ACARS!#REF!</definedName>
    <definedName name="SPTS2Cp" localSheetId="4">[4]ACARS!#REF!</definedName>
    <definedName name="SPTS2Cp">[4]ACARS!#REF!</definedName>
    <definedName name="SPTS3Cp" localSheetId="0">[4]ACARS!#REF!</definedName>
    <definedName name="SPTS3Cp" localSheetId="5">[4]ACARS!#REF!</definedName>
    <definedName name="SPTS3Cp" localSheetId="4">[4]ACARS!#REF!</definedName>
    <definedName name="SPTS3Cp">[4]ACARS!#REF!</definedName>
    <definedName name="SPTSCV" localSheetId="0">[4]ACARS!#REF!</definedName>
    <definedName name="SPTSCV" localSheetId="5">[4]ACARS!#REF!</definedName>
    <definedName name="SPTSCV" localSheetId="4">[4]ACARS!#REF!</definedName>
    <definedName name="SPTSCV">[4]ACARS!#REF!</definedName>
    <definedName name="SPTSHSU" localSheetId="0">[5]ATRUCK!#REF!</definedName>
    <definedName name="SPTSHSU" localSheetId="5">[5]ATRUCK!#REF!</definedName>
    <definedName name="SPTSHSU" localSheetId="4">[5]ATRUCK!#REF!</definedName>
    <definedName name="SPTSHSU">[5]ATRUCK!#REF!</definedName>
    <definedName name="SPTSLSU" localSheetId="0">[5]ATRUCK!#REF!</definedName>
    <definedName name="SPTSLSU" localSheetId="5">[5]ATRUCK!#REF!</definedName>
    <definedName name="SPTSLSU" localSheetId="4">[5]ATRUCK!#REF!</definedName>
    <definedName name="SPTSLSU">[5]ATRUCK!#REF!</definedName>
    <definedName name="SPTSTOTAL" localSheetId="0">[4]ACARS!#REF!</definedName>
    <definedName name="SPTSTOTAL" localSheetId="5">[4]ACARS!#REF!</definedName>
    <definedName name="SPTSTOTAL" localSheetId="4">[4]ACARS!#REF!</definedName>
    <definedName name="SPTSTOTAL">[4]ACARS!#REF!</definedName>
    <definedName name="SPTTLSU" localSheetId="0">[5]ATRUCK!#REF!</definedName>
    <definedName name="SPTTLSU" localSheetId="5">[5]ATRUCK!#REF!</definedName>
    <definedName name="SPTTLSU" localSheetId="4">[5]ATRUCK!#REF!</definedName>
    <definedName name="SPTTLSU">[5]ATRUCK!#REF!</definedName>
    <definedName name="SPTY2CP" localSheetId="0">[4]ACARS!#REF!</definedName>
    <definedName name="SPTY2CP" localSheetId="5">[4]ACARS!#REF!</definedName>
    <definedName name="SPTY2CP" localSheetId="4">[4]ACARS!#REF!</definedName>
    <definedName name="SPTY2CP">[4]ACARS!#REF!</definedName>
    <definedName name="SPTY3CP" localSheetId="0">[4]ACARS!#REF!</definedName>
    <definedName name="SPTY3CP" localSheetId="5">[4]ACARS!#REF!</definedName>
    <definedName name="SPTY3CP" localSheetId="4">[4]ACARS!#REF!</definedName>
    <definedName name="SPTY3CP">[4]ACARS!#REF!</definedName>
    <definedName name="SPTY3HB" localSheetId="0">[4]ACARS!#REF!</definedName>
    <definedName name="SPTY3HB" localSheetId="5">[4]ACARS!#REF!</definedName>
    <definedName name="SPTY3HB" localSheetId="4">[4]ACARS!#REF!</definedName>
    <definedName name="SPTY3HB">[4]ACARS!#REF!</definedName>
    <definedName name="SPTYCVT" localSheetId="0">[4]ACARS!#REF!</definedName>
    <definedName name="SPTYCVT" localSheetId="5">[4]ACARS!#REF!</definedName>
    <definedName name="SPTYCVT" localSheetId="4">[4]ACARS!#REF!</definedName>
    <definedName name="SPTYCVT">[4]ACARS!#REF!</definedName>
    <definedName name="SPTYTOTAL" localSheetId="0">[4]ACARS!#REF!</definedName>
    <definedName name="SPTYTOTAL" localSheetId="5">[4]ACARS!#REF!</definedName>
    <definedName name="SPTYTOTAL" localSheetId="4">[4]ACARS!#REF!</definedName>
    <definedName name="SPTYTOTAL">[4]ACARS!#REF!</definedName>
    <definedName name="SPV" localSheetId="0">[5]ATRUCK!#REF!</definedName>
    <definedName name="SPV" localSheetId="5">[5]ATRUCK!#REF!</definedName>
    <definedName name="SPV" localSheetId="4">[5]ATRUCK!#REF!</definedName>
    <definedName name="SPV">[5]ATRUCK!#REF!</definedName>
    <definedName name="SPVTOTAL" localSheetId="0">[5]ATRUCK!#REF!</definedName>
    <definedName name="SPVTOTAL" localSheetId="5">[5]ATRUCK!#REF!</definedName>
    <definedName name="SPVTOTAL" localSheetId="4">[5]ATRUCK!#REF!</definedName>
    <definedName name="SPVTOTAL">[5]ATRUCK!#REF!</definedName>
    <definedName name="SROV4" localSheetId="0">[5]ATRUCK!#REF!</definedName>
    <definedName name="SROV4" localSheetId="5">[5]ATRUCK!#REF!</definedName>
    <definedName name="SROV4" localSheetId="4">[5]ATRUCK!#REF!</definedName>
    <definedName name="SROV4">[5]ATRUCK!#REF!</definedName>
    <definedName name="SROVDEF110" localSheetId="0">[5]ATRUCK!#REF!</definedName>
    <definedName name="SROVDEF110" localSheetId="5">[5]ATRUCK!#REF!</definedName>
    <definedName name="SROVDEF110" localSheetId="4">[5]ATRUCK!#REF!</definedName>
    <definedName name="SROVDEF110">[5]ATRUCK!#REF!</definedName>
    <definedName name="SROVDEF90" localSheetId="0">[5]ATRUCK!#REF!</definedName>
    <definedName name="SROVDEF90" localSheetId="5">[5]ATRUCK!#REF!</definedName>
    <definedName name="SROVDEF90" localSheetId="4">[5]ATRUCK!#REF!</definedName>
    <definedName name="SROVDEF90">[5]ATRUCK!#REF!</definedName>
    <definedName name="SROVDEFALL" localSheetId="0">#REF!</definedName>
    <definedName name="SROVDEFALL" localSheetId="5">#REF!</definedName>
    <definedName name="SROVDEFALL" localSheetId="4">#REF!</definedName>
    <definedName name="SROVDEFALL">#REF!</definedName>
    <definedName name="SROVDISC4" localSheetId="0">[5]ATRUCK!#REF!</definedName>
    <definedName name="SROVDISC4" localSheetId="5">[5]ATRUCK!#REF!</definedName>
    <definedName name="SROVDISC4" localSheetId="4">[5]ATRUCK!#REF!</definedName>
    <definedName name="SROVDISC4">[5]ATRUCK!#REF!</definedName>
    <definedName name="SROVFREE4" localSheetId="0">[5]ATRUCK!#REF!</definedName>
    <definedName name="SROVFREE4" localSheetId="5">[5]ATRUCK!#REF!</definedName>
    <definedName name="SROVFREE4" localSheetId="4">[5]ATRUCK!#REF!</definedName>
    <definedName name="SROVFREE4">[5]ATRUCK!#REF!</definedName>
    <definedName name="SROVROVALL" localSheetId="0">#REF!</definedName>
    <definedName name="SROVROVALL" localSheetId="5">#REF!</definedName>
    <definedName name="SROVROVALL" localSheetId="4">#REF!</definedName>
    <definedName name="SROVROVALL">#REF!</definedName>
    <definedName name="SROVSE4" localSheetId="0">[5]ATRUCK!#REF!</definedName>
    <definedName name="SROVSE4" localSheetId="5">[5]ATRUCK!#REF!</definedName>
    <definedName name="SROVSE4" localSheetId="4">[5]ATRUCK!#REF!</definedName>
    <definedName name="SROVSE4">[5]ATRUCK!#REF!</definedName>
    <definedName name="SRVR600ALL" localSheetId="0">#REF!</definedName>
    <definedName name="SRVR600ALL" localSheetId="5">#REF!</definedName>
    <definedName name="SRVR600ALL" localSheetId="4">#REF!</definedName>
    <definedName name="SRVR600ALL">#REF!</definedName>
    <definedName name="SSAAB900ALL" localSheetId="0">#REF!</definedName>
    <definedName name="SSAAB900ALL" localSheetId="5">#REF!</definedName>
    <definedName name="SSAAB900ALL" localSheetId="4">#REF!</definedName>
    <definedName name="SSAAB900ALL">#REF!</definedName>
    <definedName name="SSAAB95ALL" localSheetId="0">#REF!</definedName>
    <definedName name="SSAAB95ALL" localSheetId="5">#REF!</definedName>
    <definedName name="SSAAB95ALL" localSheetId="4">#REF!</definedName>
    <definedName name="SSAAB95ALL">#REF!</definedName>
    <definedName name="SSATSLSWALL" localSheetId="0">#REF!</definedName>
    <definedName name="SSATSLSWALL" localSheetId="5">#REF!</definedName>
    <definedName name="SSATSLSWALL" localSheetId="4">#REF!</definedName>
    <definedName name="SSATSLSWALL">#REF!</definedName>
    <definedName name="SSATSLV" localSheetId="0">[5]ATRUCK!#REF!</definedName>
    <definedName name="SSATSLV" localSheetId="5">[5]ATRUCK!#REF!</definedName>
    <definedName name="SSATSLV" localSheetId="4">[5]ATRUCK!#REF!</definedName>
    <definedName name="SSATSLV">[5]ATRUCK!#REF!</definedName>
    <definedName name="SSATSRALL" localSheetId="0">#REF!</definedName>
    <definedName name="SSATSRALL" localSheetId="5">#REF!</definedName>
    <definedName name="SSATSRALL" localSheetId="4">#REF!</definedName>
    <definedName name="SSATSRALL">#REF!</definedName>
    <definedName name="SSATVPU" localSheetId="0">[5]ATRUCK!#REF!</definedName>
    <definedName name="SSATVPU" localSheetId="5">[5]ATRUCK!#REF!</definedName>
    <definedName name="SSATVPU" localSheetId="4">[5]ATRUCK!#REF!</definedName>
    <definedName name="SSATVPU">[5]ATRUCK!#REF!</definedName>
    <definedName name="SSBFOREST4" localSheetId="0">[5]ATRUCK!#REF!</definedName>
    <definedName name="SSBFOREST4" localSheetId="5">[5]ATRUCK!#REF!</definedName>
    <definedName name="SSBFOREST4" localSheetId="4">[5]ATRUCK!#REF!</definedName>
    <definedName name="SSBFOREST4">[5]ATRUCK!#REF!</definedName>
    <definedName name="SSH2SU" localSheetId="0">[5]ATRUCK!#REF!</definedName>
    <definedName name="SSH2SU" localSheetId="5">[5]ATRUCK!#REF!</definedName>
    <definedName name="SSH2SU" localSheetId="4">[5]ATRUCK!#REF!</definedName>
    <definedName name="SSH2SU">[5]ATRUCK!#REF!</definedName>
    <definedName name="SSH4SU" localSheetId="0">[5]ATRUCK!#REF!</definedName>
    <definedName name="SSH4SU" localSheetId="5">[5]ATRUCK!#REF!</definedName>
    <definedName name="SSH4SU" localSheetId="4">[5]ATRUCK!#REF!</definedName>
    <definedName name="SSH4SU">[5]ATRUCK!#REF!</definedName>
    <definedName name="SSHSUTOTAL" localSheetId="0">[5]ATRUCK!#REF!</definedName>
    <definedName name="SSHSUTOTAL" localSheetId="5">[5]ATRUCK!#REF!</definedName>
    <definedName name="SSHSUTOTAL" localSheetId="4">[5]ATRUCK!#REF!</definedName>
    <definedName name="SSHSUTOTAL">[5]ATRUCK!#REF!</definedName>
    <definedName name="SSL2SU" localSheetId="0">[5]ATRUCK!#REF!</definedName>
    <definedName name="SSL2SU" localSheetId="5">[5]ATRUCK!#REF!</definedName>
    <definedName name="SSL2SU" localSheetId="4">[5]ATRUCK!#REF!</definedName>
    <definedName name="SSL2SU">[5]ATRUCK!#REF!</definedName>
    <definedName name="SSL4SU" localSheetId="0">[5]ATRUCK!#REF!</definedName>
    <definedName name="SSL4SU" localSheetId="5">[5]ATRUCK!#REF!</definedName>
    <definedName name="SSL4SU" localSheetId="4">[5]ATRUCK!#REF!</definedName>
    <definedName name="SSL4SU">[5]ATRUCK!#REF!</definedName>
    <definedName name="SSLSUTOTAL" localSheetId="0">[5]ATRUCK!#REF!</definedName>
    <definedName name="SSLSUTOTAL" localSheetId="5">[5]ATRUCK!#REF!</definedName>
    <definedName name="SSLSUTOTAL" localSheetId="4">[5]ATRUCK!#REF!</definedName>
    <definedName name="SSLSUTOTAL">[5]ATRUCK!#REF!</definedName>
    <definedName name="SSPRTSCV" localSheetId="0">[4]ACARS!#REF!</definedName>
    <definedName name="SSPRTSCV" localSheetId="5">[4]ACARS!#REF!</definedName>
    <definedName name="SSPRTSCV" localSheetId="4">[4]ACARS!#REF!</definedName>
    <definedName name="SSPRTSCV">[4]ACARS!#REF!</definedName>
    <definedName name="SSPRTYCVT" localSheetId="0">[4]ACARS!#REF!</definedName>
    <definedName name="SSPRTYCVT" localSheetId="5">[4]ACARS!#REF!</definedName>
    <definedName name="SSPRTYCVT" localSheetId="4">[4]ACARS!#REF!</definedName>
    <definedName name="SSPRTYCVT">[4]ACARS!#REF!</definedName>
    <definedName name="SSPTS2Cp" localSheetId="0">[4]ACARS!#REF!</definedName>
    <definedName name="SSPTS2Cp" localSheetId="5">[4]ACARS!#REF!</definedName>
    <definedName name="SSPTS2Cp" localSheetId="4">[4]ACARS!#REF!</definedName>
    <definedName name="SSPTS2Cp">[4]ACARS!#REF!</definedName>
    <definedName name="SSPTS3Cp" localSheetId="0">[4]ACARS!#REF!</definedName>
    <definedName name="SSPTS3Cp" localSheetId="5">[4]ACARS!#REF!</definedName>
    <definedName name="SSPTS3Cp" localSheetId="4">[4]ACARS!#REF!</definedName>
    <definedName name="SSPTS3Cp">[4]ACARS!#REF!</definedName>
    <definedName name="SSPTY2CP" localSheetId="0">[4]ACARS!#REF!</definedName>
    <definedName name="SSPTY2CP" localSheetId="5">[4]ACARS!#REF!</definedName>
    <definedName name="SSPTY2CP" localSheetId="4">[4]ACARS!#REF!</definedName>
    <definedName name="SSPTY2CP">[4]ACARS!#REF!</definedName>
    <definedName name="SSPTY3CP" localSheetId="0">[4]ACARS!#REF!</definedName>
    <definedName name="SSPTY3CP" localSheetId="5">[4]ACARS!#REF!</definedName>
    <definedName name="SSPTY3CP" localSheetId="4">[4]ACARS!#REF!</definedName>
    <definedName name="SSPTY3CP">[4]ACARS!#REF!</definedName>
    <definedName name="SSPTY3HB" localSheetId="0">[4]ACARS!#REF!</definedName>
    <definedName name="SSPTY3HB" localSheetId="5">[4]ACARS!#REF!</definedName>
    <definedName name="SSPTY3HB" localSheetId="4">[4]ACARS!#REF!</definedName>
    <definedName name="SSPTY3HB">[4]ACARS!#REF!</definedName>
    <definedName name="SSUBIMPRSEDALL" localSheetId="0">#REF!</definedName>
    <definedName name="SSUBIMPRSEDALL" localSheetId="5">#REF!</definedName>
    <definedName name="SSUBIMPRSEDALL" localSheetId="4">#REF!</definedName>
    <definedName name="SSUBIMPRSEDALL">#REF!</definedName>
    <definedName name="SSUBIMPRWALL" localSheetId="0">#REF!</definedName>
    <definedName name="SSUBIMPRWALL" localSheetId="5">#REF!</definedName>
    <definedName name="SSUBIMPRWALL" localSheetId="4">#REF!</definedName>
    <definedName name="SSUBIMPRWALL">#REF!</definedName>
    <definedName name="SSUBJUSTYALL" localSheetId="0">#REF!</definedName>
    <definedName name="SSUBJUSTYALL" localSheetId="5">#REF!</definedName>
    <definedName name="SSUBJUSTYALL" localSheetId="4">#REF!</definedName>
    <definedName name="SSUBJUSTYALL">#REF!</definedName>
    <definedName name="SSUBLEGACYALL" localSheetId="0">#REF!</definedName>
    <definedName name="SSUBLEGACYALL" localSheetId="5">#REF!</definedName>
    <definedName name="SSUBLEGACYALL" localSheetId="4">#REF!</definedName>
    <definedName name="SSUBLEGACYALL">#REF!</definedName>
    <definedName name="SSUBLOY_IMPALL" localSheetId="0">#REF!</definedName>
    <definedName name="SSUBLOY_IMPALL" localSheetId="5">#REF!</definedName>
    <definedName name="SSUBLOY_IMPALL" localSheetId="4">#REF!</definedName>
    <definedName name="SSUBLOY_IMPALL">#REF!</definedName>
    <definedName name="SSUZESTEEMALL" localSheetId="0">#REF!</definedName>
    <definedName name="SSUZESTEEMALL" localSheetId="5">#REF!</definedName>
    <definedName name="SSUZESTEEMALL" localSheetId="4">#REF!</definedName>
    <definedName name="SSUZESTEEMALL">#REF!</definedName>
    <definedName name="SSUZSWIFTALL" localSheetId="0">#REF!</definedName>
    <definedName name="SSUZSWIFTALL" localSheetId="5">#REF!</definedName>
    <definedName name="SSUZSWIFTALL" localSheetId="4">#REF!</definedName>
    <definedName name="SSUZSWIFTALL">#REF!</definedName>
    <definedName name="SSZSAM" localSheetId="0">[5]ATRUCK!#REF!</definedName>
    <definedName name="SSZSAM" localSheetId="5">[5]ATRUCK!#REF!</definedName>
    <definedName name="SSZSAM" localSheetId="4">[5]ATRUCK!#REF!</definedName>
    <definedName name="SSZSAM">[5]ATRUCK!#REF!</definedName>
    <definedName name="SSZSIDE" localSheetId="0">[5]ATRUCK!#REF!</definedName>
    <definedName name="SSZSIDE" localSheetId="5">[5]ATRUCK!#REF!</definedName>
    <definedName name="SSZSIDE" localSheetId="4">[5]ATRUCK!#REF!</definedName>
    <definedName name="SSZSIDE">[5]ATRUCK!#REF!</definedName>
    <definedName name="SSZSIDE4" localSheetId="0">[5]ATRUCK!#REF!</definedName>
    <definedName name="SSZSIDE4" localSheetId="5">[5]ATRUCK!#REF!</definedName>
    <definedName name="SSZSIDE4" localSheetId="4">[5]ATRUCK!#REF!</definedName>
    <definedName name="SSZSIDE4">[5]ATRUCK!#REF!</definedName>
    <definedName name="SSZSIDEALL" localSheetId="0">#REF!</definedName>
    <definedName name="SSZSIDEALL" localSheetId="5">#REF!</definedName>
    <definedName name="SSZSIDEALL" localSheetId="4">#REF!</definedName>
    <definedName name="SSZSIDEALL">#REF!</definedName>
    <definedName name="SSZX90" localSheetId="0">[5]ATRUCK!#REF!</definedName>
    <definedName name="SSZX90" localSheetId="5">[5]ATRUCK!#REF!</definedName>
    <definedName name="SSZX90" localSheetId="4">[5]ATRUCK!#REF!</definedName>
    <definedName name="SSZX90">[5]ATRUCK!#REF!</definedName>
    <definedName name="State" localSheetId="5">#REF!</definedName>
    <definedName name="State" localSheetId="4">#REF!</definedName>
    <definedName name="State">#REF!</definedName>
    <definedName name="STLSU" localSheetId="0">[5]ATRUCK!#REF!</definedName>
    <definedName name="STLSU" localSheetId="5">[5]ATRUCK!#REF!</definedName>
    <definedName name="STLSU" localSheetId="4">[5]ATRUCK!#REF!</definedName>
    <definedName name="STLSU">[5]ATRUCK!#REF!</definedName>
    <definedName name="STLSUTOTAL" localSheetId="0">[5]ATRUCK!#REF!</definedName>
    <definedName name="STLSUTOTAL" localSheetId="5">[5]ATRUCK!#REF!</definedName>
    <definedName name="STLSUTOTAL" localSheetId="4">[5]ATRUCK!#REF!</definedName>
    <definedName name="STLSUTOTAL">[5]ATRUCK!#REF!</definedName>
    <definedName name="STOY013N" localSheetId="0">[5]ATRUCK!#REF!</definedName>
    <definedName name="STOY013N" localSheetId="5">[5]ATRUCK!#REF!</definedName>
    <definedName name="STOY013N" localSheetId="4">[5]ATRUCK!#REF!</definedName>
    <definedName name="STOY013N">[5]ATRUCK!#REF!</definedName>
    <definedName name="STOY038N" localSheetId="0">[5]ATRUCK!#REF!</definedName>
    <definedName name="STOY038N" localSheetId="5">[5]ATRUCK!#REF!</definedName>
    <definedName name="STOY038N" localSheetId="4">[5]ATRUCK!#REF!</definedName>
    <definedName name="STOY038N">[5]ATRUCK!#REF!</definedName>
    <definedName name="STOY4RUN" localSheetId="0">[5]ATRUCK!#REF!</definedName>
    <definedName name="STOY4RUN" localSheetId="5">[5]ATRUCK!#REF!</definedName>
    <definedName name="STOY4RUN" localSheetId="4">[5]ATRUCK!#REF!</definedName>
    <definedName name="STOY4RUN">[5]ATRUCK!#REF!</definedName>
    <definedName name="STOY4RUN4" localSheetId="0">[5]ATRUCK!#REF!</definedName>
    <definedName name="STOY4RUN4" localSheetId="5">[5]ATRUCK!#REF!</definedName>
    <definedName name="STOY4RUN4" localSheetId="4">[5]ATRUCK!#REF!</definedName>
    <definedName name="STOY4RUN4">[5]ATRUCK!#REF!</definedName>
    <definedName name="STOY4RUNALL" localSheetId="0">#REF!</definedName>
    <definedName name="STOY4RUNALL" localSheetId="5">#REF!</definedName>
    <definedName name="STOY4RUNALL" localSheetId="4">#REF!</definedName>
    <definedName name="STOY4RUNALL">#REF!</definedName>
    <definedName name="STOYCAMRYALL" localSheetId="0">#REF!</definedName>
    <definedName name="STOYCAMRYALL" localSheetId="5">#REF!</definedName>
    <definedName name="STOYCAMRYALL" localSheetId="4">#REF!</definedName>
    <definedName name="STOYCAMRYALL">#REF!</definedName>
    <definedName name="STOYCELICAALL" localSheetId="0">#REF!</definedName>
    <definedName name="STOYCELICAALL" localSheetId="5">#REF!</definedName>
    <definedName name="STOYCELICAALL" localSheetId="4">#REF!</definedName>
    <definedName name="STOYCELICAALL">#REF!</definedName>
    <definedName name="STOYCOROLLAALL" localSheetId="0">#REF!</definedName>
    <definedName name="STOYCOROLLAALL" localSheetId="5">#REF!</definedName>
    <definedName name="STOYCOROLLAALL" localSheetId="4">#REF!</definedName>
    <definedName name="STOYCOROLLAALL">#REF!</definedName>
    <definedName name="STOYCRES_AVALALL" localSheetId="0">#REF!</definedName>
    <definedName name="STOYCRES_AVALALL" localSheetId="5">#REF!</definedName>
    <definedName name="STOYCRES_AVALALL" localSheetId="4">#REF!</definedName>
    <definedName name="STOYCRES_AVALALL">#REF!</definedName>
    <definedName name="STOYLAND" localSheetId="0">[5]ATRUCK!#REF!</definedName>
    <definedName name="STOYLAND" localSheetId="5">[5]ATRUCK!#REF!</definedName>
    <definedName name="STOYLAND" localSheetId="4">[5]ATRUCK!#REF!</definedName>
    <definedName name="STOYLAND">[5]ATRUCK!#REF!</definedName>
    <definedName name="STOYLSUV" localSheetId="0">[5]ATRUCK!#REF!</definedName>
    <definedName name="STOYLSUV" localSheetId="5">[5]ATRUCK!#REF!</definedName>
    <definedName name="STOYLSUV" localSheetId="4">[5]ATRUCK!#REF!</definedName>
    <definedName name="STOYLSUV">[5]ATRUCK!#REF!</definedName>
    <definedName name="STOYPASEOALL" localSheetId="0">#REF!</definedName>
    <definedName name="STOYPASEOALL" localSheetId="5">#REF!</definedName>
    <definedName name="STOYPASEOALL" localSheetId="4">#REF!</definedName>
    <definedName name="STOYPASEOALL">#REF!</definedName>
    <definedName name="STOYPREVIAP" localSheetId="0">[5]ATRUCK!#REF!</definedName>
    <definedName name="STOYPREVIAP" localSheetId="5">[5]ATRUCK!#REF!</definedName>
    <definedName name="STOYPREVIAP" localSheetId="4">[5]ATRUCK!#REF!</definedName>
    <definedName name="STOYPREVIAP">[5]ATRUCK!#REF!</definedName>
    <definedName name="STOYRAV4" localSheetId="0">[5]ATRUCK!#REF!</definedName>
    <definedName name="STOYRAV4" localSheetId="5">[5]ATRUCK!#REF!</definedName>
    <definedName name="STOYRAV4" localSheetId="4">[5]ATRUCK!#REF!</definedName>
    <definedName name="STOYRAV4">[5]ATRUCK!#REF!</definedName>
    <definedName name="STOYRAV44" localSheetId="0">[5]ATRUCK!#REF!</definedName>
    <definedName name="STOYRAV44" localSheetId="5">[5]ATRUCK!#REF!</definedName>
    <definedName name="STOYRAV44" localSheetId="4">[5]ATRUCK!#REF!</definedName>
    <definedName name="STOYRAV44">[5]ATRUCK!#REF!</definedName>
    <definedName name="STOYRAVA4ALL" localSheetId="0">#REF!</definedName>
    <definedName name="STOYRAVA4ALL" localSheetId="5">#REF!</definedName>
    <definedName name="STOYRAVA4ALL" localSheetId="4">#REF!</definedName>
    <definedName name="STOYRAVA4ALL">#REF!</definedName>
    <definedName name="STOYSIENP" localSheetId="0">[5]ATRUCK!#REF!</definedName>
    <definedName name="STOYSIENP" localSheetId="5">[5]ATRUCK!#REF!</definedName>
    <definedName name="STOYSIENP" localSheetId="4">[5]ATRUCK!#REF!</definedName>
    <definedName name="STOYSIENP">[5]ATRUCK!#REF!</definedName>
    <definedName name="STOYSOLARAALL" localSheetId="0">#REF!</definedName>
    <definedName name="STOYSOLARAALL" localSheetId="5">#REF!</definedName>
    <definedName name="STOYSOLARAALL" localSheetId="4">#REF!</definedName>
    <definedName name="STOYSOLARAALL">#REF!</definedName>
    <definedName name="STOYT100ALL" localSheetId="0">#REF!</definedName>
    <definedName name="STOYT100ALL" localSheetId="5">#REF!</definedName>
    <definedName name="STOYT100ALL" localSheetId="4">#REF!</definedName>
    <definedName name="STOYT100ALL">#REF!</definedName>
    <definedName name="STOYT100R" localSheetId="0">[5]ATRUCK!#REF!</definedName>
    <definedName name="STOYT100R" localSheetId="5">[5]ATRUCK!#REF!</definedName>
    <definedName name="STOYT100R" localSheetId="4">[5]ATRUCK!#REF!</definedName>
    <definedName name="STOYT100R">[5]ATRUCK!#REF!</definedName>
    <definedName name="STOYT100X" localSheetId="0">[5]ATRUCK!#REF!</definedName>
    <definedName name="STOYT100X" localSheetId="5">[5]ATRUCK!#REF!</definedName>
    <definedName name="STOYT100X" localSheetId="4">[5]ATRUCK!#REF!</definedName>
    <definedName name="STOYT100X">[5]ATRUCK!#REF!</definedName>
    <definedName name="STOYTACOALL" localSheetId="0">#REF!</definedName>
    <definedName name="STOYTACOALL" localSheetId="5">#REF!</definedName>
    <definedName name="STOYTACOALL" localSheetId="4">#REF!</definedName>
    <definedName name="STOYTACOALL">#REF!</definedName>
    <definedName name="STOYTACOR" localSheetId="0">[5]ATRUCK!#REF!</definedName>
    <definedName name="STOYTACOR" localSheetId="5">[5]ATRUCK!#REF!</definedName>
    <definedName name="STOYTACOR" localSheetId="4">[5]ATRUCK!#REF!</definedName>
    <definedName name="STOYTACOR">[5]ATRUCK!#REF!</definedName>
    <definedName name="STOYTACOX" localSheetId="0">[5]ATRUCK!#REF!</definedName>
    <definedName name="STOYTACOX" localSheetId="5">[5]ATRUCK!#REF!</definedName>
    <definedName name="STOYTACOX" localSheetId="4">[5]ATRUCK!#REF!</definedName>
    <definedName name="STOYTACOX">[5]ATRUCK!#REF!</definedName>
    <definedName name="STOYTERCELALL" localSheetId="0">#REF!</definedName>
    <definedName name="STOYTERCELALL" localSheetId="5">#REF!</definedName>
    <definedName name="STOYTERCELALL" localSheetId="4">#REF!</definedName>
    <definedName name="STOYTERCELALL">#REF!</definedName>
    <definedName name="STOYTUNDALL" localSheetId="0">#REF!</definedName>
    <definedName name="STOYTUNDALL" localSheetId="5">#REF!</definedName>
    <definedName name="STOYTUNDALL" localSheetId="4">#REF!</definedName>
    <definedName name="STOYTUNDALL">#REF!</definedName>
    <definedName name="STOYTUNDR" localSheetId="0">[5]ATRUCK!#REF!</definedName>
    <definedName name="STOYTUNDR" localSheetId="5">[5]ATRUCK!#REF!</definedName>
    <definedName name="STOYTUNDR" localSheetId="4">[5]ATRUCK!#REF!</definedName>
    <definedName name="STOYTUNDR">[5]ATRUCK!#REF!</definedName>
    <definedName name="STOYTUNDX" localSheetId="0">[5]ATRUCK!#REF!</definedName>
    <definedName name="STOYTUNDX" localSheetId="5">[5]ATRUCK!#REF!</definedName>
    <definedName name="STOYTUNDX" localSheetId="4">[5]ATRUCK!#REF!</definedName>
    <definedName name="STOYTUNDX">[5]ATRUCK!#REF!</definedName>
    <definedName name="STOYVANPALL" localSheetId="0">#REF!</definedName>
    <definedName name="STOYVANPALL" localSheetId="5">#REF!</definedName>
    <definedName name="STOYVANPALL" localSheetId="4">#REF!</definedName>
    <definedName name="STOYVANPALL">#REF!</definedName>
    <definedName name="STYPRIUS" localSheetId="0">[4]ACARS!#REF!</definedName>
    <definedName name="STYPRIUS" localSheetId="5">[4]ACARS!#REF!</definedName>
    <definedName name="STYPRIUS" localSheetId="4">[4]ACARS!#REF!</definedName>
    <definedName name="STYPRIUS">[4]ACARS!#REF!</definedName>
    <definedName name="SUBARUTOTAL" localSheetId="0">#REF!</definedName>
    <definedName name="SUBARUTOTAL" localSheetId="5">#REF!</definedName>
    <definedName name="SUBARUTOTAL" localSheetId="4">#REF!</definedName>
    <definedName name="SUBARUTOTAL">#REF!</definedName>
    <definedName name="SUBIMPRSEDALL" localSheetId="0">#REF!</definedName>
    <definedName name="SUBIMPRSEDALL" localSheetId="5">#REF!</definedName>
    <definedName name="SUBIMPRSEDALL" localSheetId="4">#REF!</definedName>
    <definedName name="SUBIMPRSEDALL">#REF!</definedName>
    <definedName name="SUBIMPRWALL" localSheetId="0">#REF!</definedName>
    <definedName name="SUBIMPRWALL" localSheetId="5">#REF!</definedName>
    <definedName name="SUBIMPRWALL" localSheetId="4">#REF!</definedName>
    <definedName name="SUBIMPRWALL">#REF!</definedName>
    <definedName name="SUBJUSTYALL" localSheetId="0">#REF!</definedName>
    <definedName name="SUBJUSTYALL" localSheetId="5">#REF!</definedName>
    <definedName name="SUBJUSTYALL" localSheetId="4">#REF!</definedName>
    <definedName name="SUBJUSTYALL">#REF!</definedName>
    <definedName name="SUBLEGACYALL" localSheetId="0">#REF!</definedName>
    <definedName name="SUBLEGACYALL" localSheetId="5">#REF!</definedName>
    <definedName name="SUBLEGACYALL" localSheetId="4">#REF!</definedName>
    <definedName name="SUBLEGACYALL">#REF!</definedName>
    <definedName name="SUBLOY_IMPALL" localSheetId="0">#REF!</definedName>
    <definedName name="SUBLOY_IMPALL" localSheetId="5">#REF!</definedName>
    <definedName name="SUBLOY_IMPALL" localSheetId="4">#REF!</definedName>
    <definedName name="SUBLOY_IMPALL">#REF!</definedName>
    <definedName name="SUZESTEEMALL" localSheetId="0">#REF!</definedName>
    <definedName name="SUZESTEEMALL" localSheetId="5">#REF!</definedName>
    <definedName name="SUZESTEEMALL" localSheetId="4">#REF!</definedName>
    <definedName name="SUZESTEEMALL">#REF!</definedName>
    <definedName name="SUZSWIFTALL" localSheetId="0">#REF!</definedName>
    <definedName name="SUZSWIFTALL" localSheetId="5">#REF!</definedName>
    <definedName name="SUZSWIFTALL" localSheetId="4">#REF!</definedName>
    <definedName name="SUZSWIFTALL">#REF!</definedName>
    <definedName name="SUZUKITOTAL" localSheetId="0">#REF!</definedName>
    <definedName name="SUZUKITOTAL" localSheetId="5">#REF!</definedName>
    <definedName name="SUZUKITOTAL" localSheetId="4">#REF!</definedName>
    <definedName name="SUZUKITOTAL">#REF!</definedName>
    <definedName name="SVOL96094090ALL" localSheetId="0">#REF!</definedName>
    <definedName name="SVOL96094090ALL" localSheetId="5">#REF!</definedName>
    <definedName name="SVOL96094090ALL" localSheetId="4">#REF!</definedName>
    <definedName name="SVOL96094090ALL">#REF!</definedName>
    <definedName name="SVOLSUV" localSheetId="0">[5]ATRUCK!#REF!</definedName>
    <definedName name="SVOLSUV" localSheetId="5">[5]ATRUCK!#REF!</definedName>
    <definedName name="SVOLSUV" localSheetId="4">[5]ATRUCK!#REF!</definedName>
    <definedName name="SVOLSUV">[5]ATRUCK!#REF!</definedName>
    <definedName name="SVOLVAN" localSheetId="0">[5]ATRUCK!#REF!</definedName>
    <definedName name="SVOLVAN" localSheetId="5">[5]ATRUCK!#REF!</definedName>
    <definedName name="SVOLVAN" localSheetId="4">[5]ATRUCK!#REF!</definedName>
    <definedName name="SVOLVAN">[5]ATRUCK!#REF!</definedName>
    <definedName name="SVOLVO240ALL" localSheetId="0">#REF!</definedName>
    <definedName name="SVOLVO240ALL" localSheetId="5">#REF!</definedName>
    <definedName name="SVOLVO240ALL" localSheetId="4">#REF!</definedName>
    <definedName name="SVOLVO240ALL">#REF!</definedName>
    <definedName name="SVOLVO740ALL" localSheetId="0">#REF!</definedName>
    <definedName name="SVOLVO740ALL" localSheetId="5">#REF!</definedName>
    <definedName name="SVOLVO740ALL" localSheetId="4">#REF!</definedName>
    <definedName name="SVOLVO740ALL">#REF!</definedName>
    <definedName name="SVOLVO760_960_90" localSheetId="0">#REF!</definedName>
    <definedName name="SVOLVO760_960_90" localSheetId="5">#REF!</definedName>
    <definedName name="SVOLVO760_960_90" localSheetId="4">#REF!</definedName>
    <definedName name="SVOLVO760_960_90">#REF!</definedName>
    <definedName name="SVOLVO850_70ALL" localSheetId="0">#REF!</definedName>
    <definedName name="SVOLVO850_70ALL" localSheetId="5">#REF!</definedName>
    <definedName name="SVOLVO850_70ALL" localSheetId="4">#REF!</definedName>
    <definedName name="SVOLVO850_70ALL">#REF!</definedName>
    <definedName name="SVOLVO90ALL" localSheetId="0">#REF!</definedName>
    <definedName name="SVOLVO90ALL" localSheetId="5">#REF!</definedName>
    <definedName name="SVOLVO90ALL" localSheetId="4">#REF!</definedName>
    <definedName name="SVOLVO90ALL">#REF!</definedName>
    <definedName name="SVOLVO940ALL" localSheetId="0">#REF!</definedName>
    <definedName name="SVOLVO940ALL" localSheetId="5">#REF!</definedName>
    <definedName name="SVOLVO940ALL" localSheetId="4">#REF!</definedName>
    <definedName name="SVOLVO940ALL">#REF!</definedName>
    <definedName name="SVOLVO960ALL" localSheetId="0">#REF!</definedName>
    <definedName name="SVOLVO960ALL" localSheetId="5">#REF!</definedName>
    <definedName name="SVOLVO960ALL" localSheetId="4">#REF!</definedName>
    <definedName name="SVOLVO960ALL">#REF!</definedName>
    <definedName name="SVOLVOC70" localSheetId="0">#REF!</definedName>
    <definedName name="SVOLVOC70" localSheetId="5">#REF!</definedName>
    <definedName name="SVOLVOC70" localSheetId="4">#REF!</definedName>
    <definedName name="SVOLVOC70">#REF!</definedName>
    <definedName name="SVOLVOS40ALL" localSheetId="0">#REF!</definedName>
    <definedName name="SVOLVOS40ALL" localSheetId="5">#REF!</definedName>
    <definedName name="SVOLVOS40ALL" localSheetId="4">#REF!</definedName>
    <definedName name="SVOLVOS40ALL">#REF!</definedName>
    <definedName name="SVWBEETLEALL" localSheetId="0">#REF!</definedName>
    <definedName name="SVWBEETLEALL" localSheetId="5">#REF!</definedName>
    <definedName name="SVWBEETLEALL" localSheetId="4">#REF!</definedName>
    <definedName name="SVWBEETLEALL">#REF!</definedName>
    <definedName name="SVWEUROP" localSheetId="0">[5]ATRUCK!#REF!</definedName>
    <definedName name="SVWEUROP" localSheetId="5">[5]ATRUCK!#REF!</definedName>
    <definedName name="SVWEUROP" localSheetId="4">[5]ATRUCK!#REF!</definedName>
    <definedName name="SVWEUROP">[5]ATRUCK!#REF!</definedName>
    <definedName name="SVWFOXALL" localSheetId="0">#REF!</definedName>
    <definedName name="SVWFOXALL" localSheetId="5">#REF!</definedName>
    <definedName name="SVWFOXALL" localSheetId="4">#REF!</definedName>
    <definedName name="SVWFOXALL">#REF!</definedName>
    <definedName name="SVWGOLFALL" localSheetId="0">#REF!</definedName>
    <definedName name="SVWGOLFALL" localSheetId="5">#REF!</definedName>
    <definedName name="SVWGOLFALL" localSheetId="4">#REF!</definedName>
    <definedName name="SVWGOLFALL">#REF!</definedName>
    <definedName name="SVWJETTAALL" localSheetId="0">#REF!</definedName>
    <definedName name="SVWJETTAALL" localSheetId="5">#REF!</definedName>
    <definedName name="SVWJETTAALL" localSheetId="4">#REF!</definedName>
    <definedName name="SVWJETTAALL">#REF!</definedName>
    <definedName name="SVWPASSATALL" localSheetId="0">#REF!</definedName>
    <definedName name="SVWPASSATALL" localSheetId="5">#REF!</definedName>
    <definedName name="SVWPASSATALL" localSheetId="4">#REF!</definedName>
    <definedName name="SVWPASSATALL">#REF!</definedName>
    <definedName name="SVWPU" localSheetId="0">[5]ATRUCK!#REF!</definedName>
    <definedName name="SVWPU" localSheetId="5">[5]ATRUCK!#REF!</definedName>
    <definedName name="SVWPU" localSheetId="4">[5]ATRUCK!#REF!</definedName>
    <definedName name="SVWPU">[5]ATRUCK!#REF!</definedName>
    <definedName name="SVWSUV" localSheetId="0">[5]ATRUCK!#REF!</definedName>
    <definedName name="SVWSUV" localSheetId="5">[5]ATRUCK!#REF!</definedName>
    <definedName name="SVWSUV" localSheetId="4">[5]ATRUCK!#REF!</definedName>
    <definedName name="SVWSUV">[5]ATRUCK!#REF!</definedName>
    <definedName name="SYOSAI" localSheetId="0">#REF!</definedName>
    <definedName name="SYOSAI" localSheetId="5">#REF!</definedName>
    <definedName name="SYOSAI" localSheetId="4">#REF!</definedName>
    <definedName name="SYOSAI">#REF!</definedName>
    <definedName name="SZSAM">[5]ATRUCK!$F$184:$V$184</definedName>
    <definedName name="SZSIDE">[5]ATRUCK!$F$185:$V$185</definedName>
    <definedName name="SZSIDE4">[5]ATRUCK!$F$191:$V$191</definedName>
    <definedName name="SZSIDEALL" localSheetId="0">#REF!</definedName>
    <definedName name="SZSIDEALL" localSheetId="5">#REF!</definedName>
    <definedName name="SZSIDEALL" localSheetId="4">#REF!</definedName>
    <definedName name="SZSIDEALL">#REF!</definedName>
    <definedName name="TACURA">[5]ATRUCK!$C$294:$V$294</definedName>
    <definedName name="TASIANTOT">[5]ATRUCK!$C$321:$V$321</definedName>
    <definedName name="TAUDI">[5]ATRUCK!$C$311:$V$311</definedName>
    <definedName name="tbl_ProdInfo" localSheetId="5" hidden="1">#REF!</definedName>
    <definedName name="tbl_ProdInfo" localSheetId="4" hidden="1">#REF!</definedName>
    <definedName name="tbl_ProdInfo" hidden="1">#REF!</definedName>
    <definedName name="TBMW">[5]ATRUCK!$C$312:$V$312</definedName>
    <definedName name="TBUICK">[5]ATRUCK!$C$271:$V$271</definedName>
    <definedName name="TCADILLAC">[5]ATRUCK!$C$273:$V$273</definedName>
    <definedName name="TCCV">[5]ATRUCK!$F$258:$V$258</definedName>
    <definedName name="TCHEVROLET">[5]ATRUCK!$C$270:$V$270</definedName>
    <definedName name="TCHRYSLER">[5]ATRUCK!$C$284:$V$284</definedName>
    <definedName name="TCHRYTOTAL">[5]ATRUCK!$C$288:$V$288</definedName>
    <definedName name="TCPU">[5]ATRUCK!$F$236:$V$236</definedName>
    <definedName name="TCPV">[5]ATRUCK!$F$259:$V$259</definedName>
    <definedName name="TCVTOT">[5]ATRUCK!$F$261:$V$261</definedName>
    <definedName name="TDAEWOO">[5]ATRUCK!$C$295:$V$295</definedName>
    <definedName name="TDAIHATSU">[5]ATRUCK!$C$296:$V$296</definedName>
    <definedName name="TDODGE">[5]ATRUCK!$C$285:$V$285</definedName>
    <definedName name="TDOMESTOT">[5]ATRUCK!$C$291:$V$291</definedName>
    <definedName name="Tes">IF('[25]Total Company'!XFC1048480="ADir. Labour",'[25]Total Company'!A1048480/'[25]Total Company'!$T$19,"")</definedName>
    <definedName name="TEST0" localSheetId="5">#REF!</definedName>
    <definedName name="TEST0" localSheetId="4">#REF!</definedName>
    <definedName name="TEST0">#REF!</definedName>
    <definedName name="TEST1">'[1]475005-Motor Veh Maint NDE'!$A$216:$J$1222</definedName>
    <definedName name="TEST2" localSheetId="5">#REF!</definedName>
    <definedName name="TEST2" localSheetId="4">#REF!</definedName>
    <definedName name="TEST2">#REF!</definedName>
    <definedName name="TESTHKEY" localSheetId="5">#REF!</definedName>
    <definedName name="TESTHKEY" localSheetId="4">#REF!</definedName>
    <definedName name="TESTHKEY">#REF!</definedName>
    <definedName name="TESTKEYS" localSheetId="5">#REF!</definedName>
    <definedName name="TESTKEYS" localSheetId="4">#REF!</definedName>
    <definedName name="TESTKEYS">#REF!</definedName>
    <definedName name="TESTVKEY" localSheetId="5">#REF!</definedName>
    <definedName name="TESTVKEY" localSheetId="4">#REF!</definedName>
    <definedName name="TESTVKEY">#REF!</definedName>
    <definedName name="TEUROTOT">[5]ATRUCK!$C$322:$V$322</definedName>
    <definedName name="TFDTOTAL">[5]ATRUCK!$C$282:$V$282</definedName>
    <definedName name="TFORD">[5]ATRUCK!$C$279:$V$279</definedName>
    <definedName name="TFORTOT">[5]ATRUCK!$C$324:$V$324</definedName>
    <definedName name="TFSCV">[5]ATRUCK!$F$253:$V$253</definedName>
    <definedName name="TFSPU">[5]ATRUCK!$F$234:$V$234</definedName>
    <definedName name="TFSPV">[5]ATRUCK!$F$254:$V$254</definedName>
    <definedName name="TFSVTOT">[5]ATRUCK!$F$256:$V$256</definedName>
    <definedName name="TGMC">[5]ATRUCK!$C$272:$V$272</definedName>
    <definedName name="TGMTOTAL">[5]ATRUCK!$C$277:$V$277</definedName>
    <definedName name="THONDA">[5]ATRUCK!$C$297:$V$297</definedName>
    <definedName name="THYUNDAI">[5]ATRUCK!$C$298:$V$298</definedName>
    <definedName name="TINFINITI">[5]ATRUCK!$C$299:$V$299</definedName>
    <definedName name="TISUZU">[5]ATRUCK!$C$300:$V$300</definedName>
    <definedName name="TJAGUAR">[5]ATRUCK!$C$313:$V$313</definedName>
    <definedName name="TJEEP">[5]ATRUCK!$C$286:$V$286</definedName>
    <definedName name="TKIA">[5]ATRUCK!$C$301:$V$301</definedName>
    <definedName name="TLANDROVER">[5]ATRUCK!$C$315:$V$315</definedName>
    <definedName name="TLEXUS">[5]ATRUCK!$C$302:$V$302</definedName>
    <definedName name="TLINCOLN">[5]ATRUCK!$C$280:$V$280</definedName>
    <definedName name="TLSU">[5]ATRUCK!$F$241:$V$241</definedName>
    <definedName name="TLSUA">[5]ATRUCK!$F$380:$V$380</definedName>
    <definedName name="TLSUDO">[5]ATRUCK!$F$378:$V$378</definedName>
    <definedName name="TLSUE">[5]ATRUCK!$F$379:$V$379</definedName>
    <definedName name="TLSUTOTAL" localSheetId="0">[5]ATRUCK!#REF!</definedName>
    <definedName name="TLSUTOTAL" localSheetId="5">[5]ATRUCK!#REF!</definedName>
    <definedName name="TLSUTOTAL" localSheetId="4">[5]ATRUCK!#REF!</definedName>
    <definedName name="TLSUTOTAL">[5]ATRUCK!#REF!</definedName>
    <definedName name="TLXSU" localSheetId="0">[5]ATRUCK!#REF!</definedName>
    <definedName name="TLXSU" localSheetId="5">[5]ATRUCK!#REF!</definedName>
    <definedName name="TLXSU" localSheetId="4">[5]ATRUCK!#REF!</definedName>
    <definedName name="TLXSU">[5]ATRUCK!#REF!</definedName>
    <definedName name="TLXSUTOTAL" localSheetId="0">[5]ATRUCK!#REF!</definedName>
    <definedName name="TLXSUTOTAL" localSheetId="5">[5]ATRUCK!#REF!</definedName>
    <definedName name="TLXSUTOTAL" localSheetId="4">[5]ATRUCK!#REF!</definedName>
    <definedName name="TLXSUTOTAL">[5]ATRUCK!#REF!</definedName>
    <definedName name="TMAZDA">[5]ATRUCK!$C$303:$V$303</definedName>
    <definedName name="TMBENZ">[5]ATRUCK!$C$314:$V$314</definedName>
    <definedName name="TMERCURY">[5]ATRUCK!$C$281:$V$281</definedName>
    <definedName name="TMFGTTOTAL">[5]ATRUCK!$C$327:$V$327</definedName>
    <definedName name="TMHSU">[5]ATRUCK!$F$244:$V$244</definedName>
    <definedName name="TMITSUBISHI">[5]ATRUCK!$C$304:$V$304</definedName>
    <definedName name="TMLSU">[5]ATRUCK!$F$245:$V$245</definedName>
    <definedName name="TMPU">[5]ATRUCK!$F$235:$V$235</definedName>
    <definedName name="TNISSAN">[5]ATRUCK!$C$305:$V$305</definedName>
    <definedName name="TNLSU">[5]ATRUCK!$F$242:$V$242</definedName>
    <definedName name="TOLDSMOBILE">[5]ATRUCK!$C$274:$V$274</definedName>
    <definedName name="TORV">[5]ATRUCK!$F$248:$V$248</definedName>
    <definedName name="TOTAL_PERCENT_OF_CHEVY_TOTAL" localSheetId="0">#REF!</definedName>
    <definedName name="TOTAL_PERCENT_OF_CHEVY_TOTAL" localSheetId="5">#REF!</definedName>
    <definedName name="TOTAL_PERCENT_OF_CHEVY_TOTAL" localSheetId="4">#REF!</definedName>
    <definedName name="TOTAL_PERCENT_OF_CHEVY_TOTAL">#REF!</definedName>
    <definedName name="TOY013N">[5]ATRUCK!$F$147:$V$147</definedName>
    <definedName name="TOY038N">[5]ATRUCK!$F$147:$U$147</definedName>
    <definedName name="TOY4RUN">[5]ATRUCK!$F$123:$V$123</definedName>
    <definedName name="TOY4RUN4">[5]ATRUCK!$F$134:$V$134</definedName>
    <definedName name="TOY4RUNALL" localSheetId="0">#REF!</definedName>
    <definedName name="TOY4RUNALL" localSheetId="5">#REF!</definedName>
    <definedName name="TOY4RUNALL" localSheetId="4">#REF!</definedName>
    <definedName name="TOY4RUNALL">#REF!</definedName>
    <definedName name="TOYCAMRYALL" localSheetId="0">#REF!</definedName>
    <definedName name="TOYCAMRYALL" localSheetId="5">#REF!</definedName>
    <definedName name="TOYCAMRYALL" localSheetId="4">#REF!</definedName>
    <definedName name="TOYCAMRYALL">#REF!</definedName>
    <definedName name="TOYCELICAALL" localSheetId="0">#REF!</definedName>
    <definedName name="TOYCELICAALL" localSheetId="5">#REF!</definedName>
    <definedName name="TOYCELICAALL" localSheetId="4">#REF!</definedName>
    <definedName name="TOYCELICAALL">#REF!</definedName>
    <definedName name="TOYCOROLLAALL" localSheetId="0">#REF!</definedName>
    <definedName name="TOYCOROLLAALL" localSheetId="5">#REF!</definedName>
    <definedName name="TOYCOROLLAALL" localSheetId="4">#REF!</definedName>
    <definedName name="TOYCOROLLAALL">#REF!</definedName>
    <definedName name="TOYCRES_AVALALL" localSheetId="0">#REF!</definedName>
    <definedName name="TOYCRES_AVALALL" localSheetId="5">#REF!</definedName>
    <definedName name="TOYCRES_AVALALL" localSheetId="4">#REF!</definedName>
    <definedName name="TOYCRES_AVALALL">#REF!</definedName>
    <definedName name="TOYLAND">[5]ATRUCK!$F$164:$V$164</definedName>
    <definedName name="TOYLSUV">[5]ATRUCK!$F$202:$V$202</definedName>
    <definedName name="TOYO38N">[5]ATRUCK!$F$147:$U$147</definedName>
    <definedName name="Toyota_Car" localSheetId="0">#REF!</definedName>
    <definedName name="Toyota_Car" localSheetId="5">#REF!</definedName>
    <definedName name="Toyota_Car" localSheetId="4">#REF!</definedName>
    <definedName name="Toyota_Car">#REF!</definedName>
    <definedName name="ToyotaCarTotal" localSheetId="0">#REF!</definedName>
    <definedName name="ToyotaCarTotal" localSheetId="5">#REF!</definedName>
    <definedName name="ToyotaCarTotal" localSheetId="4">#REF!</definedName>
    <definedName name="ToyotaCarTotal">#REF!</definedName>
    <definedName name="TOYOTATOTAL" localSheetId="0">#REF!</definedName>
    <definedName name="TOYOTATOTAL" localSheetId="5">#REF!</definedName>
    <definedName name="TOYOTATOTAL" localSheetId="4">#REF!</definedName>
    <definedName name="TOYOTATOTAL">#REF!</definedName>
    <definedName name="ToyotaTruckTotal" localSheetId="0">#REF!</definedName>
    <definedName name="ToyotaTruckTotal" localSheetId="5">#REF!</definedName>
    <definedName name="ToyotaTruckTotal" localSheetId="4">#REF!</definedName>
    <definedName name="ToyotaTruckTotal">#REF!</definedName>
    <definedName name="TOYPASEOALL" localSheetId="0">#REF!</definedName>
    <definedName name="TOYPASEOALL" localSheetId="5">#REF!</definedName>
    <definedName name="TOYPASEOALL" localSheetId="4">#REF!</definedName>
    <definedName name="TOYPASEOALL">#REF!</definedName>
    <definedName name="TOYPREVIAP">[5]ATRUCK!$F$67:$V$67</definedName>
    <definedName name="TOYRAV4">[5]ATRUCK!$F$170:$V$170</definedName>
    <definedName name="TOYRAV44">[5]ATRUCK!$F$180:$V$180</definedName>
    <definedName name="TOYRAVA4ALL" localSheetId="0">#REF!</definedName>
    <definedName name="TOYRAVA4ALL" localSheetId="5">#REF!</definedName>
    <definedName name="TOYRAVA4ALL" localSheetId="4">#REF!</definedName>
    <definedName name="TOYRAVA4ALL">#REF!</definedName>
    <definedName name="TOYSIENP">[5]ATRUCK!$F$68:$V$68</definedName>
    <definedName name="TOYSOLARAALL" localSheetId="0">#REF!</definedName>
    <definedName name="TOYSOLARAALL" localSheetId="5">#REF!</definedName>
    <definedName name="TOYSOLARAALL" localSheetId="4">#REF!</definedName>
    <definedName name="TOYSOLARAALL">#REF!</definedName>
    <definedName name="TOYT100ALL" localSheetId="0">#REF!</definedName>
    <definedName name="TOYT100ALL" localSheetId="5">#REF!</definedName>
    <definedName name="TOYT100ALL" localSheetId="4">#REF!</definedName>
    <definedName name="TOYT100ALL">#REF!</definedName>
    <definedName name="TOYT100R">[5]ATRUCK!$F$153:$V$153</definedName>
    <definedName name="TOYT100X">[5]ATRUCK!$F$150:$V$150</definedName>
    <definedName name="TOYTACOALL" localSheetId="0">#REF!</definedName>
    <definedName name="TOYTACOALL" localSheetId="5">#REF!</definedName>
    <definedName name="TOYTACOALL" localSheetId="4">#REF!</definedName>
    <definedName name="TOYTACOALL">#REF!</definedName>
    <definedName name="TOYTACOR">[5]ATRUCK!$F$27:$V$27</definedName>
    <definedName name="TOYTACOX">[5]ATRUCK!$F$15:$V$15</definedName>
    <definedName name="TOYTERCELALL" localSheetId="0">#REF!</definedName>
    <definedName name="TOYTERCELALL" localSheetId="5">#REF!</definedName>
    <definedName name="TOYTERCELALL" localSheetId="4">#REF!</definedName>
    <definedName name="TOYTERCELALL">#REF!</definedName>
    <definedName name="Toytoa_Truck" localSheetId="0">#REF!</definedName>
    <definedName name="Toytoa_Truck" localSheetId="5">#REF!</definedName>
    <definedName name="Toytoa_Truck" localSheetId="4">#REF!</definedName>
    <definedName name="Toytoa_Truck">#REF!</definedName>
    <definedName name="TOYTUNDALL" localSheetId="0">#REF!</definedName>
    <definedName name="TOYTUNDALL" localSheetId="5">#REF!</definedName>
    <definedName name="TOYTUNDALL" localSheetId="4">#REF!</definedName>
    <definedName name="TOYTUNDALL">#REF!</definedName>
    <definedName name="TOYTUNDR">[5]ATRUCK!$F$90:$V$90</definedName>
    <definedName name="TOYTUNDX">[5]ATRUCK!$F$149:$V$149</definedName>
    <definedName name="TOYVANC">[5]ATRUCK!$F$43:$V$43</definedName>
    <definedName name="TOYVANPALL" localSheetId="0">#REF!</definedName>
    <definedName name="TOYVANPALL" localSheetId="5">#REF!</definedName>
    <definedName name="TOYVANPALL" localSheetId="4">#REF!</definedName>
    <definedName name="TOYVANPALL">#REF!</definedName>
    <definedName name="TPLYMOUTH">[5]ATRUCK!$C$287:$V$287</definedName>
    <definedName name="TPONTIAC">[5]ATRUCK!$C$275:$V$275</definedName>
    <definedName name="TPORSCHE">[5]ATRUCK!$C$316:$V$316</definedName>
    <definedName name="TPPS" localSheetId="0">#REF!</definedName>
    <definedName name="TPPS" localSheetId="5">#REF!</definedName>
    <definedName name="TPPS" localSheetId="4">#REF!</definedName>
    <definedName name="TPPS">#REF!</definedName>
    <definedName name="TPPSR" localSheetId="0">#REF!</definedName>
    <definedName name="TPPSR" localSheetId="5">#REF!</definedName>
    <definedName name="TPPSR" localSheetId="4">#REF!</definedName>
    <definedName name="TPPSR">#REF!</definedName>
    <definedName name="TPUTOT">[5]ATRUCK!$F$238:$V$238</definedName>
    <definedName name="TSAAB">[5]ATRUCK!$C$317:$V$317</definedName>
    <definedName name="TSATURN">[5]ATRUCK!$C$276:$V$276</definedName>
    <definedName name="TSHSU">[5]ATRUCK!$F$246:$V$246</definedName>
    <definedName name="TSL2SU" localSheetId="0">[5]ATRUCK!#REF!</definedName>
    <definedName name="TSL2SU" localSheetId="5">[5]ATRUCK!#REF!</definedName>
    <definedName name="TSL2SU" localSheetId="4">[5]ATRUCK!#REF!</definedName>
    <definedName name="TSL2SU">[5]ATRUCK!#REF!</definedName>
    <definedName name="TSL4SU" localSheetId="0">[5]ATRUCK!#REF!</definedName>
    <definedName name="TSL4SU" localSheetId="5">[5]ATRUCK!#REF!</definedName>
    <definedName name="TSL4SU" localSheetId="4">[5]ATRUCK!#REF!</definedName>
    <definedName name="TSL4SU">[5]ATRUCK!#REF!</definedName>
    <definedName name="TSLSU">[5]ATRUCK!$F$247:$V$247</definedName>
    <definedName name="TSLSUTOTAL" localSheetId="0">[5]ATRUCK!#REF!</definedName>
    <definedName name="TSLSUTOTAL" localSheetId="5">[5]ATRUCK!#REF!</definedName>
    <definedName name="TSLSUTOTAL" localSheetId="4">[5]ATRUCK!#REF!</definedName>
    <definedName name="TSLSUTOTAL">[5]ATRUCK!#REF!</definedName>
    <definedName name="TSUBARU">[5]ATRUCK!$C$306:$V$306</definedName>
    <definedName name="TSUTOT">[5]ATRUCK!$F$250:$V$250</definedName>
    <definedName name="TSUZUKI">[5]ATRUCK!$C$307:$V$307</definedName>
    <definedName name="TTCCV">[5]ATRUCK!$C$258:$V$258</definedName>
    <definedName name="TTCPU">[5]ATRUCK!$C$236:$V$236</definedName>
    <definedName name="TTCPV">[5]ATRUCK!$C$259:$V$259</definedName>
    <definedName name="TTCVTOT">[5]ATRUCK!$C$261:$V$261</definedName>
    <definedName name="TTFSCV">[5]ATRUCK!$C$253:$V$253</definedName>
    <definedName name="TTFSPU">[5]ATRUCK!$C$234:$V$234</definedName>
    <definedName name="TTFSPV">[5]ATRUCK!$C$254:$V$254</definedName>
    <definedName name="TTFSVTOT">[5]ATRUCK!$C$256:$V$256</definedName>
    <definedName name="TTLSU">[5]ATRUCK!$F$243:$V$243</definedName>
    <definedName name="TTMHSU">[5]ATRUCK!$C$244:$V$244</definedName>
    <definedName name="TTMLSU">[5]ATRUCK!$C$245:$V$245</definedName>
    <definedName name="TTMPU">[5]ATRUCK!$C$235:$V$235</definedName>
    <definedName name="TTNLSU">[5]ATRUCK!$C$242:$V$242</definedName>
    <definedName name="TTORV">[5]ATRUCK!$C$248:$V$248</definedName>
    <definedName name="TTOTAL">[5]ATRUCK!$F$265:$V$265</definedName>
    <definedName name="TTOYOTA">[5]ATRUCK!$C$308:$V$308</definedName>
    <definedName name="TTPUTOT">[5]ATRUCK!$C$238:$V$238</definedName>
    <definedName name="TTSHSU">[5]ATRUCK!$C$246:$V$246</definedName>
    <definedName name="TTSLSU">[5]ATRUCK!$C$247:$V$247</definedName>
    <definedName name="TTSUTOT">[5]ATRUCK!$C$250:$V$250</definedName>
    <definedName name="TTTLSU">[5]ATRUCK!$C$241:$V$241</definedName>
    <definedName name="TTTOTAL">[5]ATRUCK!$C$265:$V$265</definedName>
    <definedName name="TTTTLSU">[5]ATRUCK!$C$243:$V$243</definedName>
    <definedName name="TTVTOT">[5]ATRUCK!$C$263:$V$263</definedName>
    <definedName name="TVOLKSWAGEN">[5]ATRUCK!$C$318:$V$318</definedName>
    <definedName name="TVOLVO">[5]ATRUCK!$C$319:$V$319</definedName>
    <definedName name="TVSS" localSheetId="0">#REF!</definedName>
    <definedName name="TVSS" localSheetId="5">#REF!</definedName>
    <definedName name="TVSS" localSheetId="4">#REF!</definedName>
    <definedName name="TVSS">#REF!</definedName>
    <definedName name="TVSSR" localSheetId="0">#REF!</definedName>
    <definedName name="TVSSR" localSheetId="5">#REF!</definedName>
    <definedName name="TVSSR" localSheetId="4">#REF!</definedName>
    <definedName name="TVSSR">#REF!</definedName>
    <definedName name="TVTOT">[5]ATRUCK!$F$263:$V$263</definedName>
    <definedName name="TVW">[5]ATRUCK!$C$318:$V$318</definedName>
    <definedName name="TYECHOONLY" localSheetId="0">#REF!</definedName>
    <definedName name="TYECHOONLY" localSheetId="5">#REF!</definedName>
    <definedName name="TYECHOONLY" localSheetId="4">#REF!</definedName>
    <definedName name="TYECHOONLY">#REF!</definedName>
    <definedName name="TYPRIUS" localSheetId="0">[4]ACARS!#REF!</definedName>
    <definedName name="TYPRIUS" localSheetId="5">[4]ACARS!#REF!</definedName>
    <definedName name="TYPRIUS" localSheetId="4">[4]ACARS!#REF!</definedName>
    <definedName name="TYPRIUS">[4]ACARS!#REF!</definedName>
    <definedName name="TYTERCELONLY" localSheetId="0">#REF!</definedName>
    <definedName name="TYTERCELONLY" localSheetId="5">#REF!</definedName>
    <definedName name="TYTERCELONLY" localSheetId="4">#REF!</definedName>
    <definedName name="TYTERCELONLY">#REF!</definedName>
    <definedName name="usd" localSheetId="0">#REF!</definedName>
    <definedName name="usd" localSheetId="5">#REF!</definedName>
    <definedName name="usd" localSheetId="4">#REF!</definedName>
    <definedName name="usd">#REF!</definedName>
    <definedName name="value" localSheetId="0">#REF!</definedName>
    <definedName name="value" localSheetId="5">#REF!</definedName>
    <definedName name="value" localSheetId="4">#REF!</definedName>
    <definedName name="value">#REF!</definedName>
    <definedName name="VANS" localSheetId="0">[5]ATRUCK!#REF!</definedName>
    <definedName name="VANS" localSheetId="5">[5]ATRUCK!#REF!</definedName>
    <definedName name="VANS" localSheetId="4">[5]ATRUCK!#REF!</definedName>
    <definedName name="VANS">[5]ATRUCK!#REF!</definedName>
    <definedName name="VANTOTAL" localSheetId="0">[5]ATRUCK!#REF!</definedName>
    <definedName name="VANTOTAL" localSheetId="5">[5]ATRUCK!#REF!</definedName>
    <definedName name="VANTOTAL" localSheetId="4">[5]ATRUCK!#REF!</definedName>
    <definedName name="VANTOTAL">[5]ATRUCK!#REF!</definedName>
    <definedName name="VIEW_1" localSheetId="5">#REF!</definedName>
    <definedName name="VIEW_1" localSheetId="4">#REF!</definedName>
    <definedName name="VIEW_1">#REF!</definedName>
    <definedName name="VMACCL" localSheetId="0">#REF!</definedName>
    <definedName name="VMACCL" localSheetId="5">#REF!</definedName>
    <definedName name="VMACCL" localSheetId="4">#REF!</definedName>
    <definedName name="VMACCL">#REF!</definedName>
    <definedName name="VMACINTEG_18AALL" localSheetId="0">#REF!</definedName>
    <definedName name="VMACINTEG_18AALL" localSheetId="5">#REF!</definedName>
    <definedName name="VMACINTEG_18AALL" localSheetId="4">#REF!</definedName>
    <definedName name="VMACINTEG_18AALL">#REF!</definedName>
    <definedName name="VMACNSX" localSheetId="0">#REF!</definedName>
    <definedName name="VMACNSX" localSheetId="5">#REF!</definedName>
    <definedName name="VMACNSX" localSheetId="4">#REF!</definedName>
    <definedName name="VMACNSX">#REF!</definedName>
    <definedName name="VMACRS" localSheetId="0">#REF!</definedName>
    <definedName name="VMACRS" localSheetId="5">#REF!</definedName>
    <definedName name="VMACRS" localSheetId="4">#REF!</definedName>
    <definedName name="VMACRS">#REF!</definedName>
    <definedName name="VMACSLX" localSheetId="0">#REF!</definedName>
    <definedName name="VMACSLX" localSheetId="5">#REF!</definedName>
    <definedName name="VMACSLX" localSheetId="4">#REF!</definedName>
    <definedName name="VMACSLX">#REF!</definedName>
    <definedName name="VMACURALEGALL" localSheetId="0">#REF!</definedName>
    <definedName name="VMACURALEGALL" localSheetId="5">#REF!</definedName>
    <definedName name="VMACURALEGALL" localSheetId="4">#REF!</definedName>
    <definedName name="VMACURALEGALL">#REF!</definedName>
    <definedName name="VMACURATLALL" localSheetId="0">#REF!</definedName>
    <definedName name="VMACURATLALL" localSheetId="5">#REF!</definedName>
    <definedName name="VMACURATLALL" localSheetId="4">#REF!</definedName>
    <definedName name="VMACURATLALL">#REF!</definedName>
    <definedName name="VMAUDI6ALL" localSheetId="0">#REF!</definedName>
    <definedName name="VMAUDI6ALL" localSheetId="5">#REF!</definedName>
    <definedName name="VMAUDI6ALL" localSheetId="4">#REF!</definedName>
    <definedName name="VMAUDI6ALL">#REF!</definedName>
    <definedName name="VMAUDIA4ALL" localSheetId="0">#REF!</definedName>
    <definedName name="VMAUDIA4ALL" localSheetId="5">#REF!</definedName>
    <definedName name="VMAUDIA4ALL" localSheetId="4">#REF!</definedName>
    <definedName name="VMAUDIA4ALL">#REF!</definedName>
    <definedName name="VMAUDIA8" localSheetId="0">#REF!</definedName>
    <definedName name="VMAUDIA8" localSheetId="5">#REF!</definedName>
    <definedName name="VMAUDIA8" localSheetId="4">#REF!</definedName>
    <definedName name="VMAUDIA8">#REF!</definedName>
    <definedName name="VMAUDIO200ALL" localSheetId="0">#REF!</definedName>
    <definedName name="VMAUDIO200ALL" localSheetId="5">#REF!</definedName>
    <definedName name="VMAUDIO200ALL" localSheetId="4">#REF!</definedName>
    <definedName name="VMAUDIO200ALL">#REF!</definedName>
    <definedName name="VMAUDIQUAT" localSheetId="0">#REF!</definedName>
    <definedName name="VMAUDIQUAT" localSheetId="5">#REF!</definedName>
    <definedName name="VMAUDIQUAT" localSheetId="4">#REF!</definedName>
    <definedName name="VMAUDIQUAT">#REF!</definedName>
    <definedName name="VMAUDITTSALL" localSheetId="0">#REF!</definedName>
    <definedName name="VMAUDITTSALL" localSheetId="5">#REF!</definedName>
    <definedName name="VMAUDITTSALL" localSheetId="4">#REF!</definedName>
    <definedName name="VMAUDITTSALL">#REF!</definedName>
    <definedName name="VMBKRIV" localSheetId="0">#REF!</definedName>
    <definedName name="VMBKRIV" localSheetId="5">#REF!</definedName>
    <definedName name="VMBKRIV" localSheetId="4">#REF!</definedName>
    <definedName name="VMBKRIV">#REF!</definedName>
    <definedName name="VMBKSUV" localSheetId="0">#REF!</definedName>
    <definedName name="VMBKSUV" localSheetId="5">#REF!</definedName>
    <definedName name="VMBKSUV" localSheetId="4">#REF!</definedName>
    <definedName name="VMBKSUV">#REF!</definedName>
    <definedName name="VMBMW_M3" localSheetId="0">#REF!</definedName>
    <definedName name="VMBMW_M3" localSheetId="5">#REF!</definedName>
    <definedName name="VMBMW_M3" localSheetId="4">#REF!</definedName>
    <definedName name="VMBMW_M3">#REF!</definedName>
    <definedName name="VMBMW2002" localSheetId="0">#REF!</definedName>
    <definedName name="VMBMW2002" localSheetId="5">#REF!</definedName>
    <definedName name="VMBMW2002" localSheetId="4">#REF!</definedName>
    <definedName name="VMBMW2002">#REF!</definedName>
    <definedName name="VMBMW3ALL" localSheetId="0">#REF!</definedName>
    <definedName name="VMBMW3ALL" localSheetId="5">#REF!</definedName>
    <definedName name="VMBMW3ALL" localSheetId="4">#REF!</definedName>
    <definedName name="VMBMW3ALL">#REF!</definedName>
    <definedName name="VMBMW5ALL" localSheetId="0">#REF!</definedName>
    <definedName name="VMBMW5ALL" localSheetId="5">#REF!</definedName>
    <definedName name="VMBMW5ALL" localSheetId="4">#REF!</definedName>
    <definedName name="VMBMW5ALL">#REF!</definedName>
    <definedName name="VMBMW7ALL" localSheetId="0">#REF!</definedName>
    <definedName name="VMBMW7ALL" localSheetId="5">#REF!</definedName>
    <definedName name="VMBMW7ALL" localSheetId="4">#REF!</definedName>
    <definedName name="VMBMW7ALL">#REF!</definedName>
    <definedName name="VMBMW8" localSheetId="0">#REF!</definedName>
    <definedName name="VMBMW8" localSheetId="5">#REF!</definedName>
    <definedName name="VMBMW8" localSheetId="4">#REF!</definedName>
    <definedName name="VMBMW8">#REF!</definedName>
    <definedName name="VMBMWE63ALL" localSheetId="0">#REF!</definedName>
    <definedName name="VMBMWE63ALL" localSheetId="5">#REF!</definedName>
    <definedName name="VMBMWE63ALL" localSheetId="4">#REF!</definedName>
    <definedName name="VMBMWE63ALL">#REF!</definedName>
    <definedName name="VMBMWEMV" localSheetId="0">#REF!</definedName>
    <definedName name="VMBMWEMV" localSheetId="5">#REF!</definedName>
    <definedName name="VMBMWEMV" localSheetId="4">#REF!</definedName>
    <definedName name="VMBMWEMV">#REF!</definedName>
    <definedName name="VMBMWZ3ALL" localSheetId="0">#REF!</definedName>
    <definedName name="VMBMWZ3ALL" localSheetId="5">#REF!</definedName>
    <definedName name="VMBMWZ3ALL" localSheetId="4">#REF!</definedName>
    <definedName name="VMBMWZ3ALL">#REF!</definedName>
    <definedName name="VMBMWZ7ALL" localSheetId="0">#REF!</definedName>
    <definedName name="VMBMWZ7ALL" localSheetId="5">#REF!</definedName>
    <definedName name="VMBMWZ7ALL" localSheetId="4">#REF!</definedName>
    <definedName name="VMBMWZ7ALL">#REF!</definedName>
    <definedName name="VMBUICKCENTALL" localSheetId="0">#REF!</definedName>
    <definedName name="VMBUICKCENTALL" localSheetId="5">#REF!</definedName>
    <definedName name="VMBUICKCENTALL" localSheetId="4">#REF!</definedName>
    <definedName name="VMBUICKCENTALL">#REF!</definedName>
    <definedName name="VMBUICKHAWKALL" localSheetId="0">#REF!</definedName>
    <definedName name="VMBUICKHAWKALL" localSheetId="5">#REF!</definedName>
    <definedName name="VMBUICKHAWKALL" localSheetId="4">#REF!</definedName>
    <definedName name="VMBUICKHAWKALL">#REF!</definedName>
    <definedName name="VMBUICKLESALL" localSheetId="0">#REF!</definedName>
    <definedName name="VMBUICKLESALL" localSheetId="5">#REF!</definedName>
    <definedName name="VMBUICKLESALL" localSheetId="4">#REF!</definedName>
    <definedName name="VMBUICKLESALL">#REF!</definedName>
    <definedName name="VMBUICKPARKALL" localSheetId="0">#REF!</definedName>
    <definedName name="VMBUICKPARKALL" localSheetId="5">#REF!</definedName>
    <definedName name="VMBUICKPARKALL" localSheetId="4">#REF!</definedName>
    <definedName name="VMBUICKPARKALL">#REF!</definedName>
    <definedName name="VMBUICKREATTAALL" localSheetId="0">#REF!</definedName>
    <definedName name="VMBUICKREATTAALL" localSheetId="5">#REF!</definedName>
    <definedName name="VMBUICKREATTAALL" localSheetId="4">#REF!</definedName>
    <definedName name="VMBUICKREATTAALL">#REF!</definedName>
    <definedName name="VMBUICKREGALALL" localSheetId="0">#REF!</definedName>
    <definedName name="VMBUICKREGALALL" localSheetId="5">#REF!</definedName>
    <definedName name="VMBUICKREGALALL" localSheetId="4">#REF!</definedName>
    <definedName name="VMBUICKREGALALL">#REF!</definedName>
    <definedName name="VMBUICKROADALL" localSheetId="0">#REF!</definedName>
    <definedName name="VMBUICKROADALL" localSheetId="5">#REF!</definedName>
    <definedName name="VMBUICKROADALL" localSheetId="4">#REF!</definedName>
    <definedName name="VMBUICKROADALL">#REF!</definedName>
    <definedName name="VMBUICKSKYLARKALL" localSheetId="0">#REF!</definedName>
    <definedName name="VMBUICKSKYLARKALL" localSheetId="5">#REF!</definedName>
    <definedName name="VMBUICKSKYLARKALL" localSheetId="4">#REF!</definedName>
    <definedName name="VMBUICKSKYLARKALL">#REF!</definedName>
    <definedName name="VMCADALL" localSheetId="0">#REF!</definedName>
    <definedName name="VMCADALL" localSheetId="5">#REF!</definedName>
    <definedName name="VMCADALL" localSheetId="4">#REF!</definedName>
    <definedName name="VMCADALL">#REF!</definedName>
    <definedName name="VMCADCAT" localSheetId="0">#REF!</definedName>
    <definedName name="VMCADCAT" localSheetId="5">#REF!</definedName>
    <definedName name="VMCADCAT" localSheetId="4">#REF!</definedName>
    <definedName name="VMCADCAT">#REF!</definedName>
    <definedName name="VMCADDILACDEVILLEALL" localSheetId="0">#REF!</definedName>
    <definedName name="VMCADDILACDEVILLEALL" localSheetId="5">#REF!</definedName>
    <definedName name="VMCADDILACDEVILLEALL" localSheetId="4">#REF!</definedName>
    <definedName name="VMCADDILACDEVILLEALL">#REF!</definedName>
    <definedName name="VMCADELDORADOALL" localSheetId="0">#REF!</definedName>
    <definedName name="VMCADELDORADOALL" localSheetId="5">#REF!</definedName>
    <definedName name="VMCADELDORADOALL" localSheetId="4">#REF!</definedName>
    <definedName name="VMCADELDORADOALL">#REF!</definedName>
    <definedName name="VMCADESCL" localSheetId="0">#REF!</definedName>
    <definedName name="VMCADESCL" localSheetId="5">#REF!</definedName>
    <definedName name="VMCADESCL" localSheetId="4">#REF!</definedName>
    <definedName name="VMCADESCL">#REF!</definedName>
    <definedName name="VMCADEVOQ" localSheetId="0">#REF!</definedName>
    <definedName name="VMCADEVOQ" localSheetId="5">#REF!</definedName>
    <definedName name="VMCADEVOQ" localSheetId="4">#REF!</definedName>
    <definedName name="VMCADEVOQ">#REF!</definedName>
    <definedName name="VMCADFLTWD" localSheetId="0">#REF!</definedName>
    <definedName name="VMCADFLTWD" localSheetId="5">#REF!</definedName>
    <definedName name="VMCADFLTWD" localSheetId="4">#REF!</definedName>
    <definedName name="VMCADFLTWD">#REF!</definedName>
    <definedName name="VMCADLAV" localSheetId="0">#REF!</definedName>
    <definedName name="VMCADLAV" localSheetId="5">#REF!</definedName>
    <definedName name="VMCADLAV" localSheetId="4">#REF!</definedName>
    <definedName name="VMCADLAV">#REF!</definedName>
    <definedName name="VMCADPU" localSheetId="0">#REF!</definedName>
    <definedName name="VMCADPU" localSheetId="5">#REF!</definedName>
    <definedName name="VMCADPU" localSheetId="4">#REF!</definedName>
    <definedName name="VMCADPU">#REF!</definedName>
    <definedName name="VMCADSEV" localSheetId="0">#REF!</definedName>
    <definedName name="VMCADSEV" localSheetId="5">#REF!</definedName>
    <definedName name="VMCADSEV" localSheetId="4">#REF!</definedName>
    <definedName name="VMCADSEV">#REF!</definedName>
    <definedName name="VMCHAVA" localSheetId="0">#REF!</definedName>
    <definedName name="VMCHAVA" localSheetId="5">#REF!</definedName>
    <definedName name="VMCHAVA" localSheetId="4">#REF!</definedName>
    <definedName name="VMCHAVA">#REF!</definedName>
    <definedName name="VMCHBLAZ4" localSheetId="0">#REF!</definedName>
    <definedName name="VMCHBLAZ4" localSheetId="5">#REF!</definedName>
    <definedName name="VMCHBLAZ4" localSheetId="4">#REF!</definedName>
    <definedName name="VMCHBLAZ4">#REF!</definedName>
    <definedName name="VMCHCAMAROALL" localSheetId="0">#REF!</definedName>
    <definedName name="VMCHCAMAROALL" localSheetId="5">#REF!</definedName>
    <definedName name="VMCHCAMAROALL" localSheetId="4">#REF!</definedName>
    <definedName name="VMCHCAMAROALL">#REF!</definedName>
    <definedName name="VMCHCAPRICALL" localSheetId="0">#REF!</definedName>
    <definedName name="VMCHCAPRICALL" localSheetId="5">#REF!</definedName>
    <definedName name="VMCHCAPRICALL" localSheetId="4">#REF!</definedName>
    <definedName name="VMCHCAPRICALL">#REF!</definedName>
    <definedName name="VMCHCAVALIERALL" localSheetId="0">#REF!</definedName>
    <definedName name="VMCHCAVALIERALL" localSheetId="5">#REF!</definedName>
    <definedName name="VMCHCAVALIERALL" localSheetId="4">#REF!</definedName>
    <definedName name="VMCHCAVALIERALL">#REF!</definedName>
    <definedName name="VMCHCELEBALL" localSheetId="0">#REF!</definedName>
    <definedName name="VMCHCELEBALL" localSheetId="5">#REF!</definedName>
    <definedName name="VMCHCELEBALL" localSheetId="4">#REF!</definedName>
    <definedName name="VMCHCELEBALL">#REF!</definedName>
    <definedName name="VMCHCORS_MALIBUALL" localSheetId="0">#REF!</definedName>
    <definedName name="VMCHCORS_MALIBUALL" localSheetId="5">#REF!</definedName>
    <definedName name="VMCHCORS_MALIBUALL" localSheetId="4">#REF!</definedName>
    <definedName name="VMCHCORS_MALIBUALL">#REF!</definedName>
    <definedName name="VMCHCORVETTEALL" localSheetId="0">#REF!</definedName>
    <definedName name="VMCHCORVETTEALL" localSheetId="5">#REF!</definedName>
    <definedName name="VMCHCORVETTEALL" localSheetId="4">#REF!</definedName>
    <definedName name="VMCHCORVETTEALL">#REF!</definedName>
    <definedName name="VMCHEVASTROALL" localSheetId="0">#REF!</definedName>
    <definedName name="VMCHEVASTROALL" localSheetId="5">#REF!</definedName>
    <definedName name="VMCHEVASTROALL" localSheetId="4">#REF!</definedName>
    <definedName name="VMCHEVASTROALL">#REF!</definedName>
    <definedName name="VMCHEVBLAZERALL" localSheetId="0">#REF!</definedName>
    <definedName name="VMCHEVBLAZERALL" localSheetId="5">#REF!</definedName>
    <definedName name="VMCHEVBLAZERALL" localSheetId="4">#REF!</definedName>
    <definedName name="VMCHEVBLAZERALL">#REF!</definedName>
    <definedName name="VMCHEVCK" localSheetId="0">#REF!</definedName>
    <definedName name="VMCHEVCK" localSheetId="5">#REF!</definedName>
    <definedName name="VMCHEVCK" localSheetId="4">#REF!</definedName>
    <definedName name="VMCHEVCK">#REF!</definedName>
    <definedName name="VMCHEVCKALL" localSheetId="0">#REF!</definedName>
    <definedName name="VMCHEVCKALL" localSheetId="5">#REF!</definedName>
    <definedName name="VMCHEVCKALL" localSheetId="4">#REF!</definedName>
    <definedName name="VMCHEVCKALL">#REF!</definedName>
    <definedName name="VMCHEVEXPALL" localSheetId="0">#REF!</definedName>
    <definedName name="VMCHEVEXPALL" localSheetId="5">#REF!</definedName>
    <definedName name="VMCHEVEXPALL" localSheetId="4">#REF!</definedName>
    <definedName name="VMCHEVEXPALL">#REF!</definedName>
    <definedName name="VMCHEVLUMCARALL" localSheetId="0">#REF!</definedName>
    <definedName name="VMCHEVLUMCARALL" localSheetId="5">#REF!</definedName>
    <definedName name="VMCHEVLUMCARALL" localSheetId="4">#REF!</definedName>
    <definedName name="VMCHEVLUMCARALL">#REF!</definedName>
    <definedName name="VMCHEVLUMINAALL" localSheetId="0">#REF!</definedName>
    <definedName name="VMCHEVLUMINAALL" localSheetId="5">#REF!</definedName>
    <definedName name="VMCHEVLUMINAALL" localSheetId="4">#REF!</definedName>
    <definedName name="VMCHEVLUMINAALL">#REF!</definedName>
    <definedName name="VMCHEVPRIZMALL" localSheetId="0">#REF!</definedName>
    <definedName name="VMCHEVPRIZMALL" localSheetId="5">#REF!</definedName>
    <definedName name="VMCHEVPRIZMALL" localSheetId="4">#REF!</definedName>
    <definedName name="VMCHEVPRIZMALL">#REF!</definedName>
    <definedName name="VMCHEVS10ALL" localSheetId="0">#REF!</definedName>
    <definedName name="VMCHEVS10ALL" localSheetId="5">#REF!</definedName>
    <definedName name="VMCHEVS10ALL" localSheetId="4">#REF!</definedName>
    <definedName name="VMCHEVS10ALL">#REF!</definedName>
    <definedName name="VMCHEVSUBURBAN" localSheetId="0">#REF!</definedName>
    <definedName name="VMCHEVSUBURBAN" localSheetId="5">#REF!</definedName>
    <definedName name="VMCHEVSUBURBAN" localSheetId="4">#REF!</definedName>
    <definedName name="VMCHEVSUBURBAN">#REF!</definedName>
    <definedName name="VMCHEVTAHOEALL" localSheetId="0">#REF!</definedName>
    <definedName name="VMCHEVTAHOEALL" localSheetId="5">#REF!</definedName>
    <definedName name="VMCHEVTAHOEALL" localSheetId="4">#REF!</definedName>
    <definedName name="VMCHEVTAHOEALL">#REF!</definedName>
    <definedName name="VMCHEVTRACKERALL" localSheetId="0">#REF!</definedName>
    <definedName name="VMCHEVTRACKERALL" localSheetId="5">#REF!</definedName>
    <definedName name="VMCHEVTRACKERALL" localSheetId="4">#REF!</definedName>
    <definedName name="VMCHEVTRACKERALL">#REF!</definedName>
    <definedName name="VMCHMETROALL" localSheetId="0">#REF!</definedName>
    <definedName name="VMCHMETROALL" localSheetId="5">#REF!</definedName>
    <definedName name="VMCHMETROALL" localSheetId="4">#REF!</definedName>
    <definedName name="VMCHMETROALL">#REF!</definedName>
    <definedName name="VMCHR300LHS" localSheetId="0">#REF!</definedName>
    <definedName name="VMCHR300LHS" localSheetId="5">#REF!</definedName>
    <definedName name="VMCHR300LHS" localSheetId="4">#REF!</definedName>
    <definedName name="VMCHR300LHS">#REF!</definedName>
    <definedName name="VMCHRCON" localSheetId="0">#REF!</definedName>
    <definedName name="VMCHRCON" localSheetId="5">#REF!</definedName>
    <definedName name="VMCHRCON" localSheetId="4">#REF!</definedName>
    <definedName name="VMCHRCON">#REF!</definedName>
    <definedName name="VMCHRCONQCP" localSheetId="0">#REF!</definedName>
    <definedName name="VMCHRCONQCP" localSheetId="5">#REF!</definedName>
    <definedName name="VMCHRCONQCP" localSheetId="4">#REF!</definedName>
    <definedName name="VMCHRCONQCP">#REF!</definedName>
    <definedName name="VMCHRIMP" localSheetId="0">#REF!</definedName>
    <definedName name="VMCHRIMP" localSheetId="5">#REF!</definedName>
    <definedName name="VMCHRIMP" localSheetId="4">#REF!</definedName>
    <definedName name="VMCHRIMP">#REF!</definedName>
    <definedName name="VMCHRNY" localSheetId="0">#REF!</definedName>
    <definedName name="VMCHRNY" localSheetId="5">#REF!</definedName>
    <definedName name="VMCHRNY" localSheetId="4">#REF!</definedName>
    <definedName name="VMCHRNY">#REF!</definedName>
    <definedName name="VMCHRNYLHSALL" localSheetId="0">#REF!</definedName>
    <definedName name="VMCHRNYLHSALL" localSheetId="5">#REF!</definedName>
    <definedName name="VMCHRNYLHSALL" localSheetId="4">#REF!</definedName>
    <definedName name="VMCHRNYLHSALL">#REF!</definedName>
    <definedName name="VMCHRSEB" localSheetId="0">#REF!</definedName>
    <definedName name="VMCHRSEB" localSheetId="5">#REF!</definedName>
    <definedName name="VMCHRSEB" localSheetId="4">#REF!</definedName>
    <definedName name="VMCHRSEB">#REF!</definedName>
    <definedName name="VMCHRTC" localSheetId="0">#REF!</definedName>
    <definedName name="VMCHRTC" localSheetId="5">#REF!</definedName>
    <definedName name="VMCHRTC" localSheetId="4">#REF!</definedName>
    <definedName name="VMCHRTC">#REF!</definedName>
    <definedName name="VMCHRYSEB_JXALL" localSheetId="0">#REF!</definedName>
    <definedName name="VMCHRYSEB_JXALL" localSheetId="5">#REF!</definedName>
    <definedName name="VMCHRYSEB_JXALL" localSheetId="4">#REF!</definedName>
    <definedName name="VMCHRYSEB_JXALL">#REF!</definedName>
    <definedName name="VMCHRYSLEBA_CIRRALL" localSheetId="0">#REF!</definedName>
    <definedName name="VMCHRYSLEBA_CIRRALL" localSheetId="5">#REF!</definedName>
    <definedName name="VMCHRYSLEBA_CIRRALL" localSheetId="4">#REF!</definedName>
    <definedName name="VMCHRYSLEBA_CIRRALL">#REF!</definedName>
    <definedName name="VMCHVMONTEALL" localSheetId="0">#REF!</definedName>
    <definedName name="VMCHVMONTEALL" localSheetId="5">#REF!</definedName>
    <definedName name="VMCHVMONTEALL" localSheetId="4">#REF!</definedName>
    <definedName name="VMCHVMONTEALL">#REF!</definedName>
    <definedName name="VMCHVSPECTRUMALL" localSheetId="0">#REF!</definedName>
    <definedName name="VMCHVSPECTRUMALL" localSheetId="5">#REF!</definedName>
    <definedName name="VMCHVSPECTRUMALL" localSheetId="4">#REF!</definedName>
    <definedName name="VMCHVSPECTRUMALL">#REF!</definedName>
    <definedName name="VMCHVSTORMALL" localSheetId="0">#REF!</definedName>
    <definedName name="VMCHVSTORMALL" localSheetId="5">#REF!</definedName>
    <definedName name="VMCHVSTORMALL" localSheetId="4">#REF!</definedName>
    <definedName name="VMCHVSTORMALL">#REF!</definedName>
    <definedName name="VMCRYPT" localSheetId="0">#REF!</definedName>
    <definedName name="VMCRYPT" localSheetId="5">#REF!</definedName>
    <definedName name="VMCRYPT" localSheetId="4">#REF!</definedName>
    <definedName name="VMCRYPT">#REF!</definedName>
    <definedName name="VMCRYTC" localSheetId="0">#REF!</definedName>
    <definedName name="VMCRYTC" localSheetId="5">#REF!</definedName>
    <definedName name="VMCRYTC" localSheetId="4">#REF!</definedName>
    <definedName name="VMCRYTC">#REF!</definedName>
    <definedName name="VMCRYVOY" localSheetId="0">#REF!</definedName>
    <definedName name="VMCRYVOY" localSheetId="5">#REF!</definedName>
    <definedName name="VMCRYVOY" localSheetId="4">#REF!</definedName>
    <definedName name="VMCRYVOY">#REF!</definedName>
    <definedName name="VMCVBERETT" localSheetId="0">#REF!</definedName>
    <definedName name="VMCVBERETT" localSheetId="5">#REF!</definedName>
    <definedName name="VMCVBERETT" localSheetId="4">#REF!</definedName>
    <definedName name="VMCVBERETT">#REF!</definedName>
    <definedName name="VMCVSILVER" localSheetId="0">#REF!</definedName>
    <definedName name="VMCVSILVER" localSheetId="5">#REF!</definedName>
    <definedName name="VMCVSILVER" localSheetId="4">#REF!</definedName>
    <definedName name="VMCVSILVER">#REF!</definedName>
    <definedName name="VMDAELANOSALL" localSheetId="0">#REF!</definedName>
    <definedName name="VMDAELANOSALL" localSheetId="5">#REF!</definedName>
    <definedName name="VMDAELANOSALL" localSheetId="4">#REF!</definedName>
    <definedName name="VMDAELANOSALL">#REF!</definedName>
    <definedName name="VMDAICHARADEALL" localSheetId="0">#REF!</definedName>
    <definedName name="VMDAICHARADEALL" localSheetId="5">#REF!</definedName>
    <definedName name="VMDAICHARADEALL" localSheetId="4">#REF!</definedName>
    <definedName name="VMDAICHARADEALL">#REF!</definedName>
    <definedName name="VMDAIROCKY" localSheetId="0">#REF!</definedName>
    <definedName name="VMDAIROCKY" localSheetId="5">#REF!</definedName>
    <definedName name="VMDAIROCKY" localSheetId="4">#REF!</definedName>
    <definedName name="VMDAIROCKY">#REF!</definedName>
    <definedName name="VMDDG50ALL" localSheetId="0">#REF!</definedName>
    <definedName name="VMDDG50ALL" localSheetId="5">#REF!</definedName>
    <definedName name="VMDDG50ALL" localSheetId="4">#REF!</definedName>
    <definedName name="VMDDG50ALL">#REF!</definedName>
    <definedName name="VMDDGCARAVANALL" localSheetId="0">#REF!</definedName>
    <definedName name="VMDDGCARAVANALL" localSheetId="5">#REF!</definedName>
    <definedName name="VMDDGCARAVANALL" localSheetId="4">#REF!</definedName>
    <definedName name="VMDDGCARAVANALL">#REF!</definedName>
    <definedName name="VMDDGDAKOTAALL" localSheetId="0">#REF!</definedName>
    <definedName name="VMDDGDAKOTAALL" localSheetId="5">#REF!</definedName>
    <definedName name="VMDDGDAKOTAALL" localSheetId="4">#REF!</definedName>
    <definedName name="VMDDGDAKOTAALL">#REF!</definedName>
    <definedName name="VMDDGDURANGO" localSheetId="0">#REF!</definedName>
    <definedName name="VMDDGDURANGO" localSheetId="5">#REF!</definedName>
    <definedName name="VMDDGDURANGO" localSheetId="4">#REF!</definedName>
    <definedName name="VMDDGDURANGO">#REF!</definedName>
    <definedName name="VMDDGRAIDERALL" localSheetId="0">#REF!</definedName>
    <definedName name="VMDDGRAIDERALL" localSheetId="5">#REF!</definedName>
    <definedName name="VMDDGRAIDERALL" localSheetId="4">#REF!</definedName>
    <definedName name="VMDDGRAIDERALL">#REF!</definedName>
    <definedName name="VMDDGRAMCHARGER" localSheetId="0">#REF!</definedName>
    <definedName name="VMDDGRAMCHARGER" localSheetId="5">#REF!</definedName>
    <definedName name="VMDDGRAMCHARGER" localSheetId="4">#REF!</definedName>
    <definedName name="VMDDGRAMCHARGER">#REF!</definedName>
    <definedName name="VMDDGRAMPUALL" localSheetId="0">#REF!</definedName>
    <definedName name="VMDDGRAMPUALL" localSheetId="5">#REF!</definedName>
    <definedName name="VMDDGRAMPUALL" localSheetId="4">#REF!</definedName>
    <definedName name="VMDDGRAMPUALL">#REF!</definedName>
    <definedName name="VMDDGRAMVANALL" localSheetId="0">#REF!</definedName>
    <definedName name="VMDDGRAMVANALL" localSheetId="5">#REF!</definedName>
    <definedName name="VMDDGRAMVANALL" localSheetId="4">#REF!</definedName>
    <definedName name="VMDDGRAMVANALL">#REF!</definedName>
    <definedName name="VMDGDAKOTA4NU" localSheetId="0">#REF!</definedName>
    <definedName name="VMDGDAKOTA4NU" localSheetId="5">#REF!</definedName>
    <definedName name="VMDGDAKOTA4NU" localSheetId="4">#REF!</definedName>
    <definedName name="VMDGDAKOTA4NU">#REF!</definedName>
    <definedName name="VMDODCOLTALL" localSheetId="0">#REF!</definedName>
    <definedName name="VMDODCOLTALL" localSheetId="5">#REF!</definedName>
    <definedName name="VMDODCOLTALL" localSheetId="4">#REF!</definedName>
    <definedName name="VMDODCOLTALL">#REF!</definedName>
    <definedName name="VMDODINTRALL" localSheetId="0">#REF!</definedName>
    <definedName name="VMDODINTRALL" localSheetId="5">#REF!</definedName>
    <definedName name="VMDODINTRALL" localSheetId="4">#REF!</definedName>
    <definedName name="VMDODINTRALL">#REF!</definedName>
    <definedName name="VMDODNEON_SHADALL" localSheetId="0">#REF!</definedName>
    <definedName name="VMDODNEON_SHADALL" localSheetId="5">#REF!</definedName>
    <definedName name="VMDODNEON_SHADALL" localSheetId="4">#REF!</definedName>
    <definedName name="VMDODNEON_SHADALL">#REF!</definedName>
    <definedName name="VMDODSPIRIT_STRATALL" localSheetId="0">#REF!</definedName>
    <definedName name="VMDODSPIRIT_STRATALL" localSheetId="5">#REF!</definedName>
    <definedName name="VMDODSPIRIT_STRATALL" localSheetId="4">#REF!</definedName>
    <definedName name="VMDODSPIRIT_STRATALL">#REF!</definedName>
    <definedName name="VMDODVIPERALL" localSheetId="0">#REF!</definedName>
    <definedName name="VMDODVIPERALL" localSheetId="5">#REF!</definedName>
    <definedName name="VMDODVIPERALL" localSheetId="4">#REF!</definedName>
    <definedName name="VMDODVIPERALL">#REF!</definedName>
    <definedName name="VMDOGAVENG" localSheetId="0">#REF!</definedName>
    <definedName name="VMDOGAVENG" localSheetId="5">#REF!</definedName>
    <definedName name="VMDOGAVENG" localSheetId="4">#REF!</definedName>
    <definedName name="VMDOGAVENG">#REF!</definedName>
    <definedName name="VMDOGCOLTVW" localSheetId="0">#REF!</definedName>
    <definedName name="VMDOGCOLTVW" localSheetId="5">#REF!</definedName>
    <definedName name="VMDOGCOLTVW" localSheetId="4">#REF!</definedName>
    <definedName name="VMDOGCOLTVW">#REF!</definedName>
    <definedName name="VMDOGDAYTONA" localSheetId="0">#REF!</definedName>
    <definedName name="VMDOGDAYTONA" localSheetId="5">#REF!</definedName>
    <definedName name="VMDOGDAYTONA" localSheetId="4">#REF!</definedName>
    <definedName name="VMDOGDAYTONA">#REF!</definedName>
    <definedName name="VMDOGDIP" localSheetId="0">#REF!</definedName>
    <definedName name="VMDOGDIP" localSheetId="5">#REF!</definedName>
    <definedName name="VMDOGDIP" localSheetId="4">#REF!</definedName>
    <definedName name="VMDOGDIP">#REF!</definedName>
    <definedName name="VMDOGDYN" localSheetId="0">#REF!</definedName>
    <definedName name="VMDOGDYN" localSheetId="5">#REF!</definedName>
    <definedName name="VMDOGDYN" localSheetId="4">#REF!</definedName>
    <definedName name="VMDOGDYN">#REF!</definedName>
    <definedName name="VMDOGLAN" localSheetId="0">#REF!</definedName>
    <definedName name="VMDOGLAN" localSheetId="5">#REF!</definedName>
    <definedName name="VMDOGLAN" localSheetId="4">#REF!</definedName>
    <definedName name="VMDOGLAN">#REF!</definedName>
    <definedName name="VMDOGOMNI" localSheetId="0">#REF!</definedName>
    <definedName name="VMDOGOMNI" localSheetId="5">#REF!</definedName>
    <definedName name="VMDOGOMNI" localSheetId="4">#REF!</definedName>
    <definedName name="VMDOGOMNI">#REF!</definedName>
    <definedName name="VMDOGSTLTH" localSheetId="0">#REF!</definedName>
    <definedName name="VMDOGSTLTH" localSheetId="5">#REF!</definedName>
    <definedName name="VMDOGSTLTH" localSheetId="4">#REF!</definedName>
    <definedName name="VMDOGSTLTH">#REF!</definedName>
    <definedName name="VMDW100P" localSheetId="0">#REF!</definedName>
    <definedName name="VMDW100P" localSheetId="5">#REF!</definedName>
    <definedName name="VMDW100P" localSheetId="4">#REF!</definedName>
    <definedName name="VMDW100P">#REF!</definedName>
    <definedName name="VMDWESPERO" localSheetId="0">#REF!</definedName>
    <definedName name="VMDWESPERO" localSheetId="5">#REF!</definedName>
    <definedName name="VMDWESPERO" localSheetId="4">#REF!</definedName>
    <definedName name="VMDWESPERO">#REF!</definedName>
    <definedName name="VMDWKORANDO" localSheetId="0">#REF!</definedName>
    <definedName name="VMDWKORANDO" localSheetId="5">#REF!</definedName>
    <definedName name="VMDWKORANDO" localSheetId="4">#REF!</definedName>
    <definedName name="VMDWKORANDO">#REF!</definedName>
    <definedName name="VMDWNUBALL" localSheetId="0">#REF!</definedName>
    <definedName name="VMDWNUBALL" localSheetId="5">#REF!</definedName>
    <definedName name="VMDWNUBALL" localSheetId="4">#REF!</definedName>
    <definedName name="VMDWNUBALL">#REF!</definedName>
    <definedName name="VMEGGTALON" localSheetId="0">#REF!</definedName>
    <definedName name="VMEGGTALON" localSheetId="5">#REF!</definedName>
    <definedName name="VMEGGTALON" localSheetId="4">#REF!</definedName>
    <definedName name="VMEGGTALON">#REF!</definedName>
    <definedName name="VMEGLMEDALL" localSheetId="0">#REF!</definedName>
    <definedName name="VMEGLMEDALL" localSheetId="5">#REF!</definedName>
    <definedName name="VMEGLMEDALL" localSheetId="4">#REF!</definedName>
    <definedName name="VMEGLMEDALL">#REF!</definedName>
    <definedName name="VMEGLPREM_VISALL" localSheetId="0">#REF!</definedName>
    <definedName name="VMEGLPREM_VISALL" localSheetId="5">#REF!</definedName>
    <definedName name="VMEGLPREM_VISALL" localSheetId="4">#REF!</definedName>
    <definedName name="VMEGLPREM_VISALL">#REF!</definedName>
    <definedName name="VMEGLSUMMITALL" localSheetId="0">#REF!</definedName>
    <definedName name="VMEGLSUMMITALL" localSheetId="5">#REF!</definedName>
    <definedName name="VMEGLSUMMITALL" localSheetId="4">#REF!</definedName>
    <definedName name="VMEGLSUMMITALL">#REF!</definedName>
    <definedName name="VMEGLSUMW" localSheetId="0">#REF!</definedName>
    <definedName name="VMEGLSUMW" localSheetId="5">#REF!</definedName>
    <definedName name="VMEGLSUMW" localSheetId="4">#REF!</definedName>
    <definedName name="VMEGLSUMW">#REF!</definedName>
    <definedName name="VMFDAEROALL" localSheetId="0">#REF!</definedName>
    <definedName name="VMFDAEROALL" localSheetId="5">#REF!</definedName>
    <definedName name="VMFDAEROALL" localSheetId="4">#REF!</definedName>
    <definedName name="VMFDAEROALL">#REF!</definedName>
    <definedName name="VMFDASPIREALL" localSheetId="0">#REF!</definedName>
    <definedName name="VMFDASPIREALL" localSheetId="5">#REF!</definedName>
    <definedName name="VMFDASPIREALL" localSheetId="4">#REF!</definedName>
    <definedName name="VMFDASPIREALL">#REF!</definedName>
    <definedName name="VMFDBRONCEXPED" localSheetId="0">#REF!</definedName>
    <definedName name="VMFDBRONCEXPED" localSheetId="5">#REF!</definedName>
    <definedName name="VMFDBRONCEXPED" localSheetId="4">#REF!</definedName>
    <definedName name="VMFDBRONCEXPED">#REF!</definedName>
    <definedName name="VMFDCRWNVICALL" localSheetId="0">#REF!</definedName>
    <definedName name="VMFDCRWNVICALL" localSheetId="5">#REF!</definedName>
    <definedName name="VMFDCRWNVICALL" localSheetId="4">#REF!</definedName>
    <definedName name="VMFDCRWNVICALL">#REF!</definedName>
    <definedName name="VMFDECONCLUB" localSheetId="0">#REF!</definedName>
    <definedName name="VMFDECONCLUB" localSheetId="5">#REF!</definedName>
    <definedName name="VMFDECONCLUB" localSheetId="4">#REF!</definedName>
    <definedName name="VMFDECONCLUB">#REF!</definedName>
    <definedName name="VMFDESCORTALL" localSheetId="0">#REF!</definedName>
    <definedName name="VMFDESCORTALL" localSheetId="5">#REF!</definedName>
    <definedName name="VMFDESCORTALL" localSheetId="4">#REF!</definedName>
    <definedName name="VMFDESCORTALL">#REF!</definedName>
    <definedName name="VMFDEXCUR" localSheetId="0">#REF!</definedName>
    <definedName name="VMFDEXCUR" localSheetId="5">#REF!</definedName>
    <definedName name="VMFDEXCUR" localSheetId="4">#REF!</definedName>
    <definedName name="VMFDEXCUR">#REF!</definedName>
    <definedName name="VMFDEXPLORALL" localSheetId="0">#REF!</definedName>
    <definedName name="VMFDEXPLORALL" localSheetId="5">#REF!</definedName>
    <definedName name="VMFDEXPLORALL" localSheetId="4">#REF!</definedName>
    <definedName name="VMFDEXPLORALL">#REF!</definedName>
    <definedName name="VMFDFHVY" localSheetId="0">#REF!</definedName>
    <definedName name="VMFDFHVY" localSheetId="5">#REF!</definedName>
    <definedName name="VMFDFHVY" localSheetId="4">#REF!</definedName>
    <definedName name="VMFDFHVY">#REF!</definedName>
    <definedName name="VMFDFLT" localSheetId="0">#REF!</definedName>
    <definedName name="VMFDFLT" localSheetId="5">#REF!</definedName>
    <definedName name="VMFDFLT" localSheetId="4">#REF!</definedName>
    <definedName name="VMFDFLT">#REF!</definedName>
    <definedName name="VMFDFOCUSALL" localSheetId="0">#REF!</definedName>
    <definedName name="VMFDFOCUSALL" localSheetId="5">#REF!</definedName>
    <definedName name="VMFDFOCUSALL" localSheetId="4">#REF!</definedName>
    <definedName name="VMFDFOCUSALL">#REF!</definedName>
    <definedName name="VMFDFSERIES" localSheetId="0">#REF!</definedName>
    <definedName name="VMFDFSERIES" localSheetId="5">#REF!</definedName>
    <definedName name="VMFDFSERIES" localSheetId="4">#REF!</definedName>
    <definedName name="VMFDFSERIES">#REF!</definedName>
    <definedName name="VMFDMUSTANGALL" localSheetId="0">#REF!</definedName>
    <definedName name="VMFDMUSTANGALL" localSheetId="5">#REF!</definedName>
    <definedName name="VMFDMUSTANGALL" localSheetId="4">#REF!</definedName>
    <definedName name="VMFDMUSTANGALL">#REF!</definedName>
    <definedName name="VMFDP225X" localSheetId="0">#REF!</definedName>
    <definedName name="VMFDP225X" localSheetId="5">#REF!</definedName>
    <definedName name="VMFDP225X" localSheetId="4">#REF!</definedName>
    <definedName name="VMFDP225X">#REF!</definedName>
    <definedName name="VMFDPB" localSheetId="0">#REF!</definedName>
    <definedName name="VMFDPB" localSheetId="5">#REF!</definedName>
    <definedName name="VMFDPB" localSheetId="4">#REF!</definedName>
    <definedName name="VMFDPB">#REF!</definedName>
    <definedName name="VMFDRANGER4" localSheetId="0">#REF!</definedName>
    <definedName name="VMFDRANGER4" localSheetId="5">#REF!</definedName>
    <definedName name="VMFDRANGER4" localSheetId="4">#REF!</definedName>
    <definedName name="VMFDRANGER4">#REF!</definedName>
    <definedName name="VMFDRANGERALL" localSheetId="0">#REF!</definedName>
    <definedName name="VMFDRANGERALL" localSheetId="5">#REF!</definedName>
    <definedName name="VMFDRANGERALL" localSheetId="4">#REF!</definedName>
    <definedName name="VMFDRANGERALL">#REF!</definedName>
    <definedName name="VMFDTAURUSALL" localSheetId="0">#REF!</definedName>
    <definedName name="VMFDTAURUSALL" localSheetId="5">#REF!</definedName>
    <definedName name="VMFDTAURUSALL" localSheetId="4">#REF!</definedName>
    <definedName name="VMFDTAURUSALL">#REF!</definedName>
    <definedName name="VMFDTBIRDALL" localSheetId="0">#REF!</definedName>
    <definedName name="VMFDTBIRDALL" localSheetId="5">#REF!</definedName>
    <definedName name="VMFDTBIRDALL" localSheetId="4">#REF!</definedName>
    <definedName name="VMFDTBIRDALL">#REF!</definedName>
    <definedName name="VMFDTEMPOALL" localSheetId="0">#REF!</definedName>
    <definedName name="VMFDTEMPOALL" localSheetId="5">#REF!</definedName>
    <definedName name="VMFDTEMPOALL" localSheetId="4">#REF!</definedName>
    <definedName name="VMFDTEMPOALL">#REF!</definedName>
    <definedName name="VMFDU204" localSheetId="0">#REF!</definedName>
    <definedName name="VMFDU204" localSheetId="5">#REF!</definedName>
    <definedName name="VMFDU204" localSheetId="4">#REF!</definedName>
    <definedName name="VMFDU204">#REF!</definedName>
    <definedName name="VMFDU207" localSheetId="0">#REF!</definedName>
    <definedName name="VMFDU207" localSheetId="5">#REF!</definedName>
    <definedName name="VMFDU207" localSheetId="4">#REF!</definedName>
    <definedName name="VMFDU207">#REF!</definedName>
    <definedName name="VMFDU221ALL" localSheetId="0">#REF!</definedName>
    <definedName name="VMFDU221ALL" localSheetId="5">#REF!</definedName>
    <definedName name="VMFDU221ALL" localSheetId="4">#REF!</definedName>
    <definedName name="VMFDU221ALL">#REF!</definedName>
    <definedName name="VMFDWIND" localSheetId="0">#REF!</definedName>
    <definedName name="VMFDWIND" localSheetId="5">#REF!</definedName>
    <definedName name="VMFDWIND" localSheetId="4">#REF!</definedName>
    <definedName name="VMFDWIND">#REF!</definedName>
    <definedName name="VMGMCDENALI" localSheetId="0">#REF!</definedName>
    <definedName name="VMGMCDENALI" localSheetId="5">#REF!</definedName>
    <definedName name="VMGMCDENALI" localSheetId="4">#REF!</definedName>
    <definedName name="VMGMCDENALI">#REF!</definedName>
    <definedName name="VMGMCENVWAR" localSheetId="0">#REF!</definedName>
    <definedName name="VMGMCENVWAR" localSheetId="5">#REF!</definedName>
    <definedName name="VMGMCENVWAR" localSheetId="4">#REF!</definedName>
    <definedName name="VMGMCENVWAR">#REF!</definedName>
    <definedName name="VMGMCJIMMY" localSheetId="0">#REF!</definedName>
    <definedName name="VMGMCJIMMY" localSheetId="5">#REF!</definedName>
    <definedName name="VMGMCJIMMY" localSheetId="4">#REF!</definedName>
    <definedName name="VMGMCJIMMY">#REF!</definedName>
    <definedName name="VMGMCSAFARI" localSheetId="0">#REF!</definedName>
    <definedName name="VMGMCSAFARI" localSheetId="5">#REF!</definedName>
    <definedName name="VMGMCSAFARI" localSheetId="4">#REF!</definedName>
    <definedName name="VMGMCSAFARI">#REF!</definedName>
    <definedName name="VMGMCSAVANA" localSheetId="0">#REF!</definedName>
    <definedName name="VMGMCSAVANA" localSheetId="5">#REF!</definedName>
    <definedName name="VMGMCSAVANA" localSheetId="4">#REF!</definedName>
    <definedName name="VMGMCSAVANA">#REF!</definedName>
    <definedName name="VMGMCSEIRRA" localSheetId="0">#REF!</definedName>
    <definedName name="VMGMCSEIRRA" localSheetId="5">#REF!</definedName>
    <definedName name="VMGMCSEIRRA" localSheetId="4">#REF!</definedName>
    <definedName name="VMGMCSEIRRA">#REF!</definedName>
    <definedName name="VMGMCSIERRA" localSheetId="0">#REF!</definedName>
    <definedName name="VMGMCSIERRA" localSheetId="5">#REF!</definedName>
    <definedName name="VMGMCSIERRA" localSheetId="4">#REF!</definedName>
    <definedName name="VMGMCSIERRA">#REF!</definedName>
    <definedName name="VMGMCSONOMA" localSheetId="0">#REF!</definedName>
    <definedName name="VMGMCSONOMA" localSheetId="5">#REF!</definedName>
    <definedName name="VMGMCSONOMA" localSheetId="4">#REF!</definedName>
    <definedName name="VMGMCSONOMA">#REF!</definedName>
    <definedName name="VMGMCSUB" localSheetId="0">#REF!</definedName>
    <definedName name="VMGMCSUB" localSheetId="5">#REF!</definedName>
    <definedName name="VMGMCSUB" localSheetId="4">#REF!</definedName>
    <definedName name="VMGMCSUB">#REF!</definedName>
    <definedName name="VMGMCYUK" localSheetId="0">#REF!</definedName>
    <definedName name="VMGMCYUK" localSheetId="5">#REF!</definedName>
    <definedName name="VMGMCYUK" localSheetId="4">#REF!</definedName>
    <definedName name="VMGMCYUK">#REF!</definedName>
    <definedName name="VMGMCYUKON" localSheetId="0">#REF!</definedName>
    <definedName name="VMGMCYUKON" localSheetId="5">#REF!</definedName>
    <definedName name="VMGMCYUKON" localSheetId="4">#REF!</definedName>
    <definedName name="VMGMCYUKON">#REF!</definedName>
    <definedName name="VMGNCSIERRACLASSIC" localSheetId="0">#REF!</definedName>
    <definedName name="VMGNCSIERRACLASSIC" localSheetId="5">#REF!</definedName>
    <definedName name="VMGNCSIERRACLASSIC" localSheetId="4">#REF!</definedName>
    <definedName name="VMGNCSIERRACLASSIC">#REF!</definedName>
    <definedName name="VMHONACCORDALL" localSheetId="0">#REF!</definedName>
    <definedName name="VMHONACCORDALL" localSheetId="5">#REF!</definedName>
    <definedName name="VMHONACCORDALL" localSheetId="4">#REF!</definedName>
    <definedName name="VMHONACCORDALL">#REF!</definedName>
    <definedName name="VMHONCIVICALL" localSheetId="0">#REF!</definedName>
    <definedName name="VMHONCIVICALL" localSheetId="5">#REF!</definedName>
    <definedName name="VMHONCIVICALL" localSheetId="4">#REF!</definedName>
    <definedName name="VMHONCIVICALL">#REF!</definedName>
    <definedName name="VMHONCIVICDELSOLALL" localSheetId="0">#REF!</definedName>
    <definedName name="VMHONCIVICDELSOLALL" localSheetId="5">#REF!</definedName>
    <definedName name="VMHONCIVICDELSOLALL" localSheetId="4">#REF!</definedName>
    <definedName name="VMHONCIVICDELSOLALL">#REF!</definedName>
    <definedName name="VMHONCRV" localSheetId="0">#REF!</definedName>
    <definedName name="VMHONCRV" localSheetId="5">#REF!</definedName>
    <definedName name="VMHONCRV" localSheetId="4">#REF!</definedName>
    <definedName name="VMHONCRV">#REF!</definedName>
    <definedName name="VMHONEV" localSheetId="0">#REF!</definedName>
    <definedName name="VMHONEV" localSheetId="5">#REF!</definedName>
    <definedName name="VMHONEV" localSheetId="4">#REF!</definedName>
    <definedName name="VMHONEV">#REF!</definedName>
    <definedName name="VMHONMAV" localSheetId="0">#REF!</definedName>
    <definedName name="VMHONMAV" localSheetId="5">#REF!</definedName>
    <definedName name="VMHONMAV" localSheetId="4">#REF!</definedName>
    <definedName name="VMHONMAV">#REF!</definedName>
    <definedName name="VMHONODYP" localSheetId="0">#REF!</definedName>
    <definedName name="VMHONODYP" localSheetId="5">#REF!</definedName>
    <definedName name="VMHONODYP" localSheetId="4">#REF!</definedName>
    <definedName name="VMHONODYP">#REF!</definedName>
    <definedName name="VMHONPASS" localSheetId="0">#REF!</definedName>
    <definedName name="VMHONPASS" localSheetId="5">#REF!</definedName>
    <definedName name="VMHONPASS" localSheetId="4">#REF!</definedName>
    <definedName name="VMHONPASS">#REF!</definedName>
    <definedName name="VMHONPLUDE" localSheetId="0">#REF!</definedName>
    <definedName name="VMHONPLUDE" localSheetId="5">#REF!</definedName>
    <definedName name="VMHONPLUDE" localSheetId="4">#REF!</definedName>
    <definedName name="VMHONPLUDE">#REF!</definedName>
    <definedName name="VMHONSSM" localSheetId="0">#REF!</definedName>
    <definedName name="VMHONSSM" localSheetId="5">#REF!</definedName>
    <definedName name="VMHONSSM" localSheetId="4">#REF!</definedName>
    <definedName name="VMHONSSM">#REF!</definedName>
    <definedName name="VMHONTMP" localSheetId="0">#REF!</definedName>
    <definedName name="VMHONTMP" localSheetId="5">#REF!</definedName>
    <definedName name="VMHONTMP" localSheetId="4">#REF!</definedName>
    <definedName name="VMHONTMP">#REF!</definedName>
    <definedName name="VMHONVV" localSheetId="0">#REF!</definedName>
    <definedName name="VMHONVV" localSheetId="5">#REF!</definedName>
    <definedName name="VMHONVV" localSheetId="4">#REF!</definedName>
    <definedName name="VMHONVV">#REF!</definedName>
    <definedName name="VMHYNACCENTALL" localSheetId="0">#REF!</definedName>
    <definedName name="VMHYNACCENTALL" localSheetId="5">#REF!</definedName>
    <definedName name="VMHYNACCENTALL" localSheetId="4">#REF!</definedName>
    <definedName name="VMHYNACCENTALL">#REF!</definedName>
    <definedName name="VMHYNELANTRAALL" localSheetId="0">#REF!</definedName>
    <definedName name="VMHYNELANTRAALL" localSheetId="5">#REF!</definedName>
    <definedName name="VMHYNELANTRAALL" localSheetId="4">#REF!</definedName>
    <definedName name="VMHYNELANTRAALL">#REF!</definedName>
    <definedName name="VMHYNMINI" localSheetId="0">#REF!</definedName>
    <definedName name="VMHYNMINI" localSheetId="5">#REF!</definedName>
    <definedName name="VMHYNMINI" localSheetId="4">#REF!</definedName>
    <definedName name="VMHYNMINI">#REF!</definedName>
    <definedName name="VMHYNSCPE" localSheetId="0">#REF!</definedName>
    <definedName name="VMHYNSCPE" localSheetId="5">#REF!</definedName>
    <definedName name="VMHYNSCPE" localSheetId="4">#REF!</definedName>
    <definedName name="VMHYNSCPE">#REF!</definedName>
    <definedName name="VMHYNSONATA" localSheetId="0">#REF!</definedName>
    <definedName name="VMHYNSONATA" localSheetId="5">#REF!</definedName>
    <definedName name="VMHYNSONATA" localSheetId="4">#REF!</definedName>
    <definedName name="VMHYNSONATA">#REF!</definedName>
    <definedName name="VMHYNTIB" localSheetId="0">#REF!</definedName>
    <definedName name="VMHYNTIB" localSheetId="5">#REF!</definedName>
    <definedName name="VMHYNTIB" localSheetId="4">#REF!</definedName>
    <definedName name="VMHYNTIB">#REF!</definedName>
    <definedName name="VMHYNXG" localSheetId="0">#REF!</definedName>
    <definedName name="VMHYNXG" localSheetId="5">#REF!</definedName>
    <definedName name="VMHYNXG" localSheetId="4">#REF!</definedName>
    <definedName name="VMHYNXG">#REF!</definedName>
    <definedName name="VMINFG20_24ALL" localSheetId="0">#REF!</definedName>
    <definedName name="VMINFG20_24ALL" localSheetId="5">#REF!</definedName>
    <definedName name="VMINFG20_24ALL" localSheetId="4">#REF!</definedName>
    <definedName name="VMINFG20_24ALL">#REF!</definedName>
    <definedName name="VMINFI30" localSheetId="0">#REF!</definedName>
    <definedName name="VMINFI30" localSheetId="5">#REF!</definedName>
    <definedName name="VMINFI30" localSheetId="4">#REF!</definedName>
    <definedName name="VMINFI30">#REF!</definedName>
    <definedName name="VMINFJ30" localSheetId="0">#REF!</definedName>
    <definedName name="VMINFJ30" localSheetId="5">#REF!</definedName>
    <definedName name="VMINFJ30" localSheetId="4">#REF!</definedName>
    <definedName name="VMINFJ30">#REF!</definedName>
    <definedName name="VMINFM30ALL" localSheetId="0">#REF!</definedName>
    <definedName name="VMINFM30ALL" localSheetId="5">#REF!</definedName>
    <definedName name="VMINFM30ALL" localSheetId="4">#REF!</definedName>
    <definedName name="VMINFM30ALL">#REF!</definedName>
    <definedName name="VMINFQ45" localSheetId="0">#REF!</definedName>
    <definedName name="VMINFQ45" localSheetId="5">#REF!</definedName>
    <definedName name="VMINFQ45" localSheetId="4">#REF!</definedName>
    <definedName name="VMINFQ45">#REF!</definedName>
    <definedName name="VMINFQX4" localSheetId="0">#REF!</definedName>
    <definedName name="VMINFQX4" localSheetId="5">#REF!</definedName>
    <definedName name="VMINFQX4" localSheetId="4">#REF!</definedName>
    <definedName name="VMINFQX4">#REF!</definedName>
    <definedName name="VMIZAMIGO" localSheetId="0">#REF!</definedName>
    <definedName name="VMIZAMIGO" localSheetId="5">#REF!</definedName>
    <definedName name="VMIZAMIGO" localSheetId="4">#REF!</definedName>
    <definedName name="VMIZAMIGO">#REF!</definedName>
    <definedName name="VMIZHOMBREALL" localSheetId="0">#REF!</definedName>
    <definedName name="VMIZHOMBREALL" localSheetId="5">#REF!</definedName>
    <definedName name="VMIZHOMBREALL" localSheetId="4">#REF!</definedName>
    <definedName name="VMIZHOMBREALL">#REF!</definedName>
    <definedName name="VMIZIMARKALL" localSheetId="0">#REF!</definedName>
    <definedName name="VMIZIMARKALL" localSheetId="5">#REF!</definedName>
    <definedName name="VMIZIMARKALL" localSheetId="4">#REF!</definedName>
    <definedName name="VMIZIMARKALL">#REF!</definedName>
    <definedName name="VMIZIMPULSEALL" localSheetId="0">#REF!</definedName>
    <definedName name="VMIZIMPULSEALL" localSheetId="5">#REF!</definedName>
    <definedName name="VMIZIMPULSEALL" localSheetId="4">#REF!</definedName>
    <definedName name="VMIZIMPULSEALL">#REF!</definedName>
    <definedName name="VMIZOASISP" localSheetId="0">#REF!</definedName>
    <definedName name="VMIZOASISP" localSheetId="5">#REF!</definedName>
    <definedName name="VMIZOASISP" localSheetId="4">#REF!</definedName>
    <definedName name="VMIZOASISP">#REF!</definedName>
    <definedName name="VMIZPUALL" localSheetId="0">#REF!</definedName>
    <definedName name="VMIZPUALL" localSheetId="5">#REF!</definedName>
    <definedName name="VMIZPUALL" localSheetId="4">#REF!</definedName>
    <definedName name="VMIZPUALL">#REF!</definedName>
    <definedName name="VMIZRODEO" localSheetId="0">#REF!</definedName>
    <definedName name="VMIZRODEO" localSheetId="5">#REF!</definedName>
    <definedName name="VMIZRODEO" localSheetId="4">#REF!</definedName>
    <definedName name="VMIZRODEO">#REF!</definedName>
    <definedName name="VMIZTROOPALL" localSheetId="0">#REF!</definedName>
    <definedName name="VMIZTROOPALL" localSheetId="5">#REF!</definedName>
    <definedName name="VMIZTROOPALL" localSheetId="4">#REF!</definedName>
    <definedName name="VMIZTROOPALL">#REF!</definedName>
    <definedName name="VMIZVCROSS" localSheetId="0">#REF!</definedName>
    <definedName name="VMIZVCROSS" localSheetId="5">#REF!</definedName>
    <definedName name="VMIZVCROSS" localSheetId="4">#REF!</definedName>
    <definedName name="VMIZVCROSS">#REF!</definedName>
    <definedName name="VMJAGSTYPSW" localSheetId="0">#REF!</definedName>
    <definedName name="VMJAGSTYPSW" localSheetId="5">#REF!</definedName>
    <definedName name="VMJAGSTYPSW" localSheetId="4">#REF!</definedName>
    <definedName name="VMJAGSTYPSW">#REF!</definedName>
    <definedName name="VMJAGX200" localSheetId="0">#REF!</definedName>
    <definedName name="VMJAGX200" localSheetId="5">#REF!</definedName>
    <definedName name="VMJAGX200" localSheetId="4">#REF!</definedName>
    <definedName name="VMJAGX200">#REF!</definedName>
    <definedName name="VMJAGX400ALL" localSheetId="0">#REF!</definedName>
    <definedName name="VMJAGX400ALL" localSheetId="5">#REF!</definedName>
    <definedName name="VMJAGX400ALL" localSheetId="4">#REF!</definedName>
    <definedName name="VMJAGX400ALL">#REF!</definedName>
    <definedName name="VMJAGXJALL" localSheetId="0">#REF!</definedName>
    <definedName name="VMJAGXJALL" localSheetId="5">#REF!</definedName>
    <definedName name="VMJAGXJALL" localSheetId="4">#REF!</definedName>
    <definedName name="VMJAGXJALL">#REF!</definedName>
    <definedName name="VMJAGXK8ALL" localSheetId="0">#REF!</definedName>
    <definedName name="VMJAGXK8ALL" localSheetId="5">#REF!</definedName>
    <definedName name="VMJAGXK8ALL" localSheetId="4">#REF!</definedName>
    <definedName name="VMJAGXK8ALL">#REF!</definedName>
    <definedName name="VMJPCHER" localSheetId="0">#REF!</definedName>
    <definedName name="VMJPCHER" localSheetId="5">#REF!</definedName>
    <definedName name="VMJPCHER" localSheetId="4">#REF!</definedName>
    <definedName name="VMJPCHER">#REF!</definedName>
    <definedName name="VMJPCOMAN" localSheetId="0">#REF!</definedName>
    <definedName name="VMJPCOMAN" localSheetId="5">#REF!</definedName>
    <definedName name="VMJPCOMAN" localSheetId="4">#REF!</definedName>
    <definedName name="VMJPCOMAN">#REF!</definedName>
    <definedName name="VMJPGCHER" localSheetId="0">#REF!</definedName>
    <definedName name="VMJPGCHER" localSheetId="5">#REF!</definedName>
    <definedName name="VMJPGCHER" localSheetId="4">#REF!</definedName>
    <definedName name="VMJPGCHER">#REF!</definedName>
    <definedName name="VMJPGWAG" localSheetId="0">#REF!</definedName>
    <definedName name="VMJPGWAG" localSheetId="5">#REF!</definedName>
    <definedName name="VMJPGWAG" localSheetId="4">#REF!</definedName>
    <definedName name="VMJPGWAG">#REF!</definedName>
    <definedName name="VMJPWAG" localSheetId="0">#REF!</definedName>
    <definedName name="VMJPWAG" localSheetId="5">#REF!</definedName>
    <definedName name="VMJPWAG" localSheetId="4">#REF!</definedName>
    <definedName name="VMJPWAG">#REF!</definedName>
    <definedName name="VMJPWRANG" localSheetId="0">#REF!</definedName>
    <definedName name="VMJPWRANG" localSheetId="5">#REF!</definedName>
    <definedName name="VMJPWRANG" localSheetId="4">#REF!</definedName>
    <definedName name="VMJPWRANG">#REF!</definedName>
    <definedName name="VMKIAAVELLAALL" localSheetId="0">#REF!</definedName>
    <definedName name="VMKIAAVELLAALL" localSheetId="5">#REF!</definedName>
    <definedName name="VMKIAAVELLAALL" localSheetId="4">#REF!</definedName>
    <definedName name="VMKIAAVELLAALL">#REF!</definedName>
    <definedName name="VMKIACREDOS" localSheetId="0">#REF!</definedName>
    <definedName name="VMKIACREDOS" localSheetId="5">#REF!</definedName>
    <definedName name="VMKIACREDOS" localSheetId="4">#REF!</definedName>
    <definedName name="VMKIACREDOS">#REF!</definedName>
    <definedName name="VMKIASEDOP" localSheetId="0">#REF!</definedName>
    <definedName name="VMKIASEDOP" localSheetId="5">#REF!</definedName>
    <definedName name="VMKIASEDOP" localSheetId="4">#REF!</definedName>
    <definedName name="VMKIASEDOP">#REF!</definedName>
    <definedName name="VMKIASEPHIA" localSheetId="0">#REF!</definedName>
    <definedName name="VMKIASEPHIA" localSheetId="5">#REF!</definedName>
    <definedName name="VMKIASEPHIA" localSheetId="4">#REF!</definedName>
    <definedName name="VMKIASEPHIA">#REF!</definedName>
    <definedName name="VMKIASPORTALL" localSheetId="0">#REF!</definedName>
    <definedName name="VMKIASPORTALL" localSheetId="5">#REF!</definedName>
    <definedName name="VMKIASPORTALL" localSheetId="4">#REF!</definedName>
    <definedName name="VMKIASPORTALL">#REF!</definedName>
    <definedName name="VMLCNCONT" localSheetId="0">#REF!</definedName>
    <definedName name="VMLCNCONT" localSheetId="5">#REF!</definedName>
    <definedName name="VMLCNCONT" localSheetId="4">#REF!</definedName>
    <definedName name="VMLCNCONT">#REF!</definedName>
    <definedName name="VMLCNMKVIII" localSheetId="0">#REF!</definedName>
    <definedName name="VMLCNMKVIII" localSheetId="5">#REF!</definedName>
    <definedName name="VMLCNMKVIII" localSheetId="4">#REF!</definedName>
    <definedName name="VMLCNMKVIII">#REF!</definedName>
    <definedName name="VMLCNTC" localSheetId="0">#REF!</definedName>
    <definedName name="VMLCNTC" localSheetId="5">#REF!</definedName>
    <definedName name="VMLCNTC" localSheetId="4">#REF!</definedName>
    <definedName name="VMLCNTC">#REF!</definedName>
    <definedName name="VMLEXGS300ALL" localSheetId="0">#REF!</definedName>
    <definedName name="VMLEXGS300ALL" localSheetId="5">#REF!</definedName>
    <definedName name="VMLEXGS300ALL" localSheetId="4">#REF!</definedName>
    <definedName name="VMLEXGS300ALL">#REF!</definedName>
    <definedName name="VMLEXIS220ALL" localSheetId="0">#REF!</definedName>
    <definedName name="VMLEXIS220ALL" localSheetId="5">#REF!</definedName>
    <definedName name="VMLEXIS220ALL" localSheetId="4">#REF!</definedName>
    <definedName name="VMLEXIS220ALL">#REF!</definedName>
    <definedName name="VMLEXLX450" localSheetId="0">#REF!</definedName>
    <definedName name="VMLEXLX450" localSheetId="5">#REF!</definedName>
    <definedName name="VMLEXLX450" localSheetId="4">#REF!</definedName>
    <definedName name="VMLEXLX450">#REF!</definedName>
    <definedName name="VMLEXRX300" localSheetId="0">#REF!</definedName>
    <definedName name="VMLEXRX300" localSheetId="5">#REF!</definedName>
    <definedName name="VMLEXRX300" localSheetId="4">#REF!</definedName>
    <definedName name="VMLEXRX300">#REF!</definedName>
    <definedName name="VMLINCBLAK" localSheetId="0">#REF!</definedName>
    <definedName name="VMLINCBLAK" localSheetId="5">#REF!</definedName>
    <definedName name="VMLINCBLAK" localSheetId="4">#REF!</definedName>
    <definedName name="VMLINCBLAK">#REF!</definedName>
    <definedName name="VMLINCNAV" localSheetId="0">#REF!</definedName>
    <definedName name="VMLINCNAV" localSheetId="5">#REF!</definedName>
    <definedName name="VMLINCNAV" localSheetId="4">#REF!</definedName>
    <definedName name="VMLINCNAV">#REF!</definedName>
    <definedName name="VMLINCU204" localSheetId="0">#REF!</definedName>
    <definedName name="VMLINCU204" localSheetId="5">#REF!</definedName>
    <definedName name="VMLINCU204" localSheetId="4">#REF!</definedName>
    <definedName name="VMLINCU204">#REF!</definedName>
    <definedName name="VMLINCU231" localSheetId="0">#REF!</definedName>
    <definedName name="VMLINCU231" localSheetId="5">#REF!</definedName>
    <definedName name="VMLINCU231" localSheetId="4">#REF!</definedName>
    <definedName name="VMLINCU231">#REF!</definedName>
    <definedName name="VMLNCDEW98" localSheetId="0">#REF!</definedName>
    <definedName name="VMLNCDEW98" localSheetId="5">#REF!</definedName>
    <definedName name="VMLNCDEW98" localSheetId="4">#REF!</definedName>
    <definedName name="VMLNCDEW98">#REF!</definedName>
    <definedName name="VMLXES300" localSheetId="0">#REF!</definedName>
    <definedName name="VMLXES300" localSheetId="5">#REF!</definedName>
    <definedName name="VMLXES300" localSheetId="4">#REF!</definedName>
    <definedName name="VMLXES300">#REF!</definedName>
    <definedName name="VMLXLS400" localSheetId="0">#REF!</definedName>
    <definedName name="VMLXLS400" localSheetId="5">#REF!</definedName>
    <definedName name="VMLXLS400" localSheetId="4">#REF!</definedName>
    <definedName name="VMLXLS400">#REF!</definedName>
    <definedName name="VMLXSC" localSheetId="0">#REF!</definedName>
    <definedName name="VMLXSC" localSheetId="5">#REF!</definedName>
    <definedName name="VMLXSC" localSheetId="4">#REF!</definedName>
    <definedName name="VMLXSC">#REF!</definedName>
    <definedName name="VMMAZ626ALL" localSheetId="0">#REF!</definedName>
    <definedName name="VMMAZ626ALL" localSheetId="5">#REF!</definedName>
    <definedName name="VMMAZ626ALL" localSheetId="4">#REF!</definedName>
    <definedName name="VMMAZ626ALL">#REF!</definedName>
    <definedName name="VMMAZPROTEGEALL" localSheetId="0">#REF!</definedName>
    <definedName name="VMMAZPROTEGEALL" localSheetId="5">#REF!</definedName>
    <definedName name="VMMAZPROTEGEALL" localSheetId="4">#REF!</definedName>
    <definedName name="VMMAZPROTEGEALL">#REF!</definedName>
    <definedName name="VMMAZRX7ALL" localSheetId="0">#REF!</definedName>
    <definedName name="VMMAZRX7ALL" localSheetId="5">#REF!</definedName>
    <definedName name="VMMAZRX7ALL" localSheetId="4">#REF!</definedName>
    <definedName name="VMMAZRX7ALL">#REF!</definedName>
    <definedName name="VMMBANECAR" localSheetId="0">#REF!</definedName>
    <definedName name="VMMBANECAR" localSheetId="5">#REF!</definedName>
    <definedName name="VMMBANECAR" localSheetId="4">#REF!</definedName>
    <definedName name="VMMBANECAR">#REF!</definedName>
    <definedName name="VMMBCCLASSALL" localSheetId="0">#REF!</definedName>
    <definedName name="VMMBCCLASSALL" localSheetId="5">#REF!</definedName>
    <definedName name="VMMBCCLASSALL" localSheetId="4">#REF!</definedName>
    <definedName name="VMMBCCLASSALL">#REF!</definedName>
    <definedName name="VMMBCLKALL" localSheetId="0">#REF!</definedName>
    <definedName name="VMMBCLKALL" localSheetId="5">#REF!</definedName>
    <definedName name="VMMBCLKALL" localSheetId="4">#REF!</definedName>
    <definedName name="VMMBCLKALL">#REF!</definedName>
    <definedName name="VMMBECLASSALL" localSheetId="0">#REF!</definedName>
    <definedName name="VMMBECLASSALL" localSheetId="5">#REF!</definedName>
    <definedName name="VMMBECLASSALL" localSheetId="4">#REF!</definedName>
    <definedName name="VMMBECLASSALL">#REF!</definedName>
    <definedName name="VMMBMCLASS" localSheetId="0">#REF!</definedName>
    <definedName name="VMMBMCLASS" localSheetId="5">#REF!</definedName>
    <definedName name="VMMBMCLASS" localSheetId="4">#REF!</definedName>
    <definedName name="VMMBMCLASS">#REF!</definedName>
    <definedName name="VMMBSCLASSALL" localSheetId="0">#REF!</definedName>
    <definedName name="VMMBSCLASSALL" localSheetId="5">#REF!</definedName>
    <definedName name="VMMBSCLASSALL" localSheetId="4">#REF!</definedName>
    <definedName name="VMMBSCLASSALL">#REF!</definedName>
    <definedName name="VMMBSL" localSheetId="0">#REF!</definedName>
    <definedName name="VMMBSL" localSheetId="5">#REF!</definedName>
    <definedName name="VMMBSL" localSheetId="4">#REF!</definedName>
    <definedName name="VMMBSL">#REF!</definedName>
    <definedName name="VMMBSLK" localSheetId="0">#REF!</definedName>
    <definedName name="VMMBSLK" localSheetId="5">#REF!</definedName>
    <definedName name="VMMBSLK" localSheetId="4">#REF!</definedName>
    <definedName name="VMMBSLK">#REF!</definedName>
    <definedName name="VMMERCC212" localSheetId="0">#REF!</definedName>
    <definedName name="VMMERCC212" localSheetId="5">#REF!</definedName>
    <definedName name="VMMERCC212" localSheetId="4">#REF!</definedName>
    <definedName name="VMMERCC212">#REF!</definedName>
    <definedName name="VMMERCCAPRI" localSheetId="0">#REF!</definedName>
    <definedName name="VMMERCCAPRI" localSheetId="5">#REF!</definedName>
    <definedName name="VMMERCCAPRI" localSheetId="4">#REF!</definedName>
    <definedName name="VMMERCCAPRI">#REF!</definedName>
    <definedName name="VMMERCCGR" localSheetId="0">#REF!</definedName>
    <definedName name="VMMERCCGR" localSheetId="5">#REF!</definedName>
    <definedName name="VMMERCCGR" localSheetId="4">#REF!</definedName>
    <definedName name="VMMERCCGR">#REF!</definedName>
    <definedName name="VMMERCD219" localSheetId="0">#REF!</definedName>
    <definedName name="VMMERCD219" localSheetId="5">#REF!</definedName>
    <definedName name="VMMERCD219" localSheetId="4">#REF!</definedName>
    <definedName name="VMMERCD219">#REF!</definedName>
    <definedName name="VMMERCMOUNT" localSheetId="0">#REF!</definedName>
    <definedName name="VMMERCMOUNT" localSheetId="5">#REF!</definedName>
    <definedName name="VMMERCMOUNT" localSheetId="4">#REF!</definedName>
    <definedName name="VMMERCMOUNT">#REF!</definedName>
    <definedName name="VMMERCOUGARALL" localSheetId="0">#REF!</definedName>
    <definedName name="VMMERCOUGARALL" localSheetId="5">#REF!</definedName>
    <definedName name="VMMERCOUGARALL" localSheetId="4">#REF!</definedName>
    <definedName name="VMMERCOUGARALL">#REF!</definedName>
    <definedName name="VMMERCTOPAZALL" localSheetId="0">#REF!</definedName>
    <definedName name="VMMERCTOPAZALL" localSheetId="5">#REF!</definedName>
    <definedName name="VMMERCTOPAZALL" localSheetId="4">#REF!</definedName>
    <definedName name="VMMERCTOPAZALL">#REF!</definedName>
    <definedName name="VMMERCTRACERALL" localSheetId="0">#REF!</definedName>
    <definedName name="VMMERCTRACERALL" localSheetId="5">#REF!</definedName>
    <definedName name="VMMERCTRACERALL" localSheetId="4">#REF!</definedName>
    <definedName name="VMMERCTRACERALL">#REF!</definedName>
    <definedName name="VMMERCVILLP" localSheetId="0">#REF!</definedName>
    <definedName name="VMMERCVILLP" localSheetId="5">#REF!</definedName>
    <definedName name="VMMERCVILLP" localSheetId="4">#REF!</definedName>
    <definedName name="VMMERCVILLP">#REF!</definedName>
    <definedName name="VMMERKSCORP" localSheetId="0">#REF!</definedName>
    <definedName name="VMMERKSCORP" localSheetId="5">#REF!</definedName>
    <definedName name="VMMERKSCORP" localSheetId="4">#REF!</definedName>
    <definedName name="VMMERKSCORP">#REF!</definedName>
    <definedName name="VMMERKXR4Ti" localSheetId="0">#REF!</definedName>
    <definedName name="VMMERKXR4Ti" localSheetId="5">#REF!</definedName>
    <definedName name="VMMERKXR4Ti" localSheetId="4">#REF!</definedName>
    <definedName name="VMMERKXR4Ti">#REF!</definedName>
    <definedName name="VMMERMARQALL" localSheetId="0">#REF!</definedName>
    <definedName name="VMMERMARQALL" localSheetId="5">#REF!</definedName>
    <definedName name="VMMERMARQALL" localSheetId="4">#REF!</definedName>
    <definedName name="VMMERMARQALL">#REF!</definedName>
    <definedName name="VMMERSABLEALL" localSheetId="0">#REF!</definedName>
    <definedName name="VMMERSABLEALL" localSheetId="5">#REF!</definedName>
    <definedName name="VMMERSABLEALL" localSheetId="4">#REF!</definedName>
    <definedName name="VMMERSABLEALL">#REF!</definedName>
    <definedName name="VMMIT3000ALL" localSheetId="0">#REF!</definedName>
    <definedName name="VMMIT3000ALL" localSheetId="5">#REF!</definedName>
    <definedName name="VMMIT3000ALL" localSheetId="4">#REF!</definedName>
    <definedName name="VMMIT3000ALL">#REF!</definedName>
    <definedName name="VMMITC" localSheetId="0">#REF!</definedName>
    <definedName name="VMMITC" localSheetId="5">#REF!</definedName>
    <definedName name="VMMITC" localSheetId="4">#REF!</definedName>
    <definedName name="VMMITC">#REF!</definedName>
    <definedName name="VMMITDIAMANTEALL" localSheetId="0">#REF!</definedName>
    <definedName name="VMMITDIAMANTEALL" localSheetId="5">#REF!</definedName>
    <definedName name="VMMITDIAMANTEALL" localSheetId="4">#REF!</definedName>
    <definedName name="VMMITDIAMANTEALL">#REF!</definedName>
    <definedName name="VMMITECLIPSEALL" localSheetId="0">#REF!</definedName>
    <definedName name="VMMITECLIPSEALL" localSheetId="5">#REF!</definedName>
    <definedName name="VMMITECLIPSEALL" localSheetId="4">#REF!</definedName>
    <definedName name="VMMITECLIPSEALL">#REF!</definedName>
    <definedName name="VMMITEXPOALL" localSheetId="0">#REF!</definedName>
    <definedName name="VMMITEXPOALL" localSheetId="5">#REF!</definedName>
    <definedName name="VMMITEXPOALL" localSheetId="4">#REF!</definedName>
    <definedName name="VMMITEXPOALL">#REF!</definedName>
    <definedName name="VMMITEXPOP" localSheetId="0">#REF!</definedName>
    <definedName name="VMMITEXPOP" localSheetId="5">#REF!</definedName>
    <definedName name="VMMITEXPOP" localSheetId="4">#REF!</definedName>
    <definedName name="VMMITEXPOP">#REF!</definedName>
    <definedName name="VMMITGALANT" localSheetId="0">#REF!</definedName>
    <definedName name="VMMITGALANT" localSheetId="5">#REF!</definedName>
    <definedName name="VMMITGALANT" localSheetId="4">#REF!</definedName>
    <definedName name="VMMITGALANT">#REF!</definedName>
    <definedName name="VMMITMIRAGEALL" localSheetId="0">#REF!</definedName>
    <definedName name="VMMITMIRAGEALL" localSheetId="5">#REF!</definedName>
    <definedName name="VMMITMIRAGEALL" localSheetId="4">#REF!</definedName>
    <definedName name="VMMITMIRAGEALL">#REF!</definedName>
    <definedName name="VMMITMONTALL" localSheetId="0">#REF!</definedName>
    <definedName name="VMMITMONTALL" localSheetId="5">#REF!</definedName>
    <definedName name="VMMITMONTALL" localSheetId="4">#REF!</definedName>
    <definedName name="VMMITMONTALL">#REF!</definedName>
    <definedName name="VMMITMONTSPT" localSheetId="0">#REF!</definedName>
    <definedName name="VMMITMONTSPT" localSheetId="5">#REF!</definedName>
    <definedName name="VMMITMONTSPT" localSheetId="4">#REF!</definedName>
    <definedName name="VMMITMONTSPT">#REF!</definedName>
    <definedName name="VMMITMXALL" localSheetId="0">#REF!</definedName>
    <definedName name="VMMITMXALL" localSheetId="5">#REF!</definedName>
    <definedName name="VMMITMXALL" localSheetId="4">#REF!</definedName>
    <definedName name="VMMITMXALL">#REF!</definedName>
    <definedName name="VMMITPRECALL" localSheetId="0">#REF!</definedName>
    <definedName name="VMMITPRECALL" localSheetId="5">#REF!</definedName>
    <definedName name="VMMITPRECALL" localSheetId="4">#REF!</definedName>
    <definedName name="VMMITPRECALL">#REF!</definedName>
    <definedName name="VMMITSIG" localSheetId="0">#REF!</definedName>
    <definedName name="VMMITSIG" localSheetId="5">#REF!</definedName>
    <definedName name="VMMITSIG" localSheetId="4">#REF!</definedName>
    <definedName name="VMMITSIG">#REF!</definedName>
    <definedName name="VMMITSUV" localSheetId="0">#REF!</definedName>
    <definedName name="VMMITSUV" localSheetId="5">#REF!</definedName>
    <definedName name="VMMITSUV" localSheetId="4">#REF!</definedName>
    <definedName name="VMMITSUV">#REF!</definedName>
    <definedName name="VMMITVANP" localSheetId="0">#REF!</definedName>
    <definedName name="VMMITVANP" localSheetId="5">#REF!</definedName>
    <definedName name="VMMITVANP" localSheetId="4">#REF!</definedName>
    <definedName name="VMMITVANP">#REF!</definedName>
    <definedName name="VMMXZ929" localSheetId="0">#REF!</definedName>
    <definedName name="VMMXZ929" localSheetId="5">#REF!</definedName>
    <definedName name="VMMXZ929" localSheetId="4">#REF!</definedName>
    <definedName name="VMMXZ929">#REF!</definedName>
    <definedName name="VMMZBSERIESALL" localSheetId="0">#REF!</definedName>
    <definedName name="VMMZBSERIESALL" localSheetId="5">#REF!</definedName>
    <definedName name="VMMZBSERIESALL" localSheetId="4">#REF!</definedName>
    <definedName name="VMMZBSERIESALL">#REF!</definedName>
    <definedName name="VMMZDMILL" localSheetId="0">#REF!</definedName>
    <definedName name="VMMZDMILL" localSheetId="5">#REF!</definedName>
    <definedName name="VMMZDMILL" localSheetId="4">#REF!</definedName>
    <definedName name="VMMZDMILL">#REF!</definedName>
    <definedName name="VMMZDMX3" localSheetId="0">#REF!</definedName>
    <definedName name="VMMZDMX3" localSheetId="5">#REF!</definedName>
    <definedName name="VMMZDMX3" localSheetId="4">#REF!</definedName>
    <definedName name="VMMZDMX3">#REF!</definedName>
    <definedName name="VMMZDMX5" localSheetId="0">#REF!</definedName>
    <definedName name="VMMZDMX5" localSheetId="5">#REF!</definedName>
    <definedName name="VMMZDMX5" localSheetId="4">#REF!</definedName>
    <definedName name="VMMZDMX5">#REF!</definedName>
    <definedName name="VMMZDMX6" localSheetId="0">#REF!</definedName>
    <definedName name="VMMZDMX6" localSheetId="5">#REF!</definedName>
    <definedName name="VMMZDMX6" localSheetId="4">#REF!</definedName>
    <definedName name="VMMZDMX6">#REF!</definedName>
    <definedName name="VMMZMPV" localSheetId="0">#REF!</definedName>
    <definedName name="VMMZMPV" localSheetId="5">#REF!</definedName>
    <definedName name="VMMZMPV" localSheetId="4">#REF!</definedName>
    <definedName name="VMMZMPV">#REF!</definedName>
    <definedName name="VMMZNAVA" localSheetId="0">#REF!</definedName>
    <definedName name="VMMZNAVA" localSheetId="5">#REF!</definedName>
    <definedName name="VMMZNAVA" localSheetId="4">#REF!</definedName>
    <definedName name="VMMZNAVA">#REF!</definedName>
    <definedName name="VMMZU204" localSheetId="0">#REF!</definedName>
    <definedName name="VMMZU204" localSheetId="5">#REF!</definedName>
    <definedName name="VMMZU204" localSheetId="4">#REF!</definedName>
    <definedName name="VMMZU204">#REF!</definedName>
    <definedName name="VMNIS240SXALL" localSheetId="0">#REF!</definedName>
    <definedName name="VMNIS240SXALL" localSheetId="5">#REF!</definedName>
    <definedName name="VMNIS240SXALL" localSheetId="4">#REF!</definedName>
    <definedName name="VMNIS240SXALL">#REF!</definedName>
    <definedName name="VMNIS300ZXALL" localSheetId="0">#REF!</definedName>
    <definedName name="VMNIS300ZXALL" localSheetId="5">#REF!</definedName>
    <definedName name="VMNIS300ZXALL" localSheetId="4">#REF!</definedName>
    <definedName name="VMNIS300ZXALL">#REF!</definedName>
    <definedName name="VMNISALTEV" localSheetId="0">#REF!</definedName>
    <definedName name="VMNISALTEV" localSheetId="5">#REF!</definedName>
    <definedName name="VMNISALTEV" localSheetId="4">#REF!</definedName>
    <definedName name="VMNISALTEV">#REF!</definedName>
    <definedName name="VMNISALTIMAALL" localSheetId="0">#REF!</definedName>
    <definedName name="VMNISALTIMAALL" localSheetId="5">#REF!</definedName>
    <definedName name="VMNISALTIMAALL" localSheetId="4">#REF!</definedName>
    <definedName name="VMNISALTIMAALL">#REF!</definedName>
    <definedName name="VMNISFRONTALL" localSheetId="0">#REF!</definedName>
    <definedName name="VMNISFRONTALL" localSheetId="5">#REF!</definedName>
    <definedName name="VMNISFRONTALL" localSheetId="4">#REF!</definedName>
    <definedName name="VMNISFRONTALL">#REF!</definedName>
    <definedName name="VMNISMAXALL" localSheetId="0">#REF!</definedName>
    <definedName name="VMNISMAXALL" localSheetId="5">#REF!</definedName>
    <definedName name="VMNISMAXALL" localSheetId="4">#REF!</definedName>
    <definedName name="VMNISMAXALL">#REF!</definedName>
    <definedName name="VMNISPATHALL" localSheetId="0">#REF!</definedName>
    <definedName name="VMNISPATHALL" localSheetId="5">#REF!</definedName>
    <definedName name="VMNISPATHALL" localSheetId="4">#REF!</definedName>
    <definedName name="VMNISPATHALL">#REF!</definedName>
    <definedName name="VMNISQUESTP" localSheetId="0">#REF!</definedName>
    <definedName name="VMNISQUESTP" localSheetId="5">#REF!</definedName>
    <definedName name="VMNISQUESTP" localSheetId="4">#REF!</definedName>
    <definedName name="VMNISQUESTP">#REF!</definedName>
    <definedName name="VMNISSENTRAALL" localSheetId="0">#REF!</definedName>
    <definedName name="VMNISSENTRAALL" localSheetId="5">#REF!</definedName>
    <definedName name="VMNISSENTRAALL" localSheetId="4">#REF!</definedName>
    <definedName name="VMNISSENTRAALL">#REF!</definedName>
    <definedName name="VMNISXTERRA" localSheetId="0">#REF!</definedName>
    <definedName name="VMNISXTERRA" localSheetId="5">#REF!</definedName>
    <definedName name="VMNISXTERRA" localSheetId="4">#REF!</definedName>
    <definedName name="VMNISXTERRA">#REF!</definedName>
    <definedName name="VMNSN1600" localSheetId="0">#REF!</definedName>
    <definedName name="VMNSN1600" localSheetId="5">#REF!</definedName>
    <definedName name="VMNSN1600" localSheetId="4">#REF!</definedName>
    <definedName name="VMNSN1600">#REF!</definedName>
    <definedName name="VMNSN200SX" localSheetId="0">#REF!</definedName>
    <definedName name="VMNSN200SX" localSheetId="5">#REF!</definedName>
    <definedName name="VMNSN200SX" localSheetId="4">#REF!</definedName>
    <definedName name="VMNSN200SX">#REF!</definedName>
    <definedName name="VMNSNAXXESS" localSheetId="0">#REF!</definedName>
    <definedName name="VMNSNAXXESS" localSheetId="5">#REF!</definedName>
    <definedName name="VMNSNAXXESS" localSheetId="4">#REF!</definedName>
    <definedName name="VMNSNAXXESS">#REF!</definedName>
    <definedName name="VMNSNVANP" localSheetId="0">#REF!</definedName>
    <definedName name="VMNSNVANP" localSheetId="5">#REF!</definedName>
    <definedName name="VMNSNVANP" localSheetId="4">#REF!</definedName>
    <definedName name="VMNSNVANP">#REF!</definedName>
    <definedName name="VMOLD88ALL" localSheetId="0">#REF!</definedName>
    <definedName name="VMOLD88ALL" localSheetId="5">#REF!</definedName>
    <definedName name="VMOLD88ALL" localSheetId="4">#REF!</definedName>
    <definedName name="VMOLD88ALL">#REF!</definedName>
    <definedName name="VMOLD98ALL" localSheetId="0">#REF!</definedName>
    <definedName name="VMOLD98ALL" localSheetId="5">#REF!</definedName>
    <definedName name="VMOLD98ALL" localSheetId="4">#REF!</definedName>
    <definedName name="VMOLD98ALL">#REF!</definedName>
    <definedName name="VMOLDACH_ALEROALL" localSheetId="0">#REF!</definedName>
    <definedName name="VMOLDACH_ALEROALL" localSheetId="5">#REF!</definedName>
    <definedName name="VMOLDACH_ALEROALL" localSheetId="4">#REF!</definedName>
    <definedName name="VMOLDACH_ALEROALL">#REF!</definedName>
    <definedName name="VMOLDAURORA_TORALL" localSheetId="0">#REF!</definedName>
    <definedName name="VMOLDAURORA_TORALL" localSheetId="5">#REF!</definedName>
    <definedName name="VMOLDAURORA_TORALL" localSheetId="4">#REF!</definedName>
    <definedName name="VMOLDAURORA_TORALL">#REF!</definedName>
    <definedName name="VMOLDBRAV" localSheetId="0">#REF!</definedName>
    <definedName name="VMOLDBRAV" localSheetId="5">#REF!</definedName>
    <definedName name="VMOLDBRAV" localSheetId="4">#REF!</definedName>
    <definedName name="VMOLDBRAV">#REF!</definedName>
    <definedName name="VMOLDCUSTW" localSheetId="0">#REF!</definedName>
    <definedName name="VMOLDCUSTW" localSheetId="5">#REF!</definedName>
    <definedName name="VMOLDCUSTW" localSheetId="4">#REF!</definedName>
    <definedName name="VMOLDCUSTW">#REF!</definedName>
    <definedName name="VMOLDCUTCIERAALL" localSheetId="0">#REF!</definedName>
    <definedName name="VMOLDCUTCIERAALL" localSheetId="5">#REF!</definedName>
    <definedName name="VMOLDCUTCIERAALL" localSheetId="4">#REF!</definedName>
    <definedName name="VMOLDCUTCIERAALL">#REF!</definedName>
    <definedName name="VMOLDCUTSUPALL" localSheetId="0">#REF!</definedName>
    <definedName name="VMOLDCUTSUPALL" localSheetId="5">#REF!</definedName>
    <definedName name="VMOLDCUTSUPALL" localSheetId="4">#REF!</definedName>
    <definedName name="VMOLDCUTSUPALL">#REF!</definedName>
    <definedName name="VMOLDSILHP" localSheetId="0">#REF!</definedName>
    <definedName name="VMOLDSILHP" localSheetId="5">#REF!</definedName>
    <definedName name="VMOLDSILHP" localSheetId="4">#REF!</definedName>
    <definedName name="VMOLDSILHP">#REF!</definedName>
    <definedName name="VMOLDSSUV" localSheetId="0">#REF!</definedName>
    <definedName name="VMOLDSSUV" localSheetId="5">#REF!</definedName>
    <definedName name="VMOLDSSUV" localSheetId="4">#REF!</definedName>
    <definedName name="VMOLDSSUV">#REF!</definedName>
    <definedName name="VMPLYACCLAIMALL" localSheetId="0">#REF!</definedName>
    <definedName name="VMPLYACCLAIMALL" localSheetId="5">#REF!</definedName>
    <definedName name="VMPLYACCLAIMALL" localSheetId="4">#REF!</definedName>
    <definedName name="VMPLYACCLAIMALL">#REF!</definedName>
    <definedName name="VMPLYCARA" localSheetId="0">#REF!</definedName>
    <definedName name="VMPLYCARA" localSheetId="5">#REF!</definedName>
    <definedName name="VMPLYCARA" localSheetId="4">#REF!</definedName>
    <definedName name="VMPLYCARA">#REF!</definedName>
    <definedName name="VMPLYCOLTALL" localSheetId="0">#REF!</definedName>
    <definedName name="VMPLYCOLTALL" localSheetId="5">#REF!</definedName>
    <definedName name="VMPLYCOLTALL" localSheetId="4">#REF!</definedName>
    <definedName name="VMPLYCOLTALL">#REF!</definedName>
    <definedName name="VMPLYCOLTVW" localSheetId="0">#REF!</definedName>
    <definedName name="VMPLYCOLTVW" localSheetId="5">#REF!</definedName>
    <definedName name="VMPLYCOLTVW" localSheetId="4">#REF!</definedName>
    <definedName name="VMPLYCOLTVW">#REF!</definedName>
    <definedName name="VMPLYFURY" localSheetId="0">#REF!</definedName>
    <definedName name="VMPLYFURY" localSheetId="5">#REF!</definedName>
    <definedName name="VMPLYFURY" localSheetId="4">#REF!</definedName>
    <definedName name="VMPLYFURY">#REF!</definedName>
    <definedName name="VMPLYHORIZON" localSheetId="0">#REF!</definedName>
    <definedName name="VMPLYHORIZON" localSheetId="5">#REF!</definedName>
    <definedName name="VMPLYHORIZON" localSheetId="4">#REF!</definedName>
    <definedName name="VMPLYHORIZON">#REF!</definedName>
    <definedName name="VMPLYLASER" localSheetId="0">#REF!</definedName>
    <definedName name="VMPLYLASER" localSheetId="5">#REF!</definedName>
    <definedName name="VMPLYLASER" localSheetId="4">#REF!</definedName>
    <definedName name="VMPLYLASER">#REF!</definedName>
    <definedName name="VMPLYPROW" localSheetId="0">#REF!</definedName>
    <definedName name="VMPLYPROW" localSheetId="5">#REF!</definedName>
    <definedName name="VMPLYPROW" localSheetId="4">#REF!</definedName>
    <definedName name="VMPLYPROW">#REF!</definedName>
    <definedName name="VMPLYSUN_NEONALL" localSheetId="0">#REF!</definedName>
    <definedName name="VMPLYSUN_NEONALL" localSheetId="5">#REF!</definedName>
    <definedName name="VMPLYSUN_NEONALL" localSheetId="4">#REF!</definedName>
    <definedName name="VMPLYSUN_NEONALL">#REF!</definedName>
    <definedName name="VMPLYVOYP" localSheetId="0">#REF!</definedName>
    <definedName name="VMPLYVOYP" localSheetId="5">#REF!</definedName>
    <definedName name="VMPLYVOYP" localSheetId="4">#REF!</definedName>
    <definedName name="VMPLYVOYP">#REF!</definedName>
    <definedName name="VMPONBONN" localSheetId="0">#REF!</definedName>
    <definedName name="VMPONBONN" localSheetId="5">#REF!</definedName>
    <definedName name="VMPONBONN" localSheetId="4">#REF!</definedName>
    <definedName name="VMPONBONN">#REF!</definedName>
    <definedName name="VMPONSAFARW" localSheetId="0">#REF!</definedName>
    <definedName name="VMPONSAFARW" localSheetId="5">#REF!</definedName>
    <definedName name="VMPONSAFARW" localSheetId="4">#REF!</definedName>
    <definedName name="VMPONSAFARW">#REF!</definedName>
    <definedName name="VMPONT6000ALL" localSheetId="0">#REF!</definedName>
    <definedName name="VMPONT6000ALL" localSheetId="5">#REF!</definedName>
    <definedName name="VMPONT6000ALL" localSheetId="4">#REF!</definedName>
    <definedName name="VMPONT6000ALL">#REF!</definedName>
    <definedName name="VMPONTFIERO" localSheetId="0">#REF!</definedName>
    <definedName name="VMPONTFIERO" localSheetId="5">#REF!</definedName>
    <definedName name="VMPONTFIERO" localSheetId="4">#REF!</definedName>
    <definedName name="VMPONTFIERO">#REF!</definedName>
    <definedName name="VMPONTFIREBIRDALL" localSheetId="0">#REF!</definedName>
    <definedName name="VMPONTFIREBIRDALL" localSheetId="5">#REF!</definedName>
    <definedName name="VMPONTFIREBIRDALL" localSheetId="4">#REF!</definedName>
    <definedName name="VMPONTFIREBIRDALL">#REF!</definedName>
    <definedName name="VMPONTGRAMALL" localSheetId="0">#REF!</definedName>
    <definedName name="VMPONTGRAMALL" localSheetId="5">#REF!</definedName>
    <definedName name="VMPONTGRAMALL" localSheetId="4">#REF!</definedName>
    <definedName name="VMPONTGRAMALL">#REF!</definedName>
    <definedName name="VMPONTGRPRIXALL" localSheetId="0">#REF!</definedName>
    <definedName name="VMPONTGRPRIXALL" localSheetId="5">#REF!</definedName>
    <definedName name="VMPONTGRPRIXALL" localSheetId="4">#REF!</definedName>
    <definedName name="VMPONTGRPRIXALL">#REF!</definedName>
    <definedName name="VMPONTLEMANSALL" localSheetId="0">#REF!</definedName>
    <definedName name="VMPONTLEMANSALL" localSheetId="5">#REF!</definedName>
    <definedName name="VMPONTLEMANSALL" localSheetId="4">#REF!</definedName>
    <definedName name="VMPONTLEMANSALL">#REF!</definedName>
    <definedName name="VMPONTRECON" localSheetId="0">#REF!</definedName>
    <definedName name="VMPONTRECON" localSheetId="5">#REF!</definedName>
    <definedName name="VMPONTRECON" localSheetId="4">#REF!</definedName>
    <definedName name="VMPONTRECON">#REF!</definedName>
    <definedName name="VMPONTSUNALL" localSheetId="0">#REF!</definedName>
    <definedName name="VMPONTSUNALL" localSheetId="5">#REF!</definedName>
    <definedName name="VMPONTSUNALL" localSheetId="4">#REF!</definedName>
    <definedName name="VMPONTSUNALL">#REF!</definedName>
    <definedName name="VMPONTT1000ALL" localSheetId="0">#REF!</definedName>
    <definedName name="VMPONTT1000ALL" localSheetId="5">#REF!</definedName>
    <definedName name="VMPONTT1000ALL" localSheetId="4">#REF!</definedName>
    <definedName name="VMPONTT1000ALL">#REF!</definedName>
    <definedName name="VMPONTTRANP" localSheetId="0">#REF!</definedName>
    <definedName name="VMPONTTRANP" localSheetId="5">#REF!</definedName>
    <definedName name="VMPONTTRANP" localSheetId="4">#REF!</definedName>
    <definedName name="VMPONTTRANP">#REF!</definedName>
    <definedName name="VMPOR9010" localSheetId="0">#REF!</definedName>
    <definedName name="VMPOR9010" localSheetId="5">#REF!</definedName>
    <definedName name="VMPOR9010" localSheetId="4">#REF!</definedName>
    <definedName name="VMPOR9010">#REF!</definedName>
    <definedName name="VMPORSCHE911ALL" localSheetId="0">#REF!</definedName>
    <definedName name="VMPORSCHE911ALL" localSheetId="5">#REF!</definedName>
    <definedName name="VMPORSCHE911ALL" localSheetId="4">#REF!</definedName>
    <definedName name="VMPORSCHE911ALL">#REF!</definedName>
    <definedName name="VMPORSCHE944_968ALL" localSheetId="0">#REF!</definedName>
    <definedName name="VMPORSCHE944_968ALL" localSheetId="5">#REF!</definedName>
    <definedName name="VMPORSCHE944_968ALL" localSheetId="4">#REF!</definedName>
    <definedName name="VMPORSCHE944_968ALL">#REF!</definedName>
    <definedName name="VMPSCH928" localSheetId="0">#REF!</definedName>
    <definedName name="VMPSCH928" localSheetId="5">#REF!</definedName>
    <definedName name="VMPSCH928" localSheetId="4">#REF!</definedName>
    <definedName name="VMPSCH928">#REF!</definedName>
    <definedName name="VMPSCHBOX" localSheetId="0">#REF!</definedName>
    <definedName name="VMPSCHBOX" localSheetId="5">#REF!</definedName>
    <definedName name="VMPSCHBOX" localSheetId="4">#REF!</definedName>
    <definedName name="VMPSCHBOX">#REF!</definedName>
    <definedName name="VMROVDEFALL" localSheetId="0">#REF!</definedName>
    <definedName name="VMROVDEFALL" localSheetId="5">#REF!</definedName>
    <definedName name="VMROVDEFALL" localSheetId="4">#REF!</definedName>
    <definedName name="VMROVDEFALL">#REF!</definedName>
    <definedName name="VMROVDISC4" localSheetId="0">#REF!</definedName>
    <definedName name="VMROVDISC4" localSheetId="5">#REF!</definedName>
    <definedName name="VMROVDISC4" localSheetId="4">#REF!</definedName>
    <definedName name="VMROVDISC4">#REF!</definedName>
    <definedName name="VMROVFREE" localSheetId="0">#REF!</definedName>
    <definedName name="VMROVFREE" localSheetId="5">#REF!</definedName>
    <definedName name="VMROVFREE" localSheetId="4">#REF!</definedName>
    <definedName name="VMROVFREE">#REF!</definedName>
    <definedName name="VMROVROVALL" localSheetId="0">#REF!</definedName>
    <definedName name="VMROVROVALL" localSheetId="5">#REF!</definedName>
    <definedName name="VMROVROVALL" localSheetId="4">#REF!</definedName>
    <definedName name="VMROVROVALL">#REF!</definedName>
    <definedName name="VMRVR600" localSheetId="0">#REF!</definedName>
    <definedName name="VMRVR600" localSheetId="5">#REF!</definedName>
    <definedName name="VMRVR600" localSheetId="4">#REF!</definedName>
    <definedName name="VMRVR600">#REF!</definedName>
    <definedName name="VMRVR600W" localSheetId="0">#REF!</definedName>
    <definedName name="VMRVR600W" localSheetId="5">#REF!</definedName>
    <definedName name="VMRVR600W" localSheetId="4">#REF!</definedName>
    <definedName name="VMRVR600W">#REF!</definedName>
    <definedName name="VMRVR800" localSheetId="0">#REF!</definedName>
    <definedName name="VMRVR800" localSheetId="5">#REF!</definedName>
    <definedName name="VMRVR800" localSheetId="4">#REF!</definedName>
    <definedName name="VMRVR800">#REF!</definedName>
    <definedName name="VMSAAB900ALL" localSheetId="0">#REF!</definedName>
    <definedName name="VMSAAB900ALL" localSheetId="5">#REF!</definedName>
    <definedName name="VMSAAB900ALL" localSheetId="4">#REF!</definedName>
    <definedName name="VMSAAB900ALL">#REF!</definedName>
    <definedName name="VMSAAB95ALL" localSheetId="0">#REF!</definedName>
    <definedName name="VMSAAB95ALL" localSheetId="5">#REF!</definedName>
    <definedName name="VMSAAB95ALL" localSheetId="4">#REF!</definedName>
    <definedName name="VMSAAB95ALL">#REF!</definedName>
    <definedName name="VMSATSC" localSheetId="0">#REF!</definedName>
    <definedName name="VMSATSC" localSheetId="5">#REF!</definedName>
    <definedName name="VMSATSC" localSheetId="4">#REF!</definedName>
    <definedName name="VMSATSC">#REF!</definedName>
    <definedName name="VMSATSLSWALL" localSheetId="0">#REF!</definedName>
    <definedName name="VMSATSLSWALL" localSheetId="5">#REF!</definedName>
    <definedName name="VMSATSLSWALL" localSheetId="4">#REF!</definedName>
    <definedName name="VMSATSLSWALL">#REF!</definedName>
    <definedName name="VMSATSLV" localSheetId="0">#REF!</definedName>
    <definedName name="VMSATSLV" localSheetId="5">#REF!</definedName>
    <definedName name="VMSATSLV" localSheetId="4">#REF!</definedName>
    <definedName name="VMSATSLV">#REF!</definedName>
    <definedName name="VMSATSRALL" localSheetId="0">#REF!</definedName>
    <definedName name="VMSATSRALL" localSheetId="5">#REF!</definedName>
    <definedName name="VMSATSRALL" localSheetId="4">#REF!</definedName>
    <definedName name="VMSATSRALL">#REF!</definedName>
    <definedName name="VMSATVPU" localSheetId="0">#REF!</definedName>
    <definedName name="VMSATVPU" localSheetId="5">#REF!</definedName>
    <definedName name="VMSATVPU" localSheetId="4">#REF!</definedName>
    <definedName name="VMSATVPU">#REF!</definedName>
    <definedName name="VMSBFOREST4" localSheetId="0">#REF!</definedName>
    <definedName name="VMSBFOREST4" localSheetId="5">#REF!</definedName>
    <definedName name="VMSBFOREST4" localSheetId="4">#REF!</definedName>
    <definedName name="VMSBFOREST4">#REF!</definedName>
    <definedName name="VMSUBJUSTYALL" localSheetId="0">#REF!</definedName>
    <definedName name="VMSUBJUSTYALL" localSheetId="5">#REF!</definedName>
    <definedName name="VMSUBJUSTYALL" localSheetId="4">#REF!</definedName>
    <definedName name="VMSUBJUSTYALL">#REF!</definedName>
    <definedName name="VMSUBLEG" localSheetId="0">#REF!</definedName>
    <definedName name="VMSUBLEG" localSheetId="5">#REF!</definedName>
    <definedName name="VMSUBLEG" localSheetId="4">#REF!</definedName>
    <definedName name="VMSUBLEG">#REF!</definedName>
    <definedName name="VMSUBLEGACYALL" localSheetId="0">#REF!</definedName>
    <definedName name="VMSUBLEGACYALL" localSheetId="5">#REF!</definedName>
    <definedName name="VMSUBLEGACYALL" localSheetId="4">#REF!</definedName>
    <definedName name="VMSUBLEGACYALL">#REF!</definedName>
    <definedName name="VMSUBLEGOUT" localSheetId="0">#REF!</definedName>
    <definedName name="VMSUBLEGOUT" localSheetId="5">#REF!</definedName>
    <definedName name="VMSUBLEGOUT" localSheetId="4">#REF!</definedName>
    <definedName name="VMSUBLEGOUT">#REF!</definedName>
    <definedName name="VMSUBLOY_IMPALL" localSheetId="0">#REF!</definedName>
    <definedName name="VMSUBLOY_IMPALL" localSheetId="5">#REF!</definedName>
    <definedName name="VMSUBLOY_IMPALL" localSheetId="4">#REF!</definedName>
    <definedName name="VMSUBLOY_IMPALL">#REF!</definedName>
    <definedName name="VMSUBOUTSPT" localSheetId="0">#REF!</definedName>
    <definedName name="VMSUBOUTSPT" localSheetId="5">#REF!</definedName>
    <definedName name="VMSUBOUTSPT" localSheetId="4">#REF!</definedName>
    <definedName name="VMSUBOUTSPT">#REF!</definedName>
    <definedName name="VMSUBSVX" localSheetId="0">#REF!</definedName>
    <definedName name="VMSUBSVX" localSheetId="5">#REF!</definedName>
    <definedName name="VMSUBSVX" localSheetId="4">#REF!</definedName>
    <definedName name="VMSUBSVX">#REF!</definedName>
    <definedName name="VMSUBXT" localSheetId="0">#REF!</definedName>
    <definedName name="VMSUBXT" localSheetId="5">#REF!</definedName>
    <definedName name="VMSUBXT" localSheetId="4">#REF!</definedName>
    <definedName name="VMSUBXT">#REF!</definedName>
    <definedName name="VMSUZESTEEMALL" localSheetId="0">#REF!</definedName>
    <definedName name="VMSUZESTEEMALL" localSheetId="5">#REF!</definedName>
    <definedName name="VMSUZESTEEMALL" localSheetId="4">#REF!</definedName>
    <definedName name="VMSUZESTEEMALL">#REF!</definedName>
    <definedName name="VMSUZGVIT" localSheetId="0">#REF!</definedName>
    <definedName name="VMSUZGVIT" localSheetId="5">#REF!</definedName>
    <definedName name="VMSUZGVIT" localSheetId="4">#REF!</definedName>
    <definedName name="VMSUZGVIT">#REF!</definedName>
    <definedName name="VMSUZSWIFTALL" localSheetId="0">#REF!</definedName>
    <definedName name="VMSUZSWIFTALL" localSheetId="5">#REF!</definedName>
    <definedName name="VMSUZSWIFTALL" localSheetId="4">#REF!</definedName>
    <definedName name="VMSUZSWIFTALL">#REF!</definedName>
    <definedName name="VMSZSAM" localSheetId="0">#REF!</definedName>
    <definedName name="VMSZSAM" localSheetId="5">#REF!</definedName>
    <definedName name="VMSZSAM" localSheetId="4">#REF!</definedName>
    <definedName name="VMSZSAM">#REF!</definedName>
    <definedName name="VMSZSIDEALL" localSheetId="0">#REF!</definedName>
    <definedName name="VMSZSIDEALL" localSheetId="5">#REF!</definedName>
    <definedName name="VMSZSIDEALL" localSheetId="4">#REF!</definedName>
    <definedName name="VMSZSIDEALL">#REF!</definedName>
    <definedName name="VMSZX90" localSheetId="0">#REF!</definedName>
    <definedName name="VMSZX90" localSheetId="5">#REF!</definedName>
    <definedName name="VMSZX90" localSheetId="4">#REF!</definedName>
    <definedName name="VMSZX90">#REF!</definedName>
    <definedName name="VMTOY013N" localSheetId="0">#REF!</definedName>
    <definedName name="VMTOY013N" localSheetId="5">#REF!</definedName>
    <definedName name="VMTOY013N" localSheetId="4">#REF!</definedName>
    <definedName name="VMTOY013N">#REF!</definedName>
    <definedName name="VMTOY4RUNALL" localSheetId="0">#REF!</definedName>
    <definedName name="VMTOY4RUNALL" localSheetId="5">#REF!</definedName>
    <definedName name="VMTOY4RUNALL" localSheetId="4">#REF!</definedName>
    <definedName name="VMTOY4RUNALL">#REF!</definedName>
    <definedName name="VMTOYCAMRYALL" localSheetId="0">#REF!</definedName>
    <definedName name="VMTOYCAMRYALL" localSheetId="5">#REF!</definedName>
    <definedName name="VMTOYCAMRYALL" localSheetId="4">#REF!</definedName>
    <definedName name="VMTOYCAMRYALL">#REF!</definedName>
    <definedName name="VMTOYCELICAALL" localSheetId="0">#REF!</definedName>
    <definedName name="VMTOYCELICAALL" localSheetId="5">#REF!</definedName>
    <definedName name="VMTOYCELICAALL" localSheetId="4">#REF!</definedName>
    <definedName name="VMTOYCELICAALL">#REF!</definedName>
    <definedName name="VMTOYCOROLLAALL" localSheetId="0">#REF!</definedName>
    <definedName name="VMTOYCOROLLAALL" localSheetId="5">#REF!</definedName>
    <definedName name="VMTOYCOROLLAALL" localSheetId="4">#REF!</definedName>
    <definedName name="VMTOYCOROLLAALL">#REF!</definedName>
    <definedName name="VMTOYCRES_AVALALL" localSheetId="0">#REF!</definedName>
    <definedName name="VMTOYCRES_AVALALL" localSheetId="5">#REF!</definedName>
    <definedName name="VMTOYCRES_AVALALL" localSheetId="4">#REF!</definedName>
    <definedName name="VMTOYCRES_AVALALL">#REF!</definedName>
    <definedName name="VMTOYLAND" localSheetId="0">#REF!</definedName>
    <definedName name="VMTOYLAND" localSheetId="5">#REF!</definedName>
    <definedName name="VMTOYLAND" localSheetId="4">#REF!</definedName>
    <definedName name="VMTOYLAND">#REF!</definedName>
    <definedName name="VMTOYLSUV" localSheetId="0">#REF!</definedName>
    <definedName name="VMTOYLSUV" localSheetId="5">#REF!</definedName>
    <definedName name="VMTOYLSUV" localSheetId="4">#REF!</definedName>
    <definedName name="VMTOYLSUV">#REF!</definedName>
    <definedName name="VMTOYPASEOALL" localSheetId="0">#REF!</definedName>
    <definedName name="VMTOYPASEOALL" localSheetId="5">#REF!</definedName>
    <definedName name="VMTOYPASEOALL" localSheetId="4">#REF!</definedName>
    <definedName name="VMTOYPASEOALL">#REF!</definedName>
    <definedName name="VMTOYRAVALL" localSheetId="0">#REF!</definedName>
    <definedName name="VMTOYRAVALL" localSheetId="5">#REF!</definedName>
    <definedName name="VMTOYRAVALL" localSheetId="4">#REF!</definedName>
    <definedName name="VMTOYRAVALL">#REF!</definedName>
    <definedName name="VMTOYSOLARAALL" localSheetId="0">#REF!</definedName>
    <definedName name="VMTOYSOLARAALL" localSheetId="5">#REF!</definedName>
    <definedName name="VMTOYSOLARAALL" localSheetId="4">#REF!</definedName>
    <definedName name="VMTOYSOLARAALL">#REF!</definedName>
    <definedName name="VMTOYT100ALL" localSheetId="0">#REF!</definedName>
    <definedName name="VMTOYT100ALL" localSheetId="5">#REF!</definedName>
    <definedName name="VMTOYT100ALL" localSheetId="4">#REF!</definedName>
    <definedName name="VMTOYT100ALL">#REF!</definedName>
    <definedName name="VMTOYTACOMAALL" localSheetId="0">#REF!</definedName>
    <definedName name="VMTOYTACOMAALL" localSheetId="5">#REF!</definedName>
    <definedName name="VMTOYTACOMAALL" localSheetId="4">#REF!</definedName>
    <definedName name="VMTOYTACOMAALL">#REF!</definedName>
    <definedName name="VMTOYTERCELALL" localSheetId="0">#REF!</definedName>
    <definedName name="VMTOYTERCELALL" localSheetId="5">#REF!</definedName>
    <definedName name="VMTOYTERCELALL" localSheetId="4">#REF!</definedName>
    <definedName name="VMTOYTERCELALL">#REF!</definedName>
    <definedName name="VMTOYTUNDRA" localSheetId="0">#REF!</definedName>
    <definedName name="VMTOYTUNDRA" localSheetId="5">#REF!</definedName>
    <definedName name="VMTOYTUNDRA" localSheetId="4">#REF!</definedName>
    <definedName name="VMTOYTUNDRA">#REF!</definedName>
    <definedName name="VMTOYVANALL" localSheetId="0">#REF!</definedName>
    <definedName name="VMTOYVANALL" localSheetId="5">#REF!</definedName>
    <definedName name="VMTOYVANALL" localSheetId="4">#REF!</definedName>
    <definedName name="VMTOYVANALL">#REF!</definedName>
    <definedName name="VMTYMR2" localSheetId="0">#REF!</definedName>
    <definedName name="VMTYMR2" localSheetId="5">#REF!</definedName>
    <definedName name="VMTYMR2" localSheetId="4">#REF!</definedName>
    <definedName name="VMTYMR2">#REF!</definedName>
    <definedName name="VMTYMRS" localSheetId="0">#REF!</definedName>
    <definedName name="VMTYMRS" localSheetId="5">#REF!</definedName>
    <definedName name="VMTYMRS" localSheetId="4">#REF!</definedName>
    <definedName name="VMTYMRS">#REF!</definedName>
    <definedName name="VMTYPRIUS" localSheetId="0">#REF!</definedName>
    <definedName name="VMTYPRIUS" localSheetId="5">#REF!</definedName>
    <definedName name="VMTYPRIUS" localSheetId="4">#REF!</definedName>
    <definedName name="VMTYPRIUS">#REF!</definedName>
    <definedName name="VMTYSUPRA" localSheetId="0">#REF!</definedName>
    <definedName name="VMTYSUPRA" localSheetId="5">#REF!</definedName>
    <definedName name="VMTYSUPRA" localSheetId="4">#REF!</definedName>
    <definedName name="VMTYSUPRA">#REF!</definedName>
    <definedName name="VMVOLS70_V70" localSheetId="0">#REF!</definedName>
    <definedName name="VMVOLS70_V70" localSheetId="5">#REF!</definedName>
    <definedName name="VMVOLS70_V70" localSheetId="4">#REF!</definedName>
    <definedName name="VMVOLS70_V70">#REF!</definedName>
    <definedName name="VMVOLS80" localSheetId="0">#REF!</definedName>
    <definedName name="VMVOLS80" localSheetId="5">#REF!</definedName>
    <definedName name="VMVOLS80" localSheetId="4">#REF!</definedName>
    <definedName name="VMVOLS80">#REF!</definedName>
    <definedName name="VMVOLVAN" localSheetId="0">#REF!</definedName>
    <definedName name="VMVOLVAN" localSheetId="5">#REF!</definedName>
    <definedName name="VMVOLVAN" localSheetId="4">#REF!</definedName>
    <definedName name="VMVOLVAN">#REF!</definedName>
    <definedName name="VMVOLVO240" localSheetId="0">#REF!</definedName>
    <definedName name="VMVOLVO240" localSheetId="5">#REF!</definedName>
    <definedName name="VMVOLVO240" localSheetId="4">#REF!</definedName>
    <definedName name="VMVOLVO240">#REF!</definedName>
    <definedName name="VMVOLVO760_780_740" localSheetId="0">#REF!</definedName>
    <definedName name="VMVOLVO760_780_740" localSheetId="5">#REF!</definedName>
    <definedName name="VMVOLVO760_780_740" localSheetId="4">#REF!</definedName>
    <definedName name="VMVOLVO760_780_740">#REF!</definedName>
    <definedName name="VMVOLVO850_70" localSheetId="0">#REF!</definedName>
    <definedName name="VMVOLVO850_70" localSheetId="5">#REF!</definedName>
    <definedName name="VMVOLVO850_70" localSheetId="4">#REF!</definedName>
    <definedName name="VMVOLVO850_70">#REF!</definedName>
    <definedName name="VMVOLVO960_940_90" localSheetId="0">#REF!</definedName>
    <definedName name="VMVOLVO960_940_90" localSheetId="5">#REF!</definedName>
    <definedName name="VMVOLVO960_940_90" localSheetId="4">#REF!</definedName>
    <definedName name="VMVOLVO960_940_90">#REF!</definedName>
    <definedName name="VMVOLVOC70" localSheetId="0">#REF!</definedName>
    <definedName name="VMVOLVOC70" localSheetId="5">#REF!</definedName>
    <definedName name="VMVOLVOC70" localSheetId="4">#REF!</definedName>
    <definedName name="VMVOLVOC70">#REF!</definedName>
    <definedName name="VMVOLVOS40" localSheetId="0">#REF!</definedName>
    <definedName name="VMVOLVOS40" localSheetId="5">#REF!</definedName>
    <definedName name="VMVOLVOS40" localSheetId="4">#REF!</definedName>
    <definedName name="VMVOLVOS40">#REF!</definedName>
    <definedName name="VMVOLVOSUV" localSheetId="0">#REF!</definedName>
    <definedName name="VMVOLVOSUV" localSheetId="5">#REF!</definedName>
    <definedName name="VMVOLVOSUV" localSheetId="4">#REF!</definedName>
    <definedName name="VMVOLVOSUV">#REF!</definedName>
    <definedName name="VMVWBEETLEALL" localSheetId="0">#REF!</definedName>
    <definedName name="VMVWBEETLEALL" localSheetId="5">#REF!</definedName>
    <definedName name="VMVWBEETLEALL" localSheetId="4">#REF!</definedName>
    <definedName name="VMVWBEETLEALL">#REF!</definedName>
    <definedName name="VMVWCABRIO" localSheetId="0">#REF!</definedName>
    <definedName name="VMVWCABRIO" localSheetId="5">#REF!</definedName>
    <definedName name="VMVWCABRIO" localSheetId="4">#REF!</definedName>
    <definedName name="VMVWCABRIO">#REF!</definedName>
    <definedName name="VMVWD1" localSheetId="0">#REF!</definedName>
    <definedName name="VMVWD1" localSheetId="5">#REF!</definedName>
    <definedName name="VMVWD1" localSheetId="4">#REF!</definedName>
    <definedName name="VMVWD1">#REF!</definedName>
    <definedName name="VMVWEUROP" localSheetId="0">#REF!</definedName>
    <definedName name="VMVWEUROP" localSheetId="5">#REF!</definedName>
    <definedName name="VMVWEUROP" localSheetId="4">#REF!</definedName>
    <definedName name="VMVWEUROP">#REF!</definedName>
    <definedName name="VMVWFOXALL" localSheetId="0">#REF!</definedName>
    <definedName name="VMVWFOXALL" localSheetId="5">#REF!</definedName>
    <definedName name="VMVWFOXALL" localSheetId="4">#REF!</definedName>
    <definedName name="VMVWFOXALL">#REF!</definedName>
    <definedName name="VMVWGOLFALL" localSheetId="0">#REF!</definedName>
    <definedName name="VMVWGOLFALL" localSheetId="5">#REF!</definedName>
    <definedName name="VMVWGOLFALL" localSheetId="4">#REF!</definedName>
    <definedName name="VMVWGOLFALL">#REF!</definedName>
    <definedName name="VMVWJETTAALL" localSheetId="0">#REF!</definedName>
    <definedName name="VMVWJETTAALL" localSheetId="5">#REF!</definedName>
    <definedName name="VMVWJETTAALL" localSheetId="4">#REF!</definedName>
    <definedName name="VMVWJETTAALL">#REF!</definedName>
    <definedName name="VMVWPASSATALL" localSheetId="0">#REF!</definedName>
    <definedName name="VMVWPASSATALL" localSheetId="5">#REF!</definedName>
    <definedName name="VMVWPASSATALL" localSheetId="4">#REF!</definedName>
    <definedName name="VMVWPASSATALL">#REF!</definedName>
    <definedName name="VMVWSUV" localSheetId="0">#REF!</definedName>
    <definedName name="VMVWSUV" localSheetId="5">#REF!</definedName>
    <definedName name="VMVWSUV" localSheetId="4">#REF!</definedName>
    <definedName name="VMVWSUV">#REF!</definedName>
    <definedName name="VOL96094090ALL" localSheetId="0">#REF!</definedName>
    <definedName name="VOL96094090ALL" localSheetId="5">#REF!</definedName>
    <definedName name="VOL96094090ALL" localSheetId="4">#REF!</definedName>
    <definedName name="VOL96094090ALL">#REF!</definedName>
    <definedName name="VOLKSWAGEN">[5]ATRUCK!$F$318:$V$318</definedName>
    <definedName name="VOLKSWAGENTOTAL" localSheetId="0">#REF!</definedName>
    <definedName name="VOLKSWAGENTOTAL" localSheetId="5">#REF!</definedName>
    <definedName name="VOLKSWAGENTOTAL" localSheetId="4">#REF!</definedName>
    <definedName name="VOLKSWAGENTOTAL">#REF!</definedName>
    <definedName name="VolMatControl">[26]Assumptions!$F$1143:$M$1143,[26]Assumptions!$E$1144:$E$1161,[26]Assumptions!$F$1168:$M$1168,[26]Assumptions!$E$1169:$E$1210,[26]Assumptions!$F$1216:$N$1216,[26]Assumptions!$E$1217:$E$1258</definedName>
    <definedName name="VolMatControlZeroClear">[26]Assumptions!$F$1143:$M$1143,[26]Assumptions!$E$1144:$E$1161,[26]Assumptions!$F$1168:$M$1168,[26]Assumptions!$E$1169:$E$1210,[26]Assumptions!$F$1216:$N$1216,[26]Assumptions!$E$1217:$E$1258</definedName>
    <definedName name="VOLSUV">[5]ATRUCK!$F$116:$V$116</definedName>
    <definedName name="VOLVAN">[5]ATRUCK!$F$70:$V$70</definedName>
    <definedName name="VOLVO_850_70" localSheetId="0">#REF!</definedName>
    <definedName name="VOLVO_850_70" localSheetId="5">#REF!</definedName>
    <definedName name="VOLVO_850_70" localSheetId="4">#REF!</definedName>
    <definedName name="VOLVO_850_70">#REF!</definedName>
    <definedName name="VOLVO_C70" localSheetId="0">#REF!</definedName>
    <definedName name="VOLVO_C70" localSheetId="5">#REF!</definedName>
    <definedName name="VOLVO_C70" localSheetId="4">#REF!</definedName>
    <definedName name="VOLVO_C70">#REF!</definedName>
    <definedName name="VOLVO240" localSheetId="0">#REF!</definedName>
    <definedName name="VOLVO240" localSheetId="5">#REF!</definedName>
    <definedName name="VOLVO240" localSheetId="4">#REF!</definedName>
    <definedName name="VOLVO240">#REF!</definedName>
    <definedName name="VOLVO240ALL" localSheetId="0">#REF!</definedName>
    <definedName name="VOLVO240ALL" localSheetId="5">#REF!</definedName>
    <definedName name="VOLVO240ALL" localSheetId="4">#REF!</definedName>
    <definedName name="VOLVO240ALL">#REF!</definedName>
    <definedName name="VOLVO740ALL" localSheetId="0">#REF!</definedName>
    <definedName name="VOLVO740ALL" localSheetId="5">#REF!</definedName>
    <definedName name="VOLVO740ALL" localSheetId="4">#REF!</definedName>
    <definedName name="VOLVO740ALL">#REF!</definedName>
    <definedName name="VOLVO760_780_740" localSheetId="0">#REF!</definedName>
    <definedName name="VOLVO760_780_740" localSheetId="5">#REF!</definedName>
    <definedName name="VOLVO760_780_740" localSheetId="4">#REF!</definedName>
    <definedName name="VOLVO760_780_740">#REF!</definedName>
    <definedName name="VOLVO760_960_90" localSheetId="0">#REF!</definedName>
    <definedName name="VOLVO760_960_90" localSheetId="5">#REF!</definedName>
    <definedName name="VOLVO760_960_90" localSheetId="4">#REF!</definedName>
    <definedName name="VOLVO760_960_90">#REF!</definedName>
    <definedName name="VOLVO850_70ALL" localSheetId="0">#REF!</definedName>
    <definedName name="VOLVO850_70ALL" localSheetId="5">#REF!</definedName>
    <definedName name="VOLVO850_70ALL" localSheetId="4">#REF!</definedName>
    <definedName name="VOLVO850_70ALL">#REF!</definedName>
    <definedName name="VOLVO90ALL" localSheetId="0">#REF!</definedName>
    <definedName name="VOLVO90ALL" localSheetId="5">#REF!</definedName>
    <definedName name="VOLVO90ALL" localSheetId="4">#REF!</definedName>
    <definedName name="VOLVO90ALL">#REF!</definedName>
    <definedName name="VOLVO940ALL" localSheetId="0">#REF!</definedName>
    <definedName name="VOLVO940ALL" localSheetId="5">#REF!</definedName>
    <definedName name="VOLVO940ALL" localSheetId="4">#REF!</definedName>
    <definedName name="VOLVO940ALL">#REF!</definedName>
    <definedName name="VOLVO960_940_90" localSheetId="0">#REF!</definedName>
    <definedName name="VOLVO960_940_90" localSheetId="5">#REF!</definedName>
    <definedName name="VOLVO960_940_90" localSheetId="4">#REF!</definedName>
    <definedName name="VOLVO960_940_90">#REF!</definedName>
    <definedName name="VOLVO960ALL" localSheetId="0">#REF!</definedName>
    <definedName name="VOLVO960ALL" localSheetId="5">#REF!</definedName>
    <definedName name="VOLVO960ALL" localSheetId="4">#REF!</definedName>
    <definedName name="VOLVO960ALL">#REF!</definedName>
    <definedName name="VOLVOC70" localSheetId="0">#REF!</definedName>
    <definedName name="VOLVOC70" localSheetId="5">#REF!</definedName>
    <definedName name="VOLVOC70" localSheetId="4">#REF!</definedName>
    <definedName name="VOLVOC70">#REF!</definedName>
    <definedName name="VOLVOS40" localSheetId="0">#REF!</definedName>
    <definedName name="VOLVOS40" localSheetId="5">#REF!</definedName>
    <definedName name="VOLVOS40" localSheetId="4">#REF!</definedName>
    <definedName name="VOLVOS40">#REF!</definedName>
    <definedName name="VOLVOS40ALL" localSheetId="0">#REF!</definedName>
    <definedName name="VOLVOS40ALL" localSheetId="5">#REF!</definedName>
    <definedName name="VOLVOS40ALL" localSheetId="4">#REF!</definedName>
    <definedName name="VOLVOS40ALL">#REF!</definedName>
    <definedName name="VOLVOSUV" localSheetId="0">#REF!</definedName>
    <definedName name="VOLVOSUV" localSheetId="5">#REF!</definedName>
    <definedName name="VOLVOSUV" localSheetId="4">#REF!</definedName>
    <definedName name="VOLVOSUV">#REF!</definedName>
    <definedName name="VOLVOTOTAL" localSheetId="0">#REF!</definedName>
    <definedName name="VOLVOTOTAL" localSheetId="5">#REF!</definedName>
    <definedName name="VOLVOTOTAL" localSheetId="4">#REF!</definedName>
    <definedName name="VOLVOTOTAL">#REF!</definedName>
    <definedName name="VSS" localSheetId="0">#REF!</definedName>
    <definedName name="VSS" localSheetId="5">#REF!</definedName>
    <definedName name="VSS" localSheetId="4">#REF!</definedName>
    <definedName name="VSS">#REF!</definedName>
    <definedName name="VSSR" localSheetId="0">#REF!</definedName>
    <definedName name="VSSR" localSheetId="5">#REF!</definedName>
    <definedName name="VSSR" localSheetId="4">#REF!</definedName>
    <definedName name="VSSR">#REF!</definedName>
    <definedName name="VWBEETLEALL" localSheetId="0">#REF!</definedName>
    <definedName name="VWBEETLEALL" localSheetId="5">#REF!</definedName>
    <definedName name="VWBEETLEALL" localSheetId="4">#REF!</definedName>
    <definedName name="VWBEETLEALL">#REF!</definedName>
    <definedName name="VWEUROP">[5]ATRUCK!$F$69:$V$69</definedName>
    <definedName name="VWFOXALL" localSheetId="0">#REF!</definedName>
    <definedName name="VWFOXALL" localSheetId="5">#REF!</definedName>
    <definedName name="VWFOXALL" localSheetId="4">#REF!</definedName>
    <definedName name="VWFOXALL">#REF!</definedName>
    <definedName name="VWGOLFALL" localSheetId="0">#REF!</definedName>
    <definedName name="VWGOLFALL" localSheetId="5">#REF!</definedName>
    <definedName name="VWGOLFALL" localSheetId="4">#REF!</definedName>
    <definedName name="VWGOLFALL">#REF!</definedName>
    <definedName name="VWJETTAALL" localSheetId="0">#REF!</definedName>
    <definedName name="VWJETTAALL" localSheetId="5">#REF!</definedName>
    <definedName name="VWJETTAALL" localSheetId="4">#REF!</definedName>
    <definedName name="VWJETTAALL">#REF!</definedName>
    <definedName name="VWPASSATALL" localSheetId="0">#REF!</definedName>
    <definedName name="VWPASSATALL" localSheetId="5">#REF!</definedName>
    <definedName name="VWPASSATALL" localSheetId="4">#REF!</definedName>
    <definedName name="VWPASSATALL">#REF!</definedName>
    <definedName name="VWPU">[5]ATRUCK!$F$76:$V$76</definedName>
    <definedName name="VWSUV">[5]ATRUCK!$F$115:$V$115</definedName>
    <definedName name="xcv">[19]STAFF!$I$2:$I$67</definedName>
    <definedName name="xx">[19]STAFF!$B$2:$B$67</definedName>
    <definedName name="XXX">[19]STAFF!$J$2:$J$67</definedName>
    <definedName name="YEARS">[5]ATRUCK!$F$339:$V$339</definedName>
    <definedName name="Yr00" localSheetId="0">#REF!</definedName>
    <definedName name="Yr00" localSheetId="5">#REF!</definedName>
    <definedName name="Yr00" localSheetId="4">#REF!</definedName>
    <definedName name="Yr00">#REF!</definedName>
    <definedName name="Zip" localSheetId="5">#REF!</definedName>
    <definedName name="Zip" localSheetId="4">#REF!</definedName>
    <definedName name="Zip">#REF!</definedName>
    <definedName name="ﾌﾟﾛﾍﾟﾗ軸ｼﾞｮｲﾝﾄ回転耐久試験装置" localSheetId="0">#REF!</definedName>
    <definedName name="ﾌﾟﾛﾍﾟﾗ軸ｼﾞｮｲﾝﾄ回転耐久試験装置" localSheetId="5">#REF!</definedName>
    <definedName name="ﾌﾟﾛﾍﾟﾗ軸ｼﾞｮｲﾝﾄ回転耐久試験装置" localSheetId="4">#REF!</definedName>
    <definedName name="ﾌﾟﾛﾍﾟﾗ軸ｼﾞｮｲﾝﾄ回転耐久試験装置">#REF!</definedName>
    <definedName name="ﾏｰｼﾞﾝ" localSheetId="0">#REF!</definedName>
    <definedName name="ﾏｰｼﾞﾝ" localSheetId="5">#REF!</definedName>
    <definedName name="ﾏｰｼﾞﾝ" localSheetId="4">#REF!</definedName>
    <definedName name="ﾏｰｼﾞﾝ">#REF!</definedName>
    <definedName name="ﾚｰｻﾞ" localSheetId="0">#REF!</definedName>
    <definedName name="ﾚｰｻﾞ" localSheetId="5">#REF!</definedName>
    <definedName name="ﾚｰｻﾞ" localSheetId="4">#REF!</definedName>
    <definedName name="ﾚｰｻﾞ">#REF!</definedName>
    <definedName name="一覧表" localSheetId="0">#REF!</definedName>
    <definedName name="一覧表" localSheetId="5">#REF!</definedName>
    <definedName name="一覧表" localSheetId="4">#REF!</definedName>
    <definedName name="一覧表">#REF!</definedName>
    <definedName name="低減" localSheetId="0">[22]JEEP!#REF!</definedName>
    <definedName name="低減" localSheetId="5">[22]JEEP!#REF!</definedName>
    <definedName name="低減" localSheetId="4">[22]JEEP!#REF!</definedName>
    <definedName name="低減">[22]JEEP!#REF!</definedName>
    <definedName name="価格" localSheetId="0">#REF!</definedName>
    <definedName name="価格" localSheetId="5">#REF!</definedName>
    <definedName name="価格" localSheetId="4">#REF!</definedName>
    <definedName name="価格">#REF!</definedName>
    <definedName name="全台数" localSheetId="0">#REF!</definedName>
    <definedName name="全台数" localSheetId="5">#REF!</definedName>
    <definedName name="全台数" localSheetId="4">#REF!</definedName>
    <definedName name="全台数">#REF!</definedName>
    <definedName name="共用全共" localSheetId="0">[27]UPG表!#REF!</definedName>
    <definedName name="共用全共" localSheetId="5">[27]UPG表!#REF!</definedName>
    <definedName name="共用全共" localSheetId="4">[27]UPG表!#REF!</definedName>
    <definedName name="共用全共">[27]UPG表!#REF!</definedName>
    <definedName name="内作低減" localSheetId="0">#REF!</definedName>
    <definedName name="内作低減" localSheetId="5">#REF!</definedName>
    <definedName name="内作低減" localSheetId="4">#REF!</definedName>
    <definedName name="内作低減">#REF!</definedName>
    <definedName name="台数" localSheetId="0">#REF!</definedName>
    <definedName name="台数" localSheetId="5">#REF!</definedName>
    <definedName name="台数" localSheetId="4">#REF!</definedName>
    <definedName name="台数">#REF!</definedName>
    <definedName name="台数4WD" localSheetId="0">#REF!</definedName>
    <definedName name="台数4WD" localSheetId="5">#REF!</definedName>
    <definedName name="台数4WD" localSheetId="4">#REF!</definedName>
    <definedName name="台数4WD">#REF!</definedName>
    <definedName name="品質玉成" localSheetId="0">#REF!</definedName>
    <definedName name="品質玉成" localSheetId="5">#REF!</definedName>
    <definedName name="品質玉成" localSheetId="4">#REF!</definedName>
    <definedName name="品質玉成">#REF!</definedName>
    <definedName name="国内台数" localSheetId="0">#REF!</definedName>
    <definedName name="国内台数" localSheetId="5">#REF!</definedName>
    <definedName name="国内台数" localSheetId="4">#REF!</definedName>
    <definedName name="国内台数">#REF!</definedName>
    <definedName name="外→岡" localSheetId="0">#REF!</definedName>
    <definedName name="外→岡" localSheetId="5">#REF!</definedName>
    <definedName name="外→岡" localSheetId="4">#REF!</definedName>
    <definedName name="外→岡">#REF!</definedName>
    <definedName name="外作低減" localSheetId="0">#REF!</definedName>
    <definedName name="外作低減" localSheetId="5">#REF!</definedName>
    <definedName name="外作低減" localSheetId="4">#REF!</definedName>
    <definedName name="外作低減">#REF!</definedName>
    <definedName name="外割低減" localSheetId="0">#REF!</definedName>
    <definedName name="外割低減" localSheetId="5">#REF!</definedName>
    <definedName name="外割低減" localSheetId="4">#REF!</definedName>
    <definedName name="外割低減">#REF!</definedName>
    <definedName name="外割増加" localSheetId="0">#REF!</definedName>
    <definedName name="外割増加" localSheetId="5">#REF!</definedName>
    <definedName name="外割増加" localSheetId="4">#REF!</definedName>
    <definedName name="外割増加">#REF!</definedName>
    <definedName name="実績係数固" localSheetId="0">#REF!</definedName>
    <definedName name="実績係数固" localSheetId="5">#REF!</definedName>
    <definedName name="実績係数固" localSheetId="4">#REF!</definedName>
    <definedName name="実績係数固">#REF!</definedName>
    <definedName name="実績係数外" localSheetId="0">#REF!</definedName>
    <definedName name="実績係数外" localSheetId="5">#REF!</definedName>
    <definedName name="実績係数外" localSheetId="4">#REF!</definedName>
    <definedName name="実績係数外">#REF!</definedName>
    <definedName name="投資" localSheetId="0">#REF!</definedName>
    <definedName name="投資" localSheetId="5">#REF!</definedName>
    <definedName name="投資" localSheetId="4">#REF!</definedName>
    <definedName name="投資">#REF!</definedName>
    <definedName name="改訂" localSheetId="0">[22]JEEP!#REF!</definedName>
    <definedName name="改訂" localSheetId="5">[22]JEEP!#REF!</definedName>
    <definedName name="改訂" localSheetId="4">[22]JEEP!#REF!</definedName>
    <definedName name="改訂">[22]JEEP!#REF!</definedName>
    <definedName name="既存9801_" localSheetId="0">#REF!</definedName>
    <definedName name="既存9801_" localSheetId="5">#REF!</definedName>
    <definedName name="既存9801_" localSheetId="4">#REF!</definedName>
    <definedName name="既存9801_">#REF!</definedName>
    <definedName name="既存9802" localSheetId="0">#REF!</definedName>
    <definedName name="既存9802" localSheetId="5">#REF!</definedName>
    <definedName name="既存9802" localSheetId="4">#REF!</definedName>
    <definedName name="既存9802">#REF!</definedName>
    <definedName name="既存9803" localSheetId="0">#REF!</definedName>
    <definedName name="既存9803" localSheetId="5">#REF!</definedName>
    <definedName name="既存9803" localSheetId="4">#REF!</definedName>
    <definedName name="既存9803">#REF!</definedName>
    <definedName name="既存9804" localSheetId="0">#REF!</definedName>
    <definedName name="既存9804" localSheetId="5">#REF!</definedName>
    <definedName name="既存9804" localSheetId="4">#REF!</definedName>
    <definedName name="既存9804">#REF!</definedName>
    <definedName name="既存9805" localSheetId="0">#REF!</definedName>
    <definedName name="既存9805" localSheetId="5">#REF!</definedName>
    <definedName name="既存9805" localSheetId="4">#REF!</definedName>
    <definedName name="既存9805">#REF!</definedName>
    <definedName name="材料単価" localSheetId="0">#REF!</definedName>
    <definedName name="材料単価" localSheetId="5">#REF!</definedName>
    <definedName name="材料単価" localSheetId="4">#REF!</definedName>
    <definedName name="材料単価">#REF!</definedName>
    <definedName name="東→岡" localSheetId="0">#REF!</definedName>
    <definedName name="東→岡" localSheetId="5">#REF!</definedName>
    <definedName name="東→岡" localSheetId="4">#REF!</definedName>
    <definedName name="東→岡">#REF!</definedName>
    <definedName name="板金" localSheetId="0">#REF!</definedName>
    <definedName name="板金" localSheetId="5">#REF!</definedName>
    <definedName name="板金" localSheetId="4">#REF!</definedName>
    <definedName name="板金">#REF!</definedName>
    <definedName name="板金ﾚｰﾄ">[28]非固内訳!$Q$24</definedName>
    <definedName name="水→岡" localSheetId="0">#REF!</definedName>
    <definedName name="水→岡" localSheetId="5">#REF!</definedName>
    <definedName name="水→岡" localSheetId="4">#REF!</definedName>
    <definedName name="水→岡">#REF!</definedName>
    <definedName name="治工具" localSheetId="0">#REF!</definedName>
    <definedName name="治工具" localSheetId="5">#REF!</definedName>
    <definedName name="治工具" localSheetId="4">#REF!</definedName>
    <definedName name="治工具">#REF!</definedName>
    <definedName name="治工具ﾚｰﾄ">[28]非固内訳!$Q$23</definedName>
    <definedName name="設変係数" localSheetId="0">#REF!</definedName>
    <definedName name="設変係数" localSheetId="5">#REF!</definedName>
    <definedName name="設変係数" localSheetId="4">#REF!</definedName>
    <definedName name="設変係数">#REF!</definedName>
    <definedName name="資材費" localSheetId="0">#REF!</definedName>
    <definedName name="資材費" localSheetId="5">#REF!</definedName>
    <definedName name="資材費" localSheetId="4">#REF!</definedName>
    <definedName name="資材費">#REF!</definedName>
  </definedNames>
  <calcPr calcId="162913"/>
  <pivotCaches>
    <pivotCache cacheId="0" r:id="rId38"/>
  </pivotCaches>
</workbook>
</file>

<file path=xl/calcChain.xml><?xml version="1.0" encoding="utf-8"?>
<calcChain xmlns="http://schemas.openxmlformats.org/spreadsheetml/2006/main">
  <c r="N23" i="17" l="1"/>
  <c r="N17" i="17"/>
  <c r="N18" i="17" s="1"/>
  <c r="N19" i="17" s="1"/>
  <c r="N13" i="17"/>
  <c r="N14" i="17" s="1"/>
  <c r="N15" i="17" s="1"/>
  <c r="N10" i="17"/>
  <c r="N9" i="17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S188" i="16"/>
  <c r="S189" i="16"/>
  <c r="S190" i="16"/>
  <c r="S191" i="16"/>
  <c r="S192" i="16"/>
  <c r="S193" i="16"/>
  <c r="S194" i="16"/>
  <c r="S195" i="16"/>
  <c r="S196" i="16"/>
  <c r="S197" i="16"/>
  <c r="S198" i="16"/>
  <c r="S199" i="16"/>
  <c r="S200" i="16"/>
  <c r="S201" i="16"/>
  <c r="S202" i="16"/>
  <c r="S203" i="16"/>
  <c r="S204" i="16"/>
  <c r="S205" i="16"/>
  <c r="S206" i="16"/>
  <c r="S207" i="16"/>
  <c r="S208" i="16"/>
  <c r="S209" i="16"/>
  <c r="S210" i="16"/>
  <c r="S211" i="16"/>
  <c r="S212" i="16"/>
  <c r="S213" i="16"/>
  <c r="S214" i="16"/>
  <c r="S215" i="16"/>
  <c r="S216" i="16"/>
  <c r="S217" i="16"/>
  <c r="S218" i="16"/>
  <c r="S219" i="16"/>
  <c r="S220" i="16"/>
  <c r="S221" i="16"/>
  <c r="S222" i="16"/>
  <c r="S223" i="16"/>
  <c r="S224" i="16"/>
  <c r="S225" i="16"/>
  <c r="S226" i="16"/>
  <c r="S227" i="16"/>
  <c r="S228" i="16"/>
  <c r="S229" i="16"/>
  <c r="S230" i="16"/>
  <c r="S231" i="16"/>
  <c r="S232" i="16"/>
  <c r="S233" i="16"/>
  <c r="S234" i="16"/>
  <c r="S235" i="16"/>
  <c r="S236" i="16"/>
  <c r="S237" i="16"/>
  <c r="S238" i="16"/>
  <c r="S239" i="16"/>
  <c r="S240" i="16"/>
  <c r="S241" i="16"/>
  <c r="S242" i="16"/>
  <c r="S243" i="16"/>
  <c r="S244" i="16"/>
  <c r="S245" i="16"/>
  <c r="S246" i="16"/>
  <c r="S247" i="16"/>
  <c r="S248" i="16"/>
  <c r="S249" i="16"/>
  <c r="S250" i="16"/>
  <c r="S251" i="16"/>
  <c r="S252" i="16"/>
  <c r="S253" i="16"/>
  <c r="S254" i="16"/>
  <c r="S255" i="16"/>
  <c r="S256" i="16"/>
  <c r="S257" i="16"/>
  <c r="S258" i="16"/>
  <c r="S259" i="16"/>
  <c r="S260" i="16"/>
  <c r="S261" i="16"/>
  <c r="S262" i="16"/>
  <c r="S263" i="16"/>
  <c r="S264" i="16"/>
  <c r="S265" i="16"/>
  <c r="S266" i="16"/>
  <c r="S267" i="16"/>
  <c r="S268" i="16"/>
  <c r="S269" i="16"/>
  <c r="S270" i="16"/>
  <c r="S271" i="16"/>
  <c r="S272" i="16"/>
  <c r="S273" i="16"/>
  <c r="S274" i="16"/>
  <c r="S275" i="16"/>
  <c r="S276" i="16"/>
  <c r="S277" i="16"/>
  <c r="S278" i="16"/>
  <c r="S279" i="16"/>
  <c r="S280" i="16"/>
  <c r="S281" i="16"/>
  <c r="S282" i="16"/>
  <c r="S283" i="16"/>
  <c r="S284" i="16"/>
  <c r="S285" i="16"/>
  <c r="S286" i="16"/>
  <c r="S287" i="16"/>
  <c r="S288" i="16"/>
  <c r="S289" i="16"/>
  <c r="S290" i="16"/>
  <c r="S291" i="16"/>
  <c r="S292" i="16"/>
  <c r="S293" i="16"/>
  <c r="S294" i="16"/>
  <c r="S295" i="16"/>
  <c r="S296" i="16"/>
  <c r="S297" i="16"/>
  <c r="S298" i="16"/>
  <c r="S299" i="16"/>
  <c r="S300" i="16"/>
  <c r="S301" i="16"/>
  <c r="S302" i="16"/>
  <c r="S303" i="16"/>
  <c r="S304" i="16"/>
  <c r="S305" i="16"/>
  <c r="S306" i="16"/>
  <c r="S307" i="16"/>
  <c r="S308" i="16"/>
  <c r="S309" i="16"/>
  <c r="S310" i="16"/>
  <c r="S311" i="16"/>
  <c r="S312" i="16"/>
  <c r="S313" i="16"/>
  <c r="S314" i="16"/>
  <c r="S315" i="16"/>
  <c r="S316" i="16"/>
  <c r="S317" i="16"/>
  <c r="S318" i="16"/>
  <c r="S319" i="16"/>
  <c r="S320" i="16"/>
  <c r="S321" i="16"/>
  <c r="S322" i="16"/>
  <c r="S323" i="16"/>
  <c r="S324" i="16"/>
  <c r="S325" i="16"/>
  <c r="S326" i="16"/>
  <c r="S327" i="16"/>
  <c r="S328" i="16"/>
  <c r="S329" i="16"/>
  <c r="S330" i="16"/>
  <c r="S331" i="16"/>
  <c r="S332" i="16"/>
  <c r="S333" i="16"/>
  <c r="S334" i="16"/>
  <c r="S335" i="16"/>
  <c r="S336" i="16"/>
  <c r="S337" i="16"/>
  <c r="S338" i="16"/>
  <c r="S339" i="16"/>
  <c r="S340" i="16"/>
  <c r="S341" i="16"/>
  <c r="S342" i="16"/>
  <c r="S343" i="16"/>
  <c r="S344" i="16"/>
  <c r="S345" i="16"/>
  <c r="S346" i="16"/>
  <c r="S347" i="16"/>
  <c r="S348" i="16"/>
  <c r="S349" i="16"/>
  <c r="S350" i="16"/>
  <c r="S351" i="16"/>
  <c r="S352" i="16"/>
  <c r="S353" i="16"/>
  <c r="S354" i="16"/>
  <c r="S355" i="16"/>
  <c r="S356" i="16"/>
  <c r="S357" i="16"/>
  <c r="S358" i="16"/>
  <c r="S359" i="16"/>
  <c r="S360" i="16"/>
  <c r="S361" i="16"/>
  <c r="S362" i="16"/>
  <c r="S363" i="16"/>
  <c r="S364" i="16"/>
  <c r="S365" i="16"/>
  <c r="S366" i="16"/>
  <c r="S367" i="16"/>
  <c r="S368" i="16"/>
  <c r="S369" i="16"/>
  <c r="S370" i="16"/>
  <c r="S371" i="16"/>
  <c r="S372" i="16"/>
  <c r="S373" i="16"/>
  <c r="S374" i="16"/>
  <c r="S375" i="16"/>
  <c r="S376" i="16"/>
  <c r="S377" i="16"/>
  <c r="S378" i="16"/>
  <c r="S379" i="16"/>
  <c r="S380" i="16"/>
  <c r="S381" i="16"/>
  <c r="S382" i="16"/>
  <c r="S383" i="16"/>
  <c r="S384" i="16"/>
  <c r="S385" i="16"/>
  <c r="S386" i="16"/>
  <c r="S387" i="16"/>
  <c r="S388" i="16"/>
  <c r="S389" i="16"/>
  <c r="S390" i="16"/>
  <c r="S391" i="16"/>
  <c r="S392" i="16"/>
  <c r="S393" i="16"/>
  <c r="S394" i="16"/>
  <c r="S395" i="16"/>
  <c r="S396" i="16"/>
  <c r="S397" i="16"/>
  <c r="S398" i="16"/>
  <c r="S399" i="16"/>
  <c r="S400" i="16"/>
  <c r="S401" i="16"/>
  <c r="S402" i="16"/>
  <c r="S403" i="16"/>
  <c r="S404" i="16"/>
  <c r="S405" i="16"/>
  <c r="S406" i="16"/>
  <c r="S407" i="16"/>
  <c r="S408" i="16"/>
  <c r="S409" i="16"/>
  <c r="S410" i="16"/>
  <c r="S411" i="16"/>
  <c r="S412" i="16"/>
  <c r="S413" i="16"/>
  <c r="S414" i="16"/>
  <c r="S415" i="16"/>
  <c r="S416" i="16"/>
  <c r="S417" i="16"/>
  <c r="S418" i="16"/>
  <c r="S419" i="16"/>
  <c r="S420" i="16"/>
  <c r="S421" i="16"/>
  <c r="S422" i="16"/>
  <c r="S423" i="16"/>
  <c r="S424" i="16"/>
  <c r="S425" i="16"/>
  <c r="S426" i="16"/>
  <c r="S427" i="16"/>
  <c r="S428" i="16"/>
  <c r="S429" i="16"/>
  <c r="S430" i="16"/>
  <c r="S431" i="16"/>
  <c r="S432" i="16"/>
  <c r="S433" i="16"/>
  <c r="S434" i="16"/>
  <c r="S435" i="16"/>
  <c r="S436" i="16"/>
  <c r="S437" i="16"/>
  <c r="S438" i="16"/>
  <c r="S439" i="16"/>
  <c r="S440" i="16"/>
  <c r="S441" i="16"/>
  <c r="S442" i="16"/>
  <c r="S443" i="16"/>
  <c r="S444" i="16"/>
  <c r="S445" i="16"/>
  <c r="S446" i="16"/>
  <c r="S447" i="16"/>
  <c r="S448" i="16"/>
  <c r="S449" i="16"/>
  <c r="S450" i="16"/>
  <c r="S451" i="16"/>
  <c r="S452" i="16"/>
  <c r="S453" i="16"/>
  <c r="S454" i="16"/>
  <c r="S455" i="16"/>
  <c r="S456" i="16"/>
  <c r="S457" i="16"/>
  <c r="S458" i="16"/>
  <c r="S459" i="16"/>
  <c r="S460" i="16"/>
  <c r="S461" i="16"/>
  <c r="S462" i="16"/>
  <c r="S463" i="16"/>
  <c r="S464" i="16"/>
  <c r="S465" i="16"/>
  <c r="S466" i="16"/>
  <c r="S467" i="16"/>
  <c r="S468" i="16"/>
  <c r="S469" i="16"/>
  <c r="S470" i="16"/>
  <c r="S471" i="16"/>
  <c r="S472" i="16"/>
  <c r="S473" i="16"/>
  <c r="S474" i="16"/>
  <c r="S475" i="16"/>
  <c r="S476" i="16"/>
  <c r="S477" i="16"/>
  <c r="S478" i="16"/>
  <c r="S479" i="16"/>
  <c r="S480" i="16"/>
  <c r="S481" i="16"/>
  <c r="S482" i="16"/>
  <c r="S483" i="16"/>
  <c r="S484" i="16"/>
  <c r="S485" i="16"/>
  <c r="S486" i="16"/>
  <c r="S487" i="16"/>
  <c r="S488" i="16"/>
  <c r="S489" i="16"/>
  <c r="S490" i="16"/>
  <c r="S491" i="16"/>
  <c r="S492" i="16"/>
  <c r="S493" i="16"/>
  <c r="S494" i="16"/>
  <c r="S495" i="16"/>
  <c r="S496" i="16"/>
  <c r="S497" i="16"/>
  <c r="S498" i="16"/>
  <c r="S499" i="16"/>
  <c r="S500" i="16"/>
  <c r="S501" i="16"/>
  <c r="S502" i="16"/>
  <c r="S503" i="16"/>
  <c r="S504" i="16"/>
  <c r="S505" i="16"/>
  <c r="S506" i="16"/>
  <c r="S507" i="16"/>
  <c r="S508" i="16"/>
  <c r="S509" i="16"/>
  <c r="S510" i="16"/>
  <c r="S511" i="16"/>
  <c r="S512" i="16"/>
  <c r="S513" i="16"/>
  <c r="S514" i="16"/>
  <c r="S515" i="16"/>
  <c r="S516" i="16"/>
  <c r="S517" i="16"/>
  <c r="S518" i="16"/>
  <c r="S519" i="16"/>
  <c r="S520" i="16"/>
  <c r="S521" i="16"/>
  <c r="S522" i="16"/>
  <c r="S523" i="16"/>
  <c r="S524" i="16"/>
  <c r="S525" i="16"/>
  <c r="S526" i="16"/>
  <c r="S527" i="16"/>
  <c r="S528" i="16"/>
  <c r="S529" i="16"/>
  <c r="S530" i="16"/>
  <c r="S531" i="16"/>
  <c r="S532" i="16"/>
  <c r="S533" i="16"/>
  <c r="S534" i="16"/>
  <c r="S535" i="16"/>
  <c r="S536" i="16"/>
  <c r="S537" i="16"/>
  <c r="S538" i="16"/>
  <c r="S539" i="16"/>
  <c r="S540" i="16"/>
  <c r="S541" i="16"/>
  <c r="S542" i="16"/>
  <c r="S543" i="16"/>
  <c r="S544" i="16"/>
  <c r="S545" i="16"/>
  <c r="S546" i="16"/>
  <c r="S547" i="16"/>
  <c r="S548" i="16"/>
  <c r="S549" i="16"/>
  <c r="S550" i="16"/>
  <c r="S551" i="16"/>
  <c r="S552" i="16"/>
  <c r="S553" i="16"/>
  <c r="S554" i="16"/>
  <c r="S555" i="16"/>
  <c r="S556" i="16"/>
  <c r="S557" i="16"/>
  <c r="S558" i="16"/>
  <c r="S559" i="16"/>
  <c r="S560" i="16"/>
  <c r="S561" i="16"/>
  <c r="S562" i="16"/>
  <c r="S563" i="16"/>
  <c r="S564" i="16"/>
  <c r="S565" i="16"/>
  <c r="S566" i="16"/>
  <c r="S567" i="16"/>
  <c r="S568" i="16"/>
  <c r="S569" i="16"/>
  <c r="S570" i="16"/>
  <c r="S571" i="16"/>
  <c r="S572" i="16"/>
  <c r="S573" i="16"/>
  <c r="S574" i="16"/>
  <c r="S575" i="16"/>
  <c r="S576" i="16"/>
  <c r="S577" i="16"/>
  <c r="S578" i="16"/>
  <c r="S579" i="16"/>
  <c r="S580" i="16"/>
  <c r="S581" i="16"/>
  <c r="S582" i="16"/>
  <c r="S583" i="16"/>
  <c r="S584" i="16"/>
  <c r="S585" i="16"/>
  <c r="S586" i="16"/>
  <c r="S587" i="16"/>
  <c r="S588" i="16"/>
  <c r="S589" i="16"/>
  <c r="S590" i="16"/>
  <c r="S591" i="16"/>
  <c r="S592" i="16"/>
  <c r="S593" i="16"/>
  <c r="S594" i="16"/>
  <c r="S595" i="16"/>
  <c r="S596" i="16"/>
  <c r="S597" i="16"/>
  <c r="S598" i="16"/>
  <c r="S599" i="16"/>
  <c r="S600" i="16"/>
  <c r="S601" i="16"/>
  <c r="S602" i="16"/>
  <c r="S603" i="16"/>
  <c r="S604" i="16"/>
  <c r="S605" i="16"/>
  <c r="S606" i="16"/>
  <c r="S607" i="16"/>
  <c r="S608" i="16"/>
  <c r="S609" i="16"/>
  <c r="S610" i="16"/>
  <c r="S611" i="16"/>
  <c r="S612" i="16"/>
  <c r="S613" i="16"/>
  <c r="S614" i="16"/>
  <c r="S615" i="16"/>
  <c r="S616" i="16"/>
  <c r="S617" i="16"/>
  <c r="S618" i="16"/>
  <c r="S619" i="16"/>
  <c r="S620" i="16"/>
  <c r="S621" i="16"/>
  <c r="S622" i="16"/>
  <c r="S623" i="16"/>
  <c r="S624" i="16"/>
  <c r="S625" i="16"/>
  <c r="S626" i="16"/>
  <c r="S627" i="16"/>
  <c r="S628" i="16"/>
  <c r="S629" i="16"/>
  <c r="S630" i="16"/>
  <c r="S631" i="16"/>
  <c r="S632" i="16"/>
  <c r="S633" i="16"/>
  <c r="S634" i="16"/>
  <c r="S635" i="16"/>
  <c r="S636" i="16"/>
  <c r="S637" i="16"/>
  <c r="S638" i="16"/>
  <c r="S639" i="16"/>
  <c r="S640" i="16"/>
  <c r="S641" i="16"/>
  <c r="S642" i="16"/>
  <c r="S643" i="16"/>
  <c r="S644" i="16"/>
  <c r="S645" i="16"/>
  <c r="S646" i="16"/>
  <c r="S647" i="16"/>
  <c r="S648" i="16"/>
  <c r="S649" i="16"/>
  <c r="S650" i="16"/>
  <c r="S651" i="16"/>
  <c r="S652" i="16"/>
  <c r="S653" i="16"/>
  <c r="S654" i="16"/>
  <c r="S655" i="16"/>
  <c r="S656" i="16"/>
  <c r="S657" i="16"/>
  <c r="S658" i="16"/>
  <c r="S659" i="16"/>
  <c r="S660" i="16"/>
  <c r="S661" i="16"/>
  <c r="S662" i="16"/>
  <c r="S663" i="16"/>
  <c r="S664" i="16"/>
  <c r="S665" i="16"/>
  <c r="S666" i="16"/>
  <c r="S667" i="16"/>
  <c r="S668" i="16"/>
  <c r="S669" i="16"/>
  <c r="S670" i="16"/>
  <c r="S671" i="16"/>
  <c r="S672" i="16"/>
  <c r="S673" i="16"/>
  <c r="S674" i="16"/>
  <c r="S675" i="16"/>
  <c r="S676" i="16"/>
  <c r="S677" i="16"/>
  <c r="S678" i="16"/>
  <c r="S679" i="16"/>
  <c r="S680" i="16"/>
  <c r="S681" i="16"/>
  <c r="S682" i="16"/>
  <c r="S683" i="16"/>
  <c r="S684" i="16"/>
  <c r="S685" i="16"/>
  <c r="S686" i="16"/>
  <c r="S687" i="16"/>
  <c r="S688" i="16"/>
  <c r="S689" i="16"/>
  <c r="S690" i="16"/>
  <c r="S691" i="16"/>
  <c r="S692" i="16"/>
  <c r="S693" i="16"/>
  <c r="S694" i="16"/>
  <c r="S695" i="16"/>
  <c r="S696" i="16"/>
  <c r="S697" i="16"/>
  <c r="S698" i="16"/>
  <c r="S699" i="16"/>
  <c r="S700" i="16"/>
  <c r="S701" i="16"/>
  <c r="S702" i="16"/>
  <c r="S703" i="16"/>
  <c r="S704" i="16"/>
  <c r="S705" i="16"/>
  <c r="S706" i="16"/>
  <c r="S707" i="16"/>
  <c r="S708" i="16"/>
  <c r="S709" i="16"/>
  <c r="S710" i="16"/>
  <c r="S711" i="16"/>
  <c r="S712" i="16"/>
  <c r="S713" i="16"/>
  <c r="S714" i="16"/>
  <c r="S715" i="16"/>
  <c r="S716" i="16"/>
  <c r="S717" i="16"/>
  <c r="S718" i="16"/>
  <c r="S719" i="16"/>
  <c r="S720" i="16"/>
  <c r="S721" i="16"/>
  <c r="S722" i="16"/>
  <c r="S723" i="16"/>
  <c r="S724" i="16"/>
  <c r="S725" i="16"/>
  <c r="S726" i="16"/>
  <c r="S727" i="16"/>
  <c r="S728" i="16"/>
  <c r="S729" i="16"/>
  <c r="S730" i="16"/>
  <c r="S731" i="16"/>
  <c r="S732" i="16"/>
  <c r="S733" i="16"/>
  <c r="S734" i="16"/>
  <c r="S735" i="16"/>
  <c r="S736" i="16"/>
  <c r="S737" i="16"/>
  <c r="S738" i="16"/>
  <c r="S739" i="16"/>
  <c r="S740" i="16"/>
  <c r="S741" i="16"/>
  <c r="S742" i="16"/>
  <c r="S743" i="16"/>
  <c r="S744" i="16"/>
  <c r="S745" i="16"/>
  <c r="S746" i="16"/>
  <c r="S747" i="16"/>
  <c r="S748" i="16"/>
  <c r="S749" i="16"/>
  <c r="S750" i="16"/>
  <c r="S751" i="16"/>
  <c r="S752" i="16"/>
  <c r="S753" i="16"/>
  <c r="S754" i="16"/>
  <c r="S755" i="16"/>
  <c r="S756" i="16"/>
  <c r="S757" i="16"/>
  <c r="S758" i="16"/>
  <c r="S759" i="16"/>
  <c r="S760" i="16"/>
  <c r="S761" i="16"/>
  <c r="S762" i="16"/>
  <c r="S763" i="16"/>
  <c r="S764" i="16"/>
  <c r="S765" i="16"/>
  <c r="S766" i="16"/>
  <c r="S767" i="16"/>
  <c r="S768" i="16"/>
  <c r="S769" i="16"/>
  <c r="S770" i="16"/>
  <c r="S771" i="16"/>
  <c r="S772" i="16"/>
  <c r="S773" i="16"/>
  <c r="S774" i="16"/>
  <c r="S775" i="16"/>
  <c r="S776" i="16"/>
  <c r="S777" i="16"/>
  <c r="S778" i="16"/>
  <c r="S779" i="16"/>
  <c r="S780" i="16"/>
  <c r="S781" i="16"/>
  <c r="S782" i="16"/>
  <c r="S783" i="16"/>
  <c r="S784" i="16"/>
  <c r="S785" i="16"/>
  <c r="S786" i="16"/>
  <c r="S787" i="16"/>
  <c r="S788" i="16"/>
  <c r="S789" i="16"/>
  <c r="S790" i="16"/>
  <c r="S791" i="16"/>
  <c r="S792" i="16"/>
  <c r="S793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105" i="16"/>
  <c r="Q106" i="16"/>
  <c r="Q107" i="16"/>
  <c r="Q108" i="16"/>
  <c r="Q109" i="16"/>
  <c r="Q110" i="16"/>
  <c r="Q111" i="16"/>
  <c r="Q112" i="16"/>
  <c r="Q113" i="16"/>
  <c r="Q114" i="16"/>
  <c r="Q115" i="16"/>
  <c r="Q116" i="16"/>
  <c r="Q117" i="16"/>
  <c r="Q118" i="16"/>
  <c r="Q119" i="16"/>
  <c r="Q120" i="16"/>
  <c r="Q121" i="16"/>
  <c r="Q122" i="16"/>
  <c r="Q123" i="16"/>
  <c r="Q124" i="16"/>
  <c r="Q125" i="16"/>
  <c r="Q126" i="16"/>
  <c r="Q127" i="16"/>
  <c r="Q128" i="16"/>
  <c r="Q129" i="16"/>
  <c r="Q130" i="16"/>
  <c r="Q131" i="16"/>
  <c r="Q132" i="16"/>
  <c r="Q133" i="16"/>
  <c r="Q134" i="16"/>
  <c r="Q135" i="16"/>
  <c r="Q136" i="16"/>
  <c r="Q137" i="16"/>
  <c r="Q138" i="16"/>
  <c r="Q139" i="16"/>
  <c r="Q140" i="16"/>
  <c r="Q141" i="16"/>
  <c r="Q142" i="16"/>
  <c r="Q143" i="16"/>
  <c r="Q144" i="16"/>
  <c r="Q145" i="16"/>
  <c r="Q146" i="16"/>
  <c r="Q147" i="16"/>
  <c r="Q148" i="16"/>
  <c r="Q149" i="16"/>
  <c r="Q150" i="16"/>
  <c r="Q151" i="16"/>
  <c r="Q152" i="16"/>
  <c r="Q153" i="16"/>
  <c r="Q154" i="16"/>
  <c r="Q155" i="16"/>
  <c r="Q156" i="16"/>
  <c r="Q157" i="16"/>
  <c r="Q158" i="16"/>
  <c r="Q159" i="16"/>
  <c r="Q160" i="16"/>
  <c r="Q161" i="16"/>
  <c r="Q162" i="16"/>
  <c r="Q163" i="16"/>
  <c r="Q164" i="16"/>
  <c r="Q165" i="16"/>
  <c r="Q166" i="16"/>
  <c r="Q167" i="16"/>
  <c r="Q168" i="16"/>
  <c r="Q169" i="16"/>
  <c r="Q170" i="16"/>
  <c r="Q171" i="16"/>
  <c r="Q172" i="16"/>
  <c r="Q173" i="16"/>
  <c r="Q174" i="16"/>
  <c r="Q175" i="16"/>
  <c r="Q176" i="16"/>
  <c r="Q177" i="16"/>
  <c r="Q178" i="16"/>
  <c r="Q179" i="16"/>
  <c r="Q180" i="16"/>
  <c r="Q181" i="16"/>
  <c r="Q182" i="16"/>
  <c r="Q183" i="16"/>
  <c r="Q184" i="16"/>
  <c r="Q185" i="16"/>
  <c r="Q186" i="16"/>
  <c r="Q187" i="16"/>
  <c r="Q188" i="16"/>
  <c r="Q189" i="16"/>
  <c r="Q190" i="16"/>
  <c r="Q191" i="16"/>
  <c r="Q192" i="16"/>
  <c r="Q193" i="16"/>
  <c r="Q194" i="16"/>
  <c r="Q195" i="16"/>
  <c r="Q196" i="16"/>
  <c r="Q197" i="16"/>
  <c r="Q198" i="16"/>
  <c r="Q199" i="16"/>
  <c r="Q200" i="16"/>
  <c r="Q201" i="16"/>
  <c r="Q202" i="16"/>
  <c r="Q203" i="16"/>
  <c r="Q204" i="16"/>
  <c r="Q205" i="16"/>
  <c r="Q206" i="16"/>
  <c r="Q207" i="16"/>
  <c r="Q208" i="16"/>
  <c r="Q209" i="16"/>
  <c r="Q210" i="16"/>
  <c r="Q211" i="16"/>
  <c r="Q212" i="16"/>
  <c r="Q213" i="16"/>
  <c r="Q214" i="16"/>
  <c r="Q215" i="16"/>
  <c r="Q216" i="16"/>
  <c r="Q217" i="16"/>
  <c r="Q218" i="16"/>
  <c r="Q219" i="16"/>
  <c r="Q220" i="16"/>
  <c r="Q221" i="16"/>
  <c r="Q222" i="16"/>
  <c r="Q223" i="16"/>
  <c r="Q224" i="16"/>
  <c r="Q225" i="16"/>
  <c r="Q226" i="16"/>
  <c r="Q227" i="16"/>
  <c r="Q228" i="16"/>
  <c r="Q229" i="16"/>
  <c r="Q230" i="16"/>
  <c r="Q231" i="16"/>
  <c r="Q232" i="16"/>
  <c r="Q233" i="16"/>
  <c r="Q234" i="16"/>
  <c r="Q235" i="16"/>
  <c r="Q236" i="16"/>
  <c r="Q237" i="16"/>
  <c r="Q238" i="16"/>
  <c r="Q239" i="16"/>
  <c r="Q240" i="16"/>
  <c r="Q241" i="16"/>
  <c r="Q242" i="16"/>
  <c r="Q243" i="16"/>
  <c r="Q244" i="16"/>
  <c r="Q245" i="16"/>
  <c r="Q246" i="16"/>
  <c r="Q247" i="16"/>
  <c r="Q248" i="16"/>
  <c r="Q249" i="16"/>
  <c r="Q250" i="16"/>
  <c r="Q251" i="16"/>
  <c r="Q252" i="16"/>
  <c r="Q253" i="16"/>
  <c r="Q254" i="16"/>
  <c r="Q255" i="16"/>
  <c r="Q256" i="16"/>
  <c r="Q257" i="16"/>
  <c r="Q258" i="16"/>
  <c r="Q259" i="16"/>
  <c r="Q260" i="16"/>
  <c r="Q261" i="16"/>
  <c r="Q262" i="16"/>
  <c r="Q263" i="16"/>
  <c r="Q264" i="16"/>
  <c r="Q265" i="16"/>
  <c r="Q266" i="16"/>
  <c r="Q267" i="16"/>
  <c r="Q268" i="16"/>
  <c r="Q269" i="16"/>
  <c r="Q270" i="16"/>
  <c r="Q271" i="16"/>
  <c r="Q272" i="16"/>
  <c r="Q273" i="16"/>
  <c r="Q274" i="16"/>
  <c r="Q275" i="16"/>
  <c r="Q276" i="16"/>
  <c r="Q277" i="16"/>
  <c r="Q278" i="16"/>
  <c r="Q279" i="16"/>
  <c r="Q280" i="16"/>
  <c r="Q281" i="16"/>
  <c r="Q282" i="16"/>
  <c r="Q283" i="16"/>
  <c r="Q284" i="16"/>
  <c r="Q285" i="16"/>
  <c r="Q286" i="16"/>
  <c r="Q287" i="16"/>
  <c r="Q288" i="16"/>
  <c r="Q289" i="16"/>
  <c r="Q290" i="16"/>
  <c r="Q291" i="16"/>
  <c r="Q292" i="16"/>
  <c r="Q293" i="16"/>
  <c r="Q294" i="16"/>
  <c r="Q295" i="16"/>
  <c r="Q296" i="16"/>
  <c r="Q297" i="16"/>
  <c r="Q298" i="16"/>
  <c r="Q299" i="16"/>
  <c r="Q300" i="16"/>
  <c r="Q301" i="16"/>
  <c r="Q302" i="16"/>
  <c r="Q303" i="16"/>
  <c r="Q304" i="16"/>
  <c r="Q305" i="16"/>
  <c r="Q306" i="16"/>
  <c r="Q307" i="16"/>
  <c r="Q308" i="16"/>
  <c r="Q309" i="16"/>
  <c r="Q310" i="16"/>
  <c r="Q311" i="16"/>
  <c r="Q312" i="16"/>
  <c r="Q313" i="16"/>
  <c r="Q314" i="16"/>
  <c r="Q315" i="16"/>
  <c r="Q316" i="16"/>
  <c r="Q317" i="16"/>
  <c r="Q318" i="16"/>
  <c r="Q319" i="16"/>
  <c r="Q320" i="16"/>
  <c r="Q321" i="16"/>
  <c r="Q322" i="16"/>
  <c r="Q323" i="16"/>
  <c r="Q324" i="16"/>
  <c r="Q325" i="16"/>
  <c r="Q326" i="16"/>
  <c r="Q327" i="16"/>
  <c r="Q328" i="16"/>
  <c r="Q329" i="16"/>
  <c r="Q330" i="16"/>
  <c r="Q331" i="16"/>
  <c r="Q332" i="16"/>
  <c r="Q333" i="16"/>
  <c r="Q334" i="16"/>
  <c r="Q335" i="16"/>
  <c r="Q336" i="16"/>
  <c r="Q337" i="16"/>
  <c r="Q338" i="16"/>
  <c r="Q339" i="16"/>
  <c r="Q340" i="16"/>
  <c r="Q341" i="16"/>
  <c r="Q342" i="16"/>
  <c r="Q343" i="16"/>
  <c r="Q344" i="16"/>
  <c r="Q345" i="16"/>
  <c r="Q346" i="16"/>
  <c r="Q347" i="16"/>
  <c r="Q348" i="16"/>
  <c r="Q349" i="16"/>
  <c r="Q350" i="16"/>
  <c r="Q351" i="16"/>
  <c r="Q352" i="16"/>
  <c r="Q353" i="16"/>
  <c r="Q354" i="16"/>
  <c r="Q355" i="16"/>
  <c r="Q356" i="16"/>
  <c r="Q357" i="16"/>
  <c r="Q358" i="16"/>
  <c r="Q359" i="16"/>
  <c r="Q360" i="16"/>
  <c r="Q361" i="16"/>
  <c r="Q362" i="16"/>
  <c r="Q363" i="16"/>
  <c r="Q364" i="16"/>
  <c r="Q365" i="16"/>
  <c r="Q366" i="16"/>
  <c r="Q367" i="16"/>
  <c r="Q368" i="16"/>
  <c r="Q369" i="16"/>
  <c r="Q370" i="16"/>
  <c r="Q371" i="16"/>
  <c r="Q372" i="16"/>
  <c r="Q373" i="16"/>
  <c r="Q374" i="16"/>
  <c r="Q375" i="16"/>
  <c r="Q376" i="16"/>
  <c r="Q377" i="16"/>
  <c r="Q378" i="16"/>
  <c r="Q379" i="16"/>
  <c r="Q380" i="16"/>
  <c r="Q381" i="16"/>
  <c r="Q382" i="16"/>
  <c r="Q383" i="16"/>
  <c r="Q384" i="16"/>
  <c r="Q385" i="16"/>
  <c r="Q386" i="16"/>
  <c r="Q387" i="16"/>
  <c r="Q388" i="16"/>
  <c r="Q389" i="16"/>
  <c r="Q390" i="16"/>
  <c r="Q391" i="16"/>
  <c r="Q392" i="16"/>
  <c r="Q393" i="16"/>
  <c r="Q394" i="16"/>
  <c r="Q395" i="16"/>
  <c r="Q396" i="16"/>
  <c r="Q397" i="16"/>
  <c r="Q398" i="16"/>
  <c r="Q399" i="16"/>
  <c r="Q400" i="16"/>
  <c r="Q401" i="16"/>
  <c r="Q402" i="16"/>
  <c r="Q403" i="16"/>
  <c r="Q404" i="16"/>
  <c r="Q405" i="16"/>
  <c r="Q406" i="16"/>
  <c r="Q407" i="16"/>
  <c r="Q408" i="16"/>
  <c r="Q409" i="16"/>
  <c r="Q410" i="16"/>
  <c r="Q411" i="16"/>
  <c r="Q412" i="16"/>
  <c r="Q413" i="16"/>
  <c r="Q414" i="16"/>
  <c r="Q415" i="16"/>
  <c r="Q416" i="16"/>
  <c r="Q417" i="16"/>
  <c r="Q418" i="16"/>
  <c r="Q419" i="16"/>
  <c r="Q420" i="16"/>
  <c r="Q421" i="16"/>
  <c r="Q422" i="16"/>
  <c r="Q423" i="16"/>
  <c r="Q424" i="16"/>
  <c r="Q425" i="16"/>
  <c r="Q426" i="16"/>
  <c r="Q427" i="16"/>
  <c r="Q428" i="16"/>
  <c r="Q429" i="16"/>
  <c r="Q430" i="16"/>
  <c r="Q431" i="16"/>
  <c r="Q432" i="16"/>
  <c r="Q433" i="16"/>
  <c r="Q434" i="16"/>
  <c r="Q435" i="16"/>
  <c r="Q436" i="16"/>
  <c r="Q437" i="16"/>
  <c r="Q438" i="16"/>
  <c r="Q439" i="16"/>
  <c r="Q440" i="16"/>
  <c r="Q441" i="16"/>
  <c r="Q442" i="16"/>
  <c r="Q443" i="16"/>
  <c r="Q444" i="16"/>
  <c r="Q445" i="16"/>
  <c r="Q446" i="16"/>
  <c r="Q447" i="16"/>
  <c r="Q448" i="16"/>
  <c r="Q449" i="16"/>
  <c r="Q450" i="16"/>
  <c r="Q451" i="16"/>
  <c r="Q452" i="16"/>
  <c r="Q453" i="16"/>
  <c r="Q454" i="16"/>
  <c r="Q455" i="16"/>
  <c r="Q456" i="16"/>
  <c r="Q457" i="16"/>
  <c r="Q458" i="16"/>
  <c r="Q459" i="16"/>
  <c r="Q460" i="16"/>
  <c r="Q461" i="16"/>
  <c r="Q462" i="16"/>
  <c r="Q463" i="16"/>
  <c r="Q464" i="16"/>
  <c r="Q465" i="16"/>
  <c r="Q466" i="16"/>
  <c r="Q467" i="16"/>
  <c r="Q468" i="16"/>
  <c r="Q469" i="16"/>
  <c r="Q470" i="16"/>
  <c r="Q471" i="16"/>
  <c r="Q472" i="16"/>
  <c r="Q473" i="16"/>
  <c r="Q474" i="16"/>
  <c r="Q475" i="16"/>
  <c r="Q476" i="16"/>
  <c r="Q477" i="16"/>
  <c r="Q478" i="16"/>
  <c r="Q479" i="16"/>
  <c r="Q480" i="16"/>
  <c r="Q481" i="16"/>
  <c r="Q482" i="16"/>
  <c r="Q483" i="16"/>
  <c r="Q484" i="16"/>
  <c r="Q485" i="16"/>
  <c r="Q486" i="16"/>
  <c r="Q487" i="16"/>
  <c r="Q488" i="16"/>
  <c r="Q489" i="16"/>
  <c r="Q490" i="16"/>
  <c r="Q491" i="16"/>
  <c r="Q492" i="16"/>
  <c r="Q493" i="16"/>
  <c r="Q494" i="16"/>
  <c r="Q495" i="16"/>
  <c r="Q496" i="16"/>
  <c r="Q497" i="16"/>
  <c r="Q498" i="16"/>
  <c r="Q499" i="16"/>
  <c r="Q500" i="16"/>
  <c r="Q501" i="16"/>
  <c r="Q502" i="16"/>
  <c r="Q503" i="16"/>
  <c r="Q504" i="16"/>
  <c r="Q505" i="16"/>
  <c r="Q506" i="16"/>
  <c r="Q507" i="16"/>
  <c r="Q508" i="16"/>
  <c r="Q509" i="16"/>
  <c r="Q510" i="16"/>
  <c r="Q511" i="16"/>
  <c r="Q512" i="16"/>
  <c r="Q513" i="16"/>
  <c r="Q514" i="16"/>
  <c r="Q515" i="16"/>
  <c r="Q516" i="16"/>
  <c r="Q517" i="16"/>
  <c r="Q518" i="16"/>
  <c r="Q519" i="16"/>
  <c r="Q520" i="16"/>
  <c r="Q521" i="16"/>
  <c r="Q522" i="16"/>
  <c r="Q523" i="16"/>
  <c r="Q524" i="16"/>
  <c r="Q525" i="16"/>
  <c r="Q526" i="16"/>
  <c r="Q527" i="16"/>
  <c r="Q528" i="16"/>
  <c r="Q529" i="16"/>
  <c r="Q530" i="16"/>
  <c r="Q531" i="16"/>
  <c r="Q532" i="16"/>
  <c r="Q533" i="16"/>
  <c r="Q534" i="16"/>
  <c r="Q535" i="16"/>
  <c r="Q536" i="16"/>
  <c r="Q537" i="16"/>
  <c r="Q538" i="16"/>
  <c r="Q539" i="16"/>
  <c r="Q540" i="16"/>
  <c r="Q541" i="16"/>
  <c r="Q542" i="16"/>
  <c r="Q543" i="16"/>
  <c r="Q544" i="16"/>
  <c r="Q545" i="16"/>
  <c r="Q546" i="16"/>
  <c r="Q547" i="16"/>
  <c r="Q548" i="16"/>
  <c r="Q549" i="16"/>
  <c r="Q550" i="16"/>
  <c r="Q551" i="16"/>
  <c r="Q552" i="16"/>
  <c r="Q553" i="16"/>
  <c r="Q554" i="16"/>
  <c r="Q555" i="16"/>
  <c r="Q556" i="16"/>
  <c r="Q557" i="16"/>
  <c r="Q558" i="16"/>
  <c r="Q559" i="16"/>
  <c r="Q560" i="16"/>
  <c r="Q561" i="16"/>
  <c r="Q562" i="16"/>
  <c r="Q563" i="16"/>
  <c r="Q564" i="16"/>
  <c r="Q565" i="16"/>
  <c r="Q566" i="16"/>
  <c r="Q567" i="16"/>
  <c r="Q568" i="16"/>
  <c r="Q569" i="16"/>
  <c r="Q570" i="16"/>
  <c r="Q571" i="16"/>
  <c r="Q572" i="16"/>
  <c r="Q573" i="16"/>
  <c r="Q574" i="16"/>
  <c r="Q575" i="16"/>
  <c r="Q576" i="16"/>
  <c r="Q577" i="16"/>
  <c r="Q578" i="16"/>
  <c r="Q579" i="16"/>
  <c r="Q580" i="16"/>
  <c r="Q581" i="16"/>
  <c r="Q582" i="16"/>
  <c r="Q583" i="16"/>
  <c r="Q584" i="16"/>
  <c r="Q585" i="16"/>
  <c r="Q586" i="16"/>
  <c r="Q587" i="16"/>
  <c r="Q588" i="16"/>
  <c r="Q589" i="16"/>
  <c r="Q590" i="16"/>
  <c r="Q591" i="16"/>
  <c r="Q592" i="16"/>
  <c r="Q593" i="16"/>
  <c r="Q594" i="16"/>
  <c r="Q595" i="16"/>
  <c r="Q596" i="16"/>
  <c r="Q597" i="16"/>
  <c r="Q598" i="16"/>
  <c r="Q599" i="16"/>
  <c r="Q600" i="16"/>
  <c r="Q601" i="16"/>
  <c r="Q602" i="16"/>
  <c r="Q603" i="16"/>
  <c r="Q604" i="16"/>
  <c r="Q605" i="16"/>
  <c r="Q606" i="16"/>
  <c r="Q607" i="16"/>
  <c r="Q608" i="16"/>
  <c r="Q609" i="16"/>
  <c r="Q610" i="16"/>
  <c r="Q611" i="16"/>
  <c r="Q612" i="16"/>
  <c r="Q613" i="16"/>
  <c r="Q614" i="16"/>
  <c r="Q615" i="16"/>
  <c r="Q616" i="16"/>
  <c r="Q617" i="16"/>
  <c r="Q618" i="16"/>
  <c r="Q619" i="16"/>
  <c r="Q620" i="16"/>
  <c r="Q621" i="16"/>
  <c r="Q622" i="16"/>
  <c r="Q623" i="16"/>
  <c r="Q624" i="16"/>
  <c r="Q625" i="16"/>
  <c r="Q626" i="16"/>
  <c r="Q627" i="16"/>
  <c r="Q628" i="16"/>
  <c r="Q629" i="16"/>
  <c r="Q630" i="16"/>
  <c r="Q631" i="16"/>
  <c r="Q632" i="16"/>
  <c r="Q633" i="16"/>
  <c r="Q634" i="16"/>
  <c r="Q635" i="16"/>
  <c r="Q636" i="16"/>
  <c r="Q637" i="16"/>
  <c r="Q638" i="16"/>
  <c r="Q639" i="16"/>
  <c r="Q640" i="16"/>
  <c r="Q641" i="16"/>
  <c r="Q642" i="16"/>
  <c r="Q643" i="16"/>
  <c r="Q644" i="16"/>
  <c r="Q645" i="16"/>
  <c r="Q646" i="16"/>
  <c r="Q647" i="16"/>
  <c r="Q648" i="16"/>
  <c r="Q649" i="16"/>
  <c r="Q650" i="16"/>
  <c r="Q651" i="16"/>
  <c r="Q652" i="16"/>
  <c r="Q653" i="16"/>
  <c r="Q654" i="16"/>
  <c r="Q655" i="16"/>
  <c r="Q656" i="16"/>
  <c r="Q657" i="16"/>
  <c r="Q658" i="16"/>
  <c r="Q659" i="16"/>
  <c r="Q660" i="16"/>
  <c r="Q661" i="16"/>
  <c r="Q662" i="16"/>
  <c r="Q663" i="16"/>
  <c r="Q664" i="16"/>
  <c r="Q665" i="16"/>
  <c r="Q666" i="16"/>
  <c r="Q667" i="16"/>
  <c r="Q668" i="16"/>
  <c r="Q669" i="16"/>
  <c r="Q670" i="16"/>
  <c r="Q671" i="16"/>
  <c r="Q672" i="16"/>
  <c r="Q673" i="16"/>
  <c r="Q674" i="16"/>
  <c r="Q675" i="16"/>
  <c r="Q676" i="16"/>
  <c r="Q677" i="16"/>
  <c r="Q678" i="16"/>
  <c r="Q679" i="16"/>
  <c r="Q680" i="16"/>
  <c r="Q681" i="16"/>
  <c r="Q682" i="16"/>
  <c r="Q683" i="16"/>
  <c r="Q684" i="16"/>
  <c r="Q685" i="16"/>
  <c r="Q686" i="16"/>
  <c r="Q687" i="16"/>
  <c r="Q688" i="16"/>
  <c r="Q689" i="16"/>
  <c r="Q690" i="16"/>
  <c r="Q691" i="16"/>
  <c r="Q692" i="16"/>
  <c r="Q693" i="16"/>
  <c r="Q694" i="16"/>
  <c r="Q695" i="16"/>
  <c r="Q696" i="16"/>
  <c r="Q697" i="16"/>
  <c r="Q698" i="16"/>
  <c r="Q699" i="16"/>
  <c r="Q700" i="16"/>
  <c r="Q701" i="16"/>
  <c r="Q702" i="16"/>
  <c r="Q703" i="16"/>
  <c r="Q704" i="16"/>
  <c r="Q705" i="16"/>
  <c r="Q706" i="16"/>
  <c r="Q707" i="16"/>
  <c r="Q708" i="16"/>
  <c r="Q709" i="16"/>
  <c r="Q710" i="16"/>
  <c r="Q711" i="16"/>
  <c r="Q712" i="16"/>
  <c r="Q713" i="16"/>
  <c r="Q714" i="16"/>
  <c r="Q715" i="16"/>
  <c r="Q716" i="16"/>
  <c r="Q717" i="16"/>
  <c r="Q718" i="16"/>
  <c r="Q719" i="16"/>
  <c r="Q720" i="16"/>
  <c r="Q721" i="16"/>
  <c r="Q722" i="16"/>
  <c r="Q723" i="16"/>
  <c r="Q724" i="16"/>
  <c r="Q725" i="16"/>
  <c r="Q726" i="16"/>
  <c r="Q727" i="16"/>
  <c r="Q728" i="16"/>
  <c r="Q729" i="16"/>
  <c r="Q730" i="16"/>
  <c r="Q731" i="16"/>
  <c r="Q732" i="16"/>
  <c r="Q733" i="16"/>
  <c r="Q734" i="16"/>
  <c r="Q735" i="16"/>
  <c r="Q736" i="16"/>
  <c r="Q737" i="16"/>
  <c r="Q738" i="16"/>
  <c r="Q739" i="16"/>
  <c r="Q740" i="16"/>
  <c r="Q741" i="16"/>
  <c r="Q742" i="16"/>
  <c r="Q743" i="16"/>
  <c r="Q744" i="16"/>
  <c r="Q745" i="16"/>
  <c r="Q746" i="16"/>
  <c r="Q747" i="16"/>
  <c r="Q748" i="16"/>
  <c r="Q749" i="16"/>
  <c r="Q750" i="16"/>
  <c r="Q751" i="16"/>
  <c r="Q752" i="16"/>
  <c r="Q753" i="16"/>
  <c r="Q754" i="16"/>
  <c r="Q755" i="16"/>
  <c r="Q756" i="16"/>
  <c r="Q757" i="16"/>
  <c r="Q758" i="16"/>
  <c r="Q759" i="16"/>
  <c r="Q760" i="16"/>
  <c r="Q761" i="16"/>
  <c r="Q762" i="16"/>
  <c r="Q763" i="16"/>
  <c r="Q764" i="16"/>
  <c r="Q765" i="16"/>
  <c r="Q766" i="16"/>
  <c r="Q767" i="16"/>
  <c r="Q768" i="16"/>
  <c r="Q769" i="16"/>
  <c r="Q770" i="16"/>
  <c r="Q771" i="16"/>
  <c r="Q772" i="16"/>
  <c r="Q773" i="16"/>
  <c r="Q774" i="16"/>
  <c r="Q775" i="16"/>
  <c r="Q776" i="16"/>
  <c r="Q777" i="16"/>
  <c r="Q778" i="16"/>
  <c r="Q779" i="16"/>
  <c r="Q780" i="16"/>
  <c r="Q781" i="16"/>
  <c r="Q782" i="16"/>
  <c r="Q783" i="16"/>
  <c r="Q784" i="16"/>
  <c r="Q785" i="16"/>
  <c r="Q786" i="16"/>
  <c r="Q787" i="16"/>
  <c r="Q788" i="16"/>
  <c r="Q789" i="16"/>
  <c r="Q790" i="16"/>
  <c r="Q791" i="16"/>
  <c r="Q792" i="16"/>
  <c r="Q793" i="16"/>
  <c r="F226" i="16"/>
  <c r="F227" i="16"/>
  <c r="J394" i="16"/>
  <c r="K394" i="16"/>
  <c r="L394" i="16"/>
  <c r="J395" i="16"/>
  <c r="K395" i="16"/>
  <c r="L395" i="16"/>
  <c r="J396" i="16"/>
  <c r="K396" i="16"/>
  <c r="L396" i="16"/>
  <c r="J397" i="16"/>
  <c r="K397" i="16"/>
  <c r="L397" i="16"/>
  <c r="J398" i="16"/>
  <c r="K398" i="16"/>
  <c r="L398" i="16"/>
  <c r="J399" i="16"/>
  <c r="K399" i="16"/>
  <c r="L399" i="16"/>
  <c r="J400" i="16"/>
  <c r="K400" i="16"/>
  <c r="L400" i="16"/>
  <c r="J401" i="16"/>
  <c r="K401" i="16"/>
  <c r="L401" i="16"/>
  <c r="J402" i="16"/>
  <c r="K402" i="16"/>
  <c r="L402" i="16"/>
  <c r="J403" i="16"/>
  <c r="K403" i="16"/>
  <c r="L403" i="16"/>
  <c r="J404" i="16"/>
  <c r="K404" i="16"/>
  <c r="L404" i="16"/>
  <c r="T393" i="16"/>
  <c r="T394" i="16"/>
  <c r="T395" i="16"/>
  <c r="T396" i="16"/>
  <c r="T397" i="16"/>
  <c r="T398" i="16"/>
  <c r="T399" i="16"/>
  <c r="T400" i="16"/>
  <c r="B394" i="16"/>
  <c r="B395" i="16"/>
  <c r="B396" i="16"/>
  <c r="B397" i="16"/>
  <c r="B398" i="16"/>
  <c r="B399" i="16"/>
  <c r="B400" i="16"/>
  <c r="B401" i="16"/>
  <c r="B402" i="16"/>
  <c r="B403" i="16"/>
  <c r="R80" i="7"/>
  <c r="X80" i="7" s="1"/>
  <c r="S80" i="7"/>
  <c r="J525" i="16"/>
  <c r="K525" i="16"/>
  <c r="L525" i="16"/>
  <c r="B523" i="16"/>
  <c r="B525" i="16"/>
  <c r="B524" i="16"/>
  <c r="W526" i="16"/>
  <c r="V526" i="16"/>
  <c r="U526" i="16"/>
  <c r="T526" i="16"/>
  <c r="U525" i="16"/>
  <c r="T525" i="16"/>
  <c r="L524" i="16"/>
  <c r="J524" i="16"/>
  <c r="K524" i="16"/>
  <c r="T523" i="16"/>
  <c r="L523" i="16"/>
  <c r="K523" i="16"/>
  <c r="J523" i="16"/>
  <c r="A523" i="16"/>
  <c r="W522" i="16"/>
  <c r="V522" i="16"/>
  <c r="U522" i="16"/>
  <c r="T522" i="16"/>
  <c r="V80" i="7"/>
  <c r="Y80" i="7"/>
  <c r="P80" i="7"/>
  <c r="N72" i="7"/>
  <c r="N73" i="7"/>
  <c r="F80" i="7"/>
  <c r="G80" i="7"/>
  <c r="H80" i="7"/>
  <c r="W524" i="16" l="1"/>
  <c r="U523" i="16"/>
  <c r="W523" i="16"/>
  <c r="V523" i="16"/>
  <c r="V524" i="16"/>
  <c r="U524" i="16"/>
  <c r="W525" i="16"/>
  <c r="G526" i="16"/>
  <c r="K526" i="16" s="1"/>
  <c r="F526" i="16"/>
  <c r="T524" i="16"/>
  <c r="V525" i="16"/>
  <c r="H526" i="16"/>
  <c r="L526" i="16" s="1"/>
  <c r="N81" i="7"/>
  <c r="J526" i="16" l="1"/>
  <c r="Q80" i="7"/>
  <c r="F140" i="16"/>
  <c r="F139" i="16"/>
  <c r="F138" i="16"/>
  <c r="H463" i="16"/>
  <c r="G225" i="16"/>
  <c r="F224" i="16"/>
  <c r="G223" i="16"/>
  <c r="K13" i="16"/>
  <c r="L13" i="16"/>
  <c r="J14" i="16"/>
  <c r="K14" i="16"/>
  <c r="L14" i="16"/>
  <c r="J15" i="16"/>
  <c r="K15" i="16"/>
  <c r="L15" i="16"/>
  <c r="J6" i="16"/>
  <c r="K6" i="16"/>
  <c r="L6" i="16"/>
  <c r="J7" i="16"/>
  <c r="K7" i="16"/>
  <c r="L7" i="16"/>
  <c r="J8" i="16"/>
  <c r="K8" i="16"/>
  <c r="L8" i="16"/>
  <c r="U6" i="16"/>
  <c r="V14" i="16"/>
  <c r="V6" i="16"/>
  <c r="W6" i="16"/>
  <c r="W7" i="16"/>
  <c r="W8" i="16"/>
  <c r="U9" i="16"/>
  <c r="V9" i="16"/>
  <c r="W9" i="16"/>
  <c r="U10" i="16"/>
  <c r="V10" i="16"/>
  <c r="W10" i="16"/>
  <c r="V13" i="16"/>
  <c r="W13" i="16"/>
  <c r="U14" i="16"/>
  <c r="W14" i="16"/>
  <c r="W15" i="16"/>
  <c r="U16" i="16"/>
  <c r="V16" i="16"/>
  <c r="W16" i="16"/>
  <c r="U17" i="16"/>
  <c r="V17" i="16"/>
  <c r="W17" i="16"/>
  <c r="U23" i="16"/>
  <c r="V23" i="16"/>
  <c r="W23" i="16"/>
  <c r="U24" i="16"/>
  <c r="V24" i="16"/>
  <c r="W24" i="16"/>
  <c r="U30" i="16"/>
  <c r="V30" i="16"/>
  <c r="W30" i="16"/>
  <c r="U31" i="16"/>
  <c r="V31" i="16"/>
  <c r="W31" i="16"/>
  <c r="U43" i="16"/>
  <c r="V43" i="16"/>
  <c r="W43" i="16"/>
  <c r="U44" i="16"/>
  <c r="V44" i="16"/>
  <c r="W44" i="16"/>
  <c r="U58" i="16"/>
  <c r="V58" i="16"/>
  <c r="W58" i="16"/>
  <c r="U59" i="16"/>
  <c r="V59" i="16"/>
  <c r="W59" i="16"/>
  <c r="U80" i="16"/>
  <c r="V80" i="16"/>
  <c r="W80" i="16"/>
  <c r="U81" i="16"/>
  <c r="V81" i="16"/>
  <c r="W81" i="16"/>
  <c r="U94" i="16"/>
  <c r="V94" i="16"/>
  <c r="W94" i="16"/>
  <c r="U95" i="16"/>
  <c r="V95" i="16"/>
  <c r="W95" i="16"/>
  <c r="U101" i="16"/>
  <c r="V101" i="16"/>
  <c r="W101" i="16"/>
  <c r="U102" i="16"/>
  <c r="V102" i="16"/>
  <c r="W102" i="16"/>
  <c r="U108" i="16"/>
  <c r="V108" i="16"/>
  <c r="W108" i="16"/>
  <c r="U109" i="16"/>
  <c r="V109" i="16"/>
  <c r="W109" i="16"/>
  <c r="U115" i="16"/>
  <c r="V115" i="16"/>
  <c r="W115" i="16"/>
  <c r="U116" i="16"/>
  <c r="V116" i="16"/>
  <c r="W116" i="16"/>
  <c r="U122" i="16"/>
  <c r="V122" i="16"/>
  <c r="W122" i="16"/>
  <c r="U123" i="16"/>
  <c r="V123" i="16"/>
  <c r="W123" i="16"/>
  <c r="U129" i="16"/>
  <c r="V129" i="16"/>
  <c r="W129" i="16"/>
  <c r="U130" i="16"/>
  <c r="V130" i="16"/>
  <c r="W130" i="16"/>
  <c r="U142" i="16"/>
  <c r="V142" i="16"/>
  <c r="W142" i="16"/>
  <c r="U143" i="16"/>
  <c r="V143" i="16"/>
  <c r="W143" i="16"/>
  <c r="U149" i="16"/>
  <c r="V149" i="16"/>
  <c r="W149" i="16"/>
  <c r="U150" i="16"/>
  <c r="V150" i="16"/>
  <c r="W150" i="16"/>
  <c r="U161" i="16"/>
  <c r="V161" i="16"/>
  <c r="W161" i="16"/>
  <c r="U162" i="16"/>
  <c r="V162" i="16"/>
  <c r="W162" i="16"/>
  <c r="U168" i="16"/>
  <c r="V168" i="16"/>
  <c r="W168" i="16"/>
  <c r="U169" i="16"/>
  <c r="V169" i="16"/>
  <c r="W169" i="16"/>
  <c r="U182" i="16"/>
  <c r="V182" i="16"/>
  <c r="W182" i="16"/>
  <c r="U183" i="16"/>
  <c r="V183" i="16"/>
  <c r="W183" i="16"/>
  <c r="U189" i="16"/>
  <c r="V189" i="16"/>
  <c r="W189" i="16"/>
  <c r="U190" i="16"/>
  <c r="V190" i="16"/>
  <c r="W190" i="16"/>
  <c r="U196" i="16"/>
  <c r="V196" i="16"/>
  <c r="W196" i="16"/>
  <c r="U197" i="16"/>
  <c r="V197" i="16"/>
  <c r="W197" i="16"/>
  <c r="U203" i="16"/>
  <c r="V203" i="16"/>
  <c r="W203" i="16"/>
  <c r="U204" i="16"/>
  <c r="V204" i="16"/>
  <c r="W204" i="16"/>
  <c r="U210" i="16"/>
  <c r="V210" i="16"/>
  <c r="W210" i="16"/>
  <c r="U211" i="16"/>
  <c r="V211" i="16"/>
  <c r="W211" i="16"/>
  <c r="U217" i="16"/>
  <c r="V217" i="16"/>
  <c r="W217" i="16"/>
  <c r="U218" i="16"/>
  <c r="V218" i="16"/>
  <c r="W218" i="16"/>
  <c r="U233" i="16"/>
  <c r="V233" i="16"/>
  <c r="W233" i="16"/>
  <c r="U234" i="16"/>
  <c r="V234" i="16"/>
  <c r="W234" i="16"/>
  <c r="U255" i="16"/>
  <c r="V255" i="16"/>
  <c r="W255" i="16"/>
  <c r="U256" i="16"/>
  <c r="V256" i="16"/>
  <c r="W256" i="16"/>
  <c r="U271" i="16"/>
  <c r="V271" i="16"/>
  <c r="W271" i="16"/>
  <c r="U272" i="16"/>
  <c r="V272" i="16"/>
  <c r="W272" i="16"/>
  <c r="U354" i="16"/>
  <c r="V354" i="16"/>
  <c r="W354" i="16"/>
  <c r="U355" i="16"/>
  <c r="V355" i="16"/>
  <c r="W355" i="16"/>
  <c r="U362" i="16"/>
  <c r="V362" i="16"/>
  <c r="W362" i="16"/>
  <c r="U363" i="16"/>
  <c r="V363" i="16"/>
  <c r="W363" i="16"/>
  <c r="U364" i="16"/>
  <c r="V364" i="16"/>
  <c r="W364" i="16"/>
  <c r="U410" i="16"/>
  <c r="V410" i="16"/>
  <c r="W410" i="16"/>
  <c r="U411" i="16"/>
  <c r="V411" i="16"/>
  <c r="W411" i="16"/>
  <c r="U418" i="16"/>
  <c r="V418" i="16"/>
  <c r="W418" i="16"/>
  <c r="U419" i="16"/>
  <c r="V419" i="16"/>
  <c r="W419" i="16"/>
  <c r="U425" i="16"/>
  <c r="V425" i="16"/>
  <c r="W425" i="16"/>
  <c r="U426" i="16"/>
  <c r="V426" i="16"/>
  <c r="W426" i="16"/>
  <c r="U434" i="16"/>
  <c r="V434" i="16"/>
  <c r="W434" i="16"/>
  <c r="U435" i="16"/>
  <c r="V435" i="16"/>
  <c r="W435" i="16"/>
  <c r="U443" i="16"/>
  <c r="V443" i="16"/>
  <c r="W443" i="16"/>
  <c r="U444" i="16"/>
  <c r="V444" i="16"/>
  <c r="W444" i="16"/>
  <c r="U449" i="16"/>
  <c r="V449" i="16"/>
  <c r="W449" i="16"/>
  <c r="U450" i="16"/>
  <c r="V450" i="16"/>
  <c r="W450" i="16"/>
  <c r="U465" i="16"/>
  <c r="V465" i="16"/>
  <c r="W465" i="16"/>
  <c r="U466" i="16"/>
  <c r="V466" i="16"/>
  <c r="W466" i="16"/>
  <c r="U485" i="16"/>
  <c r="V485" i="16"/>
  <c r="W485" i="16"/>
  <c r="U486" i="16"/>
  <c r="V486" i="16"/>
  <c r="W486" i="16"/>
  <c r="U492" i="16"/>
  <c r="V492" i="16"/>
  <c r="W492" i="16"/>
  <c r="U493" i="16"/>
  <c r="V493" i="16"/>
  <c r="W493" i="16"/>
  <c r="U499" i="16"/>
  <c r="V499" i="16"/>
  <c r="W499" i="16"/>
  <c r="U500" i="16"/>
  <c r="V500" i="16"/>
  <c r="W500" i="16"/>
  <c r="U508" i="16"/>
  <c r="V508" i="16"/>
  <c r="W508" i="16"/>
  <c r="U509" i="16"/>
  <c r="V509" i="16"/>
  <c r="W509" i="16"/>
  <c r="U521" i="16"/>
  <c r="V521" i="16"/>
  <c r="W521" i="16"/>
  <c r="U527" i="16"/>
  <c r="V527" i="16"/>
  <c r="W527" i="16"/>
  <c r="U535" i="16"/>
  <c r="V535" i="16"/>
  <c r="W535" i="16"/>
  <c r="U536" i="16"/>
  <c r="V536" i="16"/>
  <c r="W536" i="16"/>
  <c r="U542" i="16"/>
  <c r="V542" i="16"/>
  <c r="W542" i="16"/>
  <c r="U543" i="16"/>
  <c r="V543" i="16"/>
  <c r="W543" i="16"/>
  <c r="U560" i="16"/>
  <c r="V560" i="16"/>
  <c r="W560" i="16"/>
  <c r="U561" i="16"/>
  <c r="V561" i="16"/>
  <c r="W561" i="16"/>
  <c r="U578" i="16"/>
  <c r="V578" i="16"/>
  <c r="W578" i="16"/>
  <c r="U579" i="16"/>
  <c r="V579" i="16"/>
  <c r="W579" i="16"/>
  <c r="U580" i="16"/>
  <c r="V580" i="16"/>
  <c r="W580" i="16"/>
  <c r="U593" i="16"/>
  <c r="V593" i="16"/>
  <c r="W593" i="16"/>
  <c r="U594" i="16"/>
  <c r="V594" i="16"/>
  <c r="W594" i="16"/>
  <c r="U637" i="16"/>
  <c r="V637" i="16"/>
  <c r="W637" i="16"/>
  <c r="U638" i="16"/>
  <c r="V638" i="16"/>
  <c r="W638" i="16"/>
  <c r="U644" i="16"/>
  <c r="V644" i="16"/>
  <c r="W644" i="16"/>
  <c r="U645" i="16"/>
  <c r="V645" i="16"/>
  <c r="W645" i="16"/>
  <c r="U650" i="16"/>
  <c r="V650" i="16"/>
  <c r="W650" i="16"/>
  <c r="U658" i="16"/>
  <c r="V658" i="16"/>
  <c r="W658" i="16"/>
  <c r="U714" i="16"/>
  <c r="V714" i="16"/>
  <c r="W714" i="16"/>
  <c r="U715" i="16"/>
  <c r="V715" i="16"/>
  <c r="W715" i="16"/>
  <c r="U728" i="16"/>
  <c r="V728" i="16"/>
  <c r="W728" i="16"/>
  <c r="U729" i="16"/>
  <c r="V729" i="16"/>
  <c r="W729" i="16"/>
  <c r="U733" i="16"/>
  <c r="V733" i="16"/>
  <c r="W733" i="16"/>
  <c r="U734" i="16"/>
  <c r="V734" i="16"/>
  <c r="W734" i="16"/>
  <c r="U740" i="16"/>
  <c r="V740" i="16"/>
  <c r="W740" i="16"/>
  <c r="U741" i="16"/>
  <c r="V741" i="16"/>
  <c r="W741" i="16"/>
  <c r="U747" i="16"/>
  <c r="V747" i="16"/>
  <c r="W747" i="16"/>
  <c r="U748" i="16"/>
  <c r="V748" i="16"/>
  <c r="W748" i="16"/>
  <c r="U767" i="16"/>
  <c r="V767" i="16"/>
  <c r="W767" i="16"/>
  <c r="U768" i="16"/>
  <c r="V768" i="16"/>
  <c r="W768" i="16"/>
  <c r="U778" i="16"/>
  <c r="V778" i="16"/>
  <c r="W778" i="16"/>
  <c r="U779" i="16"/>
  <c r="V779" i="16"/>
  <c r="W779" i="16"/>
  <c r="U780" i="16"/>
  <c r="V780" i="16"/>
  <c r="W780" i="16"/>
  <c r="U786" i="16"/>
  <c r="V786" i="16"/>
  <c r="W786" i="16"/>
  <c r="U787" i="16"/>
  <c r="V787" i="16"/>
  <c r="W787" i="16"/>
  <c r="U793" i="16"/>
  <c r="V793" i="16"/>
  <c r="W793" i="16"/>
  <c r="H636" i="16"/>
  <c r="W80" i="7" l="1"/>
  <c r="T80" i="7"/>
  <c r="Z80" i="7" s="1"/>
  <c r="U8" i="16"/>
  <c r="V8" i="16"/>
  <c r="V632" i="16"/>
  <c r="V15" i="16"/>
  <c r="U15" i="16"/>
  <c r="V7" i="16"/>
  <c r="U7" i="16"/>
  <c r="J631" i="16"/>
  <c r="U631" i="16" s="1"/>
  <c r="K631" i="16"/>
  <c r="V631" i="16" s="1"/>
  <c r="L631" i="16"/>
  <c r="W631" i="16" s="1"/>
  <c r="J632" i="16"/>
  <c r="U632" i="16" s="1"/>
  <c r="K632" i="16"/>
  <c r="L632" i="16"/>
  <c r="W632" i="16" s="1"/>
  <c r="J633" i="16"/>
  <c r="U633" i="16" s="1"/>
  <c r="K633" i="16"/>
  <c r="V633" i="16" s="1"/>
  <c r="L633" i="16"/>
  <c r="W633" i="16" s="1"/>
  <c r="J634" i="16"/>
  <c r="U634" i="16" s="1"/>
  <c r="K634" i="16"/>
  <c r="V634" i="16" s="1"/>
  <c r="L634" i="16"/>
  <c r="W634" i="16" s="1"/>
  <c r="J635" i="16"/>
  <c r="U635" i="16" s="1"/>
  <c r="K635" i="16"/>
  <c r="V635" i="16" s="1"/>
  <c r="L635" i="16"/>
  <c r="W635" i="16" s="1"/>
  <c r="B634" i="16"/>
  <c r="T405" i="16"/>
  <c r="J405" i="16"/>
  <c r="U405" i="16" s="1"/>
  <c r="K405" i="16"/>
  <c r="V405" i="16" s="1"/>
  <c r="L405" i="16"/>
  <c r="W405" i="16" s="1"/>
  <c r="J406" i="16"/>
  <c r="U406" i="16" s="1"/>
  <c r="K406" i="16"/>
  <c r="V406" i="16" s="1"/>
  <c r="L406" i="16"/>
  <c r="W406" i="16" s="1"/>
  <c r="B405" i="16"/>
  <c r="B406" i="16"/>
  <c r="I9" i="28"/>
  <c r="J9" i="28" s="1"/>
  <c r="H719" i="16" l="1"/>
  <c r="J762" i="16"/>
  <c r="K762" i="16"/>
  <c r="L762" i="16"/>
  <c r="W762" i="16" s="1"/>
  <c r="B762" i="16"/>
  <c r="B763" i="16"/>
  <c r="V762" i="16" l="1"/>
  <c r="U762" i="16"/>
  <c r="H350" i="16"/>
  <c r="N118" i="7" l="1"/>
  <c r="T765" i="16"/>
  <c r="J765" i="16"/>
  <c r="U765" i="16" s="1"/>
  <c r="K765" i="16"/>
  <c r="V765" i="16" s="1"/>
  <c r="L765" i="16"/>
  <c r="W765" i="16" s="1"/>
  <c r="J766" i="16"/>
  <c r="U766" i="16" s="1"/>
  <c r="K766" i="16"/>
  <c r="V766" i="16" s="1"/>
  <c r="L766" i="16"/>
  <c r="W766" i="16" s="1"/>
  <c r="B765" i="16"/>
  <c r="T764" i="16"/>
  <c r="J764" i="16"/>
  <c r="U764" i="16" s="1"/>
  <c r="K764" i="16"/>
  <c r="V764" i="16" s="1"/>
  <c r="L764" i="16"/>
  <c r="W764" i="16" s="1"/>
  <c r="B764" i="16"/>
  <c r="H236" i="16"/>
  <c r="H36" i="16" l="1"/>
  <c r="H473" i="16"/>
  <c r="F79" i="16" l="1"/>
  <c r="G48" i="16"/>
  <c r="N4" i="25" l="1"/>
  <c r="N5" i="25"/>
  <c r="N6" i="25"/>
  <c r="N7" i="25"/>
  <c r="N8" i="25"/>
  <c r="N9" i="25"/>
  <c r="N63" i="25"/>
  <c r="N18" i="25"/>
  <c r="N14" i="25"/>
  <c r="N40" i="25"/>
  <c r="N64" i="25"/>
  <c r="N15" i="25"/>
  <c r="N16" i="25"/>
  <c r="N17" i="25"/>
  <c r="N10" i="25"/>
  <c r="N11" i="25"/>
  <c r="N26" i="25"/>
  <c r="N39" i="25"/>
  <c r="N13" i="25"/>
  <c r="N25" i="25"/>
  <c r="N56" i="25"/>
  <c r="N21" i="25"/>
  <c r="N61" i="25"/>
  <c r="N27" i="25"/>
  <c r="N28" i="25"/>
  <c r="N29" i="25"/>
  <c r="N30" i="25"/>
  <c r="N31" i="25"/>
  <c r="N54" i="25"/>
  <c r="N33" i="25"/>
  <c r="N34" i="25"/>
  <c r="N35" i="25"/>
  <c r="N36" i="25"/>
  <c r="N37" i="25"/>
  <c r="N23" i="25"/>
  <c r="N24" i="25"/>
  <c r="N20" i="25"/>
  <c r="N41" i="25"/>
  <c r="N42" i="25"/>
  <c r="N43" i="25"/>
  <c r="N44" i="25"/>
  <c r="N45" i="25"/>
  <c r="N46" i="25"/>
  <c r="N47" i="25"/>
  <c r="N19" i="25"/>
  <c r="N12" i="25"/>
  <c r="N32" i="25"/>
  <c r="N38" i="25"/>
  <c r="N22" i="25"/>
  <c r="N48" i="25"/>
  <c r="N49" i="25"/>
  <c r="N50" i="25"/>
  <c r="N53" i="25"/>
  <c r="N57" i="25"/>
  <c r="N58" i="25"/>
  <c r="N59" i="25"/>
  <c r="N60" i="25"/>
  <c r="N55" i="25"/>
  <c r="N51" i="25"/>
  <c r="N65" i="25"/>
  <c r="N62" i="25"/>
  <c r="N52" i="25"/>
  <c r="N66" i="25"/>
  <c r="N67" i="25"/>
  <c r="N68" i="25"/>
  <c r="N3" i="25"/>
  <c r="T89" i="16" l="1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9" i="16"/>
  <c r="T120" i="16"/>
  <c r="T121" i="16"/>
  <c r="T122" i="16"/>
  <c r="T123" i="16"/>
  <c r="T124" i="16"/>
  <c r="T127" i="16"/>
  <c r="T128" i="16"/>
  <c r="T129" i="16"/>
  <c r="T130" i="16"/>
  <c r="T131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7" i="16"/>
  <c r="T158" i="16"/>
  <c r="T159" i="16"/>
  <c r="T160" i="16"/>
  <c r="T161" i="16"/>
  <c r="T162" i="16"/>
  <c r="T163" i="16"/>
  <c r="T165" i="16"/>
  <c r="T166" i="16"/>
  <c r="T167" i="16"/>
  <c r="T168" i="16"/>
  <c r="T169" i="16"/>
  <c r="T170" i="16"/>
  <c r="T175" i="16"/>
  <c r="T177" i="16"/>
  <c r="T179" i="16"/>
  <c r="T180" i="16"/>
  <c r="T181" i="16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200" i="16"/>
  <c r="T201" i="16"/>
  <c r="T202" i="16"/>
  <c r="T203" i="16"/>
  <c r="T204" i="16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18" i="16"/>
  <c r="T219" i="16"/>
  <c r="T220" i="16"/>
  <c r="T221" i="16"/>
  <c r="T222" i="16"/>
  <c r="T223" i="16"/>
  <c r="T224" i="16"/>
  <c r="T225" i="16"/>
  <c r="T226" i="16"/>
  <c r="T227" i="16"/>
  <c r="T228" i="16"/>
  <c r="T229" i="16"/>
  <c r="T230" i="16"/>
  <c r="T231" i="16"/>
  <c r="T232" i="16"/>
  <c r="T233" i="16"/>
  <c r="T234" i="16"/>
  <c r="T235" i="16"/>
  <c r="T238" i="16"/>
  <c r="T240" i="16"/>
  <c r="T241" i="16"/>
  <c r="T242" i="16"/>
  <c r="T243" i="16"/>
  <c r="T244" i="16"/>
  <c r="T245" i="16"/>
  <c r="T246" i="16"/>
  <c r="T247" i="16"/>
  <c r="T248" i="16"/>
  <c r="T249" i="16"/>
  <c r="T250" i="16"/>
  <c r="T251" i="16"/>
  <c r="T252" i="16"/>
  <c r="T253" i="16"/>
  <c r="T254" i="16"/>
  <c r="T255" i="16"/>
  <c r="T256" i="16"/>
  <c r="T257" i="16"/>
  <c r="T258" i="16"/>
  <c r="T259" i="16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272" i="16"/>
  <c r="T273" i="16"/>
  <c r="T276" i="16"/>
  <c r="T278" i="16"/>
  <c r="T281" i="16"/>
  <c r="T282" i="16"/>
  <c r="T283" i="16"/>
  <c r="T299" i="16"/>
  <c r="T301" i="16"/>
  <c r="T309" i="16"/>
  <c r="T312" i="16"/>
  <c r="T316" i="16"/>
  <c r="T323" i="16"/>
  <c r="T324" i="16"/>
  <c r="T329" i="16"/>
  <c r="T330" i="16"/>
  <c r="T331" i="16"/>
  <c r="T332" i="16"/>
  <c r="T333" i="16"/>
  <c r="T334" i="16"/>
  <c r="T335" i="16"/>
  <c r="T336" i="16"/>
  <c r="T337" i="16"/>
  <c r="T338" i="16"/>
  <c r="T339" i="16"/>
  <c r="T340" i="16"/>
  <c r="T341" i="16"/>
  <c r="T342" i="16"/>
  <c r="T343" i="16"/>
  <c r="T344" i="16"/>
  <c r="T345" i="16"/>
  <c r="T346" i="16"/>
  <c r="T347" i="16"/>
  <c r="T348" i="16"/>
  <c r="T349" i="16"/>
  <c r="T350" i="16"/>
  <c r="T351" i="16"/>
  <c r="T352" i="16"/>
  <c r="T353" i="16"/>
  <c r="T354" i="16"/>
  <c r="T355" i="16"/>
  <c r="T356" i="16"/>
  <c r="T357" i="16"/>
  <c r="T358" i="16"/>
  <c r="T359" i="16"/>
  <c r="T360" i="16"/>
  <c r="T361" i="16"/>
  <c r="T362" i="16"/>
  <c r="T363" i="16"/>
  <c r="T364" i="16"/>
  <c r="T365" i="16"/>
  <c r="T369" i="16"/>
  <c r="T376" i="16"/>
  <c r="T379" i="16"/>
  <c r="T382" i="16"/>
  <c r="T383" i="16"/>
  <c r="T384" i="16"/>
  <c r="T386" i="16"/>
  <c r="T387" i="16"/>
  <c r="T389" i="16"/>
  <c r="T391" i="16"/>
  <c r="T392" i="16"/>
  <c r="T401" i="16"/>
  <c r="T402" i="16"/>
  <c r="T403" i="16"/>
  <c r="T404" i="16"/>
  <c r="T407" i="16"/>
  <c r="T408" i="16"/>
  <c r="T409" i="16"/>
  <c r="T410" i="16"/>
  <c r="T411" i="16"/>
  <c r="T412" i="16"/>
  <c r="T414" i="16"/>
  <c r="T416" i="16"/>
  <c r="T417" i="16"/>
  <c r="T418" i="16"/>
  <c r="T419" i="16"/>
  <c r="T420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40" i="16"/>
  <c r="T441" i="16"/>
  <c r="T442" i="16"/>
  <c r="T443" i="16"/>
  <c r="T444" i="16"/>
  <c r="T445" i="16"/>
  <c r="T446" i="16"/>
  <c r="T447" i="16"/>
  <c r="T448" i="16"/>
  <c r="T449" i="16"/>
  <c r="T450" i="16"/>
  <c r="T451" i="16"/>
  <c r="T452" i="16"/>
  <c r="T453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69" i="16"/>
  <c r="T474" i="16"/>
  <c r="T475" i="16"/>
  <c r="T476" i="16"/>
  <c r="T477" i="16"/>
  <c r="T478" i="16"/>
  <c r="T479" i="16"/>
  <c r="T480" i="16"/>
  <c r="T481" i="16"/>
  <c r="T482" i="16"/>
  <c r="T483" i="16"/>
  <c r="T484" i="16"/>
  <c r="T485" i="16"/>
  <c r="T486" i="16"/>
  <c r="T487" i="16"/>
  <c r="T488" i="16"/>
  <c r="T489" i="16"/>
  <c r="T490" i="16"/>
  <c r="T491" i="16"/>
  <c r="T492" i="16"/>
  <c r="T493" i="16"/>
  <c r="T494" i="16"/>
  <c r="T495" i="16"/>
  <c r="T496" i="16"/>
  <c r="T497" i="16"/>
  <c r="T498" i="16"/>
  <c r="T499" i="16"/>
  <c r="T500" i="16"/>
  <c r="T501" i="16"/>
  <c r="T502" i="16"/>
  <c r="T503" i="16"/>
  <c r="T504" i="16"/>
  <c r="T505" i="16"/>
  <c r="T506" i="16"/>
  <c r="T507" i="16"/>
  <c r="T508" i="16"/>
  <c r="T509" i="16"/>
  <c r="T510" i="16"/>
  <c r="T518" i="16"/>
  <c r="T519" i="16"/>
  <c r="T520" i="16"/>
  <c r="T521" i="16"/>
  <c r="T527" i="16"/>
  <c r="T528" i="16"/>
  <c r="T533" i="16"/>
  <c r="T534" i="16"/>
  <c r="T535" i="16"/>
  <c r="T536" i="16"/>
  <c r="T537" i="16"/>
  <c r="T540" i="16"/>
  <c r="T541" i="16"/>
  <c r="T542" i="16"/>
  <c r="T543" i="16"/>
  <c r="T544" i="16"/>
  <c r="T546" i="16"/>
  <c r="T548" i="16"/>
  <c r="T550" i="16"/>
  <c r="T551" i="16"/>
  <c r="T552" i="16"/>
  <c r="T553" i="16"/>
  <c r="T554" i="16"/>
  <c r="T555" i="16"/>
  <c r="T556" i="16"/>
  <c r="T557" i="16"/>
  <c r="T558" i="16"/>
  <c r="T559" i="16"/>
  <c r="T560" i="16"/>
  <c r="T561" i="16"/>
  <c r="T562" i="16"/>
  <c r="T563" i="16"/>
  <c r="T564" i="16"/>
  <c r="T565" i="16"/>
  <c r="T566" i="16"/>
  <c r="T567" i="16"/>
  <c r="T568" i="16"/>
  <c r="T569" i="16"/>
  <c r="T570" i="16"/>
  <c r="T571" i="16"/>
  <c r="T572" i="16"/>
  <c r="T573" i="16"/>
  <c r="T574" i="16"/>
  <c r="T575" i="16"/>
  <c r="T576" i="16"/>
  <c r="T577" i="16"/>
  <c r="T578" i="16"/>
  <c r="T579" i="16"/>
  <c r="T580" i="16"/>
  <c r="T581" i="16"/>
  <c r="T585" i="16"/>
  <c r="T586" i="16"/>
  <c r="T587" i="16"/>
  <c r="T588" i="16"/>
  <c r="T589" i="16"/>
  <c r="T590" i="16"/>
  <c r="T591" i="16"/>
  <c r="T592" i="16"/>
  <c r="T593" i="16"/>
  <c r="T594" i="16"/>
  <c r="T595" i="16"/>
  <c r="T597" i="16"/>
  <c r="T602" i="16"/>
  <c r="T603" i="16"/>
  <c r="T604" i="16"/>
  <c r="T605" i="16"/>
  <c r="T606" i="16"/>
  <c r="T611" i="16"/>
  <c r="T612" i="16"/>
  <c r="T613" i="16"/>
  <c r="T614" i="16"/>
  <c r="T616" i="16"/>
  <c r="T617" i="16"/>
  <c r="T618" i="16"/>
  <c r="T620" i="16"/>
  <c r="T621" i="16"/>
  <c r="T622" i="16"/>
  <c r="T623" i="16"/>
  <c r="T624" i="16"/>
  <c r="T625" i="16"/>
  <c r="T626" i="16"/>
  <c r="T627" i="16"/>
  <c r="T628" i="16"/>
  <c r="T629" i="16"/>
  <c r="T630" i="16"/>
  <c r="T631" i="16"/>
  <c r="T632" i="16"/>
  <c r="T633" i="16"/>
  <c r="T635" i="16"/>
  <c r="T637" i="16"/>
  <c r="T638" i="16"/>
  <c r="T639" i="16"/>
  <c r="T640" i="16"/>
  <c r="T641" i="16"/>
  <c r="T642" i="16"/>
  <c r="T643" i="16"/>
  <c r="T644" i="16"/>
  <c r="T645" i="16"/>
  <c r="T646" i="16"/>
  <c r="T650" i="16"/>
  <c r="T654" i="16"/>
  <c r="T658" i="16"/>
  <c r="T663" i="16"/>
  <c r="T668" i="16"/>
  <c r="T674" i="16"/>
  <c r="T675" i="16"/>
  <c r="T676" i="16"/>
  <c r="T681" i="16"/>
  <c r="T684" i="16"/>
  <c r="T686" i="16"/>
  <c r="T687" i="16"/>
  <c r="T688" i="16"/>
  <c r="T689" i="16"/>
  <c r="T690" i="16"/>
  <c r="T691" i="16"/>
  <c r="T692" i="16"/>
  <c r="T693" i="16"/>
  <c r="T694" i="16"/>
  <c r="T696" i="16"/>
  <c r="T697" i="16"/>
  <c r="T698" i="16"/>
  <c r="T701" i="16"/>
  <c r="T702" i="16"/>
  <c r="T705" i="16"/>
  <c r="T706" i="16"/>
  <c r="T707" i="16"/>
  <c r="T708" i="16"/>
  <c r="T709" i="16"/>
  <c r="T710" i="16"/>
  <c r="T711" i="16"/>
  <c r="T712" i="16"/>
  <c r="T713" i="16"/>
  <c r="T714" i="16"/>
  <c r="T715" i="16"/>
  <c r="T716" i="16"/>
  <c r="T718" i="16"/>
  <c r="T719" i="16"/>
  <c r="T724" i="16"/>
  <c r="T725" i="16"/>
  <c r="T727" i="16"/>
  <c r="T728" i="16"/>
  <c r="T729" i="16"/>
  <c r="T730" i="16"/>
  <c r="T731" i="16"/>
  <c r="T732" i="16"/>
  <c r="T733" i="16"/>
  <c r="T734" i="16"/>
  <c r="T735" i="16"/>
  <c r="T738" i="16"/>
  <c r="T739" i="16"/>
  <c r="T740" i="16"/>
  <c r="T741" i="16"/>
  <c r="T742" i="16"/>
  <c r="T743" i="16"/>
  <c r="T744" i="16"/>
  <c r="T745" i="16"/>
  <c r="T746" i="16"/>
  <c r="T747" i="16"/>
  <c r="T748" i="16"/>
  <c r="T749" i="16"/>
  <c r="T751" i="16"/>
  <c r="T752" i="16"/>
  <c r="T753" i="16"/>
  <c r="T754" i="16"/>
  <c r="T755" i="16"/>
  <c r="T756" i="16"/>
  <c r="T757" i="16"/>
  <c r="T758" i="16"/>
  <c r="T759" i="16"/>
  <c r="T760" i="16"/>
  <c r="T761" i="16"/>
  <c r="T763" i="16"/>
  <c r="T766" i="16"/>
  <c r="T767" i="16"/>
  <c r="T768" i="16"/>
  <c r="T769" i="16"/>
  <c r="T774" i="16"/>
  <c r="T775" i="16"/>
  <c r="T776" i="16"/>
  <c r="T777" i="16"/>
  <c r="T778" i="16"/>
  <c r="T779" i="16"/>
  <c r="T780" i="16"/>
  <c r="T781" i="16"/>
  <c r="T782" i="16"/>
  <c r="T783" i="16"/>
  <c r="T784" i="16"/>
  <c r="T785" i="16"/>
  <c r="T786" i="16"/>
  <c r="T787" i="16"/>
  <c r="T788" i="16"/>
  <c r="T789" i="16"/>
  <c r="T790" i="16"/>
  <c r="T791" i="16"/>
  <c r="T792" i="16"/>
  <c r="T793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7" i="16"/>
  <c r="T28" i="16"/>
  <c r="T29" i="16"/>
  <c r="T30" i="16"/>
  <c r="T31" i="16"/>
  <c r="T32" i="16"/>
  <c r="T33" i="16"/>
  <c r="T35" i="16"/>
  <c r="T37" i="16"/>
  <c r="T40" i="16"/>
  <c r="T41" i="16"/>
  <c r="T42" i="16"/>
  <c r="T43" i="16"/>
  <c r="T44" i="16"/>
  <c r="T45" i="16"/>
  <c r="T53" i="16"/>
  <c r="T54" i="16"/>
  <c r="T55" i="16"/>
  <c r="T56" i="16"/>
  <c r="T57" i="16"/>
  <c r="T58" i="16"/>
  <c r="T59" i="16"/>
  <c r="T60" i="16"/>
  <c r="T73" i="16"/>
  <c r="T76" i="16"/>
  <c r="T79" i="16"/>
  <c r="T80" i="16"/>
  <c r="T81" i="16"/>
  <c r="T82" i="16"/>
  <c r="T84" i="16"/>
  <c r="T85" i="16"/>
  <c r="T86" i="16"/>
  <c r="K237" i="16"/>
  <c r="V237" i="16" s="1"/>
  <c r="L237" i="16"/>
  <c r="W237" i="16" s="1"/>
  <c r="J238" i="16"/>
  <c r="U238" i="16" s="1"/>
  <c r="K238" i="16"/>
  <c r="V238" i="16" s="1"/>
  <c r="L238" i="16"/>
  <c r="W238" i="16" s="1"/>
  <c r="K239" i="16"/>
  <c r="V239" i="16" s="1"/>
  <c r="L239" i="16"/>
  <c r="W239" i="16" s="1"/>
  <c r="J240" i="16"/>
  <c r="U240" i="16" s="1"/>
  <c r="K240" i="16"/>
  <c r="V240" i="16" s="1"/>
  <c r="L240" i="16"/>
  <c r="W240" i="16" s="1"/>
  <c r="K241" i="16"/>
  <c r="V241" i="16" s="1"/>
  <c r="L241" i="16"/>
  <c r="W241" i="16" s="1"/>
  <c r="J242" i="16"/>
  <c r="U242" i="16" s="1"/>
  <c r="K242" i="16"/>
  <c r="V242" i="16" s="1"/>
  <c r="J243" i="16"/>
  <c r="U243" i="16" s="1"/>
  <c r="K243" i="16"/>
  <c r="V243" i="16" s="1"/>
  <c r="L243" i="16"/>
  <c r="W243" i="16" s="1"/>
  <c r="J244" i="16"/>
  <c r="U244" i="16" s="1"/>
  <c r="K244" i="16"/>
  <c r="V244" i="16" s="1"/>
  <c r="L244" i="16"/>
  <c r="W244" i="16" s="1"/>
  <c r="J245" i="16"/>
  <c r="U245" i="16" s="1"/>
  <c r="K245" i="16"/>
  <c r="V245" i="16" s="1"/>
  <c r="L245" i="16"/>
  <c r="W245" i="16" s="1"/>
  <c r="J246" i="16"/>
  <c r="U246" i="16" s="1"/>
  <c r="K246" i="16"/>
  <c r="V246" i="16" s="1"/>
  <c r="L246" i="16"/>
  <c r="W246" i="16" s="1"/>
  <c r="J247" i="16"/>
  <c r="U247" i="16" s="1"/>
  <c r="K247" i="16"/>
  <c r="V247" i="16" s="1"/>
  <c r="L247" i="16"/>
  <c r="W247" i="16" s="1"/>
  <c r="J248" i="16"/>
  <c r="U248" i="16" s="1"/>
  <c r="K248" i="16"/>
  <c r="V248" i="16" s="1"/>
  <c r="L248" i="16"/>
  <c r="W248" i="16" s="1"/>
  <c r="J249" i="16"/>
  <c r="U249" i="16" s="1"/>
  <c r="K249" i="16"/>
  <c r="V249" i="16" s="1"/>
  <c r="L249" i="16"/>
  <c r="W249" i="16" s="1"/>
  <c r="J250" i="16"/>
  <c r="U250" i="16" s="1"/>
  <c r="K250" i="16"/>
  <c r="V250" i="16" s="1"/>
  <c r="L250" i="16"/>
  <c r="W250" i="16" s="1"/>
  <c r="J251" i="16"/>
  <c r="U251" i="16" s="1"/>
  <c r="K251" i="16"/>
  <c r="V251" i="16" s="1"/>
  <c r="L251" i="16"/>
  <c r="W251" i="16" s="1"/>
  <c r="J252" i="16"/>
  <c r="U252" i="16" s="1"/>
  <c r="K252" i="16"/>
  <c r="V252" i="16" s="1"/>
  <c r="L252" i="16"/>
  <c r="W252" i="16" s="1"/>
  <c r="J253" i="16"/>
  <c r="U253" i="16" s="1"/>
  <c r="K253" i="16"/>
  <c r="V253" i="16" s="1"/>
  <c r="L253" i="16"/>
  <c r="W253" i="16" s="1"/>
  <c r="J254" i="16"/>
  <c r="U254" i="16" s="1"/>
  <c r="K254" i="16"/>
  <c r="V254" i="16" s="1"/>
  <c r="L254" i="16"/>
  <c r="W254" i="16" s="1"/>
  <c r="K173" i="16"/>
  <c r="V173" i="16" s="1"/>
  <c r="L173" i="16"/>
  <c r="W173" i="16" s="1"/>
  <c r="L174" i="16"/>
  <c r="W174" i="16" s="1"/>
  <c r="K175" i="16"/>
  <c r="V175" i="16" s="1"/>
  <c r="L175" i="16"/>
  <c r="W175" i="16" s="1"/>
  <c r="K176" i="16"/>
  <c r="V176" i="16" s="1"/>
  <c r="L176" i="16"/>
  <c r="W176" i="16" s="1"/>
  <c r="J177" i="16"/>
  <c r="U177" i="16" s="1"/>
  <c r="K177" i="16"/>
  <c r="V177" i="16" s="1"/>
  <c r="L177" i="16"/>
  <c r="W177" i="16" s="1"/>
  <c r="L178" i="16"/>
  <c r="W178" i="16" s="1"/>
  <c r="J179" i="16"/>
  <c r="U179" i="16" s="1"/>
  <c r="K179" i="16"/>
  <c r="V179" i="16" s="1"/>
  <c r="L179" i="16"/>
  <c r="W179" i="16" s="1"/>
  <c r="J180" i="16"/>
  <c r="U180" i="16" s="1"/>
  <c r="K180" i="16"/>
  <c r="V180" i="16" s="1"/>
  <c r="L180" i="16"/>
  <c r="W180" i="16" s="1"/>
  <c r="J181" i="16"/>
  <c r="U181" i="16" s="1"/>
  <c r="K181" i="16"/>
  <c r="V181" i="16" s="1"/>
  <c r="L181" i="16"/>
  <c r="W181" i="16" s="1"/>
  <c r="J133" i="16"/>
  <c r="U133" i="16" s="1"/>
  <c r="K133" i="16"/>
  <c r="V133" i="16" s="1"/>
  <c r="L133" i="16"/>
  <c r="W133" i="16" s="1"/>
  <c r="K134" i="16"/>
  <c r="V134" i="16" s="1"/>
  <c r="L134" i="16"/>
  <c r="W134" i="16" s="1"/>
  <c r="K135" i="16"/>
  <c r="V135" i="16" s="1"/>
  <c r="L135" i="16"/>
  <c r="W135" i="16" s="1"/>
  <c r="K136" i="16"/>
  <c r="V136" i="16" s="1"/>
  <c r="L136" i="16"/>
  <c r="W136" i="16" s="1"/>
  <c r="J137" i="16"/>
  <c r="U137" i="16" s="1"/>
  <c r="K137" i="16"/>
  <c r="V137" i="16" s="1"/>
  <c r="L137" i="16"/>
  <c r="W137" i="16" s="1"/>
  <c r="J138" i="16"/>
  <c r="U138" i="16" s="1"/>
  <c r="K138" i="16"/>
  <c r="V138" i="16" s="1"/>
  <c r="L138" i="16"/>
  <c r="W138" i="16" s="1"/>
  <c r="J139" i="16"/>
  <c r="U139" i="16" s="1"/>
  <c r="K139" i="16"/>
  <c r="V139" i="16" s="1"/>
  <c r="L139" i="16"/>
  <c r="W139" i="16" s="1"/>
  <c r="J140" i="16"/>
  <c r="U140" i="16" s="1"/>
  <c r="K140" i="16"/>
  <c r="V140" i="16" s="1"/>
  <c r="L140" i="16"/>
  <c r="W140" i="16" s="1"/>
  <c r="L126" i="16"/>
  <c r="W126" i="16" s="1"/>
  <c r="K127" i="16"/>
  <c r="V127" i="16" s="1"/>
  <c r="L127" i="16"/>
  <c r="W127" i="16" s="1"/>
  <c r="J128" i="16"/>
  <c r="U128" i="16" s="1"/>
  <c r="K128" i="16"/>
  <c r="V128" i="16" s="1"/>
  <c r="L128" i="16"/>
  <c r="W128" i="16" s="1"/>
  <c r="J121" i="16"/>
  <c r="U121" i="16" s="1"/>
  <c r="K121" i="16"/>
  <c r="V121" i="16" s="1"/>
  <c r="L121" i="16"/>
  <c r="W121" i="16" s="1"/>
  <c r="J119" i="16"/>
  <c r="U119" i="16" s="1"/>
  <c r="K119" i="16"/>
  <c r="V119" i="16" s="1"/>
  <c r="L119" i="16"/>
  <c r="W119" i="16" s="1"/>
  <c r="J120" i="16"/>
  <c r="U120" i="16" s="1"/>
  <c r="K120" i="16"/>
  <c r="V120" i="16" s="1"/>
  <c r="L120" i="16"/>
  <c r="W120" i="16" s="1"/>
  <c r="J112" i="16"/>
  <c r="U112" i="16" s="1"/>
  <c r="K112" i="16"/>
  <c r="V112" i="16" s="1"/>
  <c r="L112" i="16"/>
  <c r="W112" i="16" s="1"/>
  <c r="J113" i="16"/>
  <c r="U113" i="16" s="1"/>
  <c r="K113" i="16"/>
  <c r="V113" i="16" s="1"/>
  <c r="L113" i="16"/>
  <c r="W113" i="16" s="1"/>
  <c r="J114" i="16"/>
  <c r="U114" i="16" s="1"/>
  <c r="K114" i="16"/>
  <c r="V114" i="16" s="1"/>
  <c r="L114" i="16"/>
  <c r="W114" i="16" s="1"/>
  <c r="J105" i="16"/>
  <c r="U105" i="16" s="1"/>
  <c r="K105" i="16"/>
  <c r="V105" i="16" s="1"/>
  <c r="L105" i="16"/>
  <c r="W105" i="16" s="1"/>
  <c r="J106" i="16"/>
  <c r="U106" i="16" s="1"/>
  <c r="K106" i="16"/>
  <c r="V106" i="16" s="1"/>
  <c r="L106" i="16"/>
  <c r="W106" i="16" s="1"/>
  <c r="J107" i="16"/>
  <c r="U107" i="16" s="1"/>
  <c r="K107" i="16"/>
  <c r="V107" i="16" s="1"/>
  <c r="L107" i="16"/>
  <c r="W107" i="16" s="1"/>
  <c r="K84" i="16"/>
  <c r="V84" i="16" s="1"/>
  <c r="L84" i="16"/>
  <c r="W84" i="16" s="1"/>
  <c r="J85" i="16"/>
  <c r="U85" i="16" s="1"/>
  <c r="K85" i="16"/>
  <c r="V85" i="16" s="1"/>
  <c r="L85" i="16"/>
  <c r="W85" i="16" s="1"/>
  <c r="J86" i="16"/>
  <c r="U86" i="16" s="1"/>
  <c r="K86" i="16"/>
  <c r="V86" i="16" s="1"/>
  <c r="L86" i="16"/>
  <c r="W86" i="16" s="1"/>
  <c r="L87" i="16"/>
  <c r="W87" i="16" s="1"/>
  <c r="K88" i="16"/>
  <c r="V88" i="16" s="1"/>
  <c r="L88" i="16"/>
  <c r="W88" i="16" s="1"/>
  <c r="J89" i="16"/>
  <c r="U89" i="16" s="1"/>
  <c r="K89" i="16"/>
  <c r="V89" i="16" s="1"/>
  <c r="L89" i="16"/>
  <c r="W89" i="16" s="1"/>
  <c r="J90" i="16"/>
  <c r="U90" i="16" s="1"/>
  <c r="K90" i="16"/>
  <c r="V90" i="16" s="1"/>
  <c r="L90" i="16"/>
  <c r="W90" i="16" s="1"/>
  <c r="J91" i="16"/>
  <c r="U91" i="16" s="1"/>
  <c r="K91" i="16"/>
  <c r="V91" i="16" s="1"/>
  <c r="L91" i="16"/>
  <c r="W91" i="16" s="1"/>
  <c r="J92" i="16"/>
  <c r="U92" i="16" s="1"/>
  <c r="K92" i="16"/>
  <c r="V92" i="16" s="1"/>
  <c r="L92" i="16"/>
  <c r="W92" i="16" s="1"/>
  <c r="J93" i="16"/>
  <c r="U93" i="16" s="1"/>
  <c r="K93" i="16"/>
  <c r="V93" i="16" s="1"/>
  <c r="L93" i="16"/>
  <c r="W93" i="16" s="1"/>
  <c r="K62" i="16"/>
  <c r="V62" i="16" s="1"/>
  <c r="L62" i="16"/>
  <c r="W62" i="16" s="1"/>
  <c r="K63" i="16"/>
  <c r="V63" i="16" s="1"/>
  <c r="L63" i="16"/>
  <c r="W63" i="16" s="1"/>
  <c r="K64" i="16"/>
  <c r="V64" i="16" s="1"/>
  <c r="L64" i="16"/>
  <c r="W64" i="16" s="1"/>
  <c r="L65" i="16"/>
  <c r="W65" i="16" s="1"/>
  <c r="L66" i="16"/>
  <c r="W66" i="16" s="1"/>
  <c r="L69" i="16"/>
  <c r="W69" i="16" s="1"/>
  <c r="L70" i="16"/>
  <c r="W70" i="16" s="1"/>
  <c r="L71" i="16"/>
  <c r="W71" i="16" s="1"/>
  <c r="K72" i="16"/>
  <c r="V72" i="16" s="1"/>
  <c r="L72" i="16"/>
  <c r="W72" i="16" s="1"/>
  <c r="J73" i="16"/>
  <c r="U73" i="16" s="1"/>
  <c r="K73" i="16"/>
  <c r="V73" i="16" s="1"/>
  <c r="L73" i="16"/>
  <c r="W73" i="16" s="1"/>
  <c r="L74" i="16"/>
  <c r="W74" i="16" s="1"/>
  <c r="K75" i="16"/>
  <c r="V75" i="16" s="1"/>
  <c r="L75" i="16"/>
  <c r="W75" i="16" s="1"/>
  <c r="K76" i="16"/>
  <c r="V76" i="16" s="1"/>
  <c r="L76" i="16"/>
  <c r="W76" i="16" s="1"/>
  <c r="L77" i="16"/>
  <c r="W77" i="16" s="1"/>
  <c r="L78" i="16"/>
  <c r="W78" i="16" s="1"/>
  <c r="J79" i="16"/>
  <c r="U79" i="16" s="1"/>
  <c r="K79" i="16"/>
  <c r="L79" i="16"/>
  <c r="W79" i="16" s="1"/>
  <c r="J20" i="16"/>
  <c r="U20" i="16" s="1"/>
  <c r="K20" i="16"/>
  <c r="V20" i="16" s="1"/>
  <c r="L20" i="16"/>
  <c r="W20" i="16" s="1"/>
  <c r="J21" i="16"/>
  <c r="U21" i="16" s="1"/>
  <c r="K21" i="16"/>
  <c r="V21" i="16" s="1"/>
  <c r="L21" i="16"/>
  <c r="W21" i="16" s="1"/>
  <c r="J22" i="16"/>
  <c r="U22" i="16" s="1"/>
  <c r="K22" i="16"/>
  <c r="V22" i="16" s="1"/>
  <c r="L22" i="16"/>
  <c r="W22" i="16" s="1"/>
  <c r="J648" i="16"/>
  <c r="U648" i="16" s="1"/>
  <c r="L648" i="16"/>
  <c r="W648" i="16" s="1"/>
  <c r="L649" i="16"/>
  <c r="W649" i="16" s="1"/>
  <c r="J650" i="16"/>
  <c r="K650" i="16"/>
  <c r="L650" i="16"/>
  <c r="J651" i="16"/>
  <c r="U651" i="16" s="1"/>
  <c r="L651" i="16"/>
  <c r="W651" i="16" s="1"/>
  <c r="J652" i="16"/>
  <c r="U652" i="16" s="1"/>
  <c r="L652" i="16"/>
  <c r="W652" i="16" s="1"/>
  <c r="J653" i="16"/>
  <c r="U653" i="16" s="1"/>
  <c r="L653" i="16"/>
  <c r="W653" i="16" s="1"/>
  <c r="J654" i="16"/>
  <c r="U654" i="16" s="1"/>
  <c r="K654" i="16"/>
  <c r="V654" i="16" s="1"/>
  <c r="L654" i="16"/>
  <c r="W654" i="16" s="1"/>
  <c r="J655" i="16"/>
  <c r="U655" i="16" s="1"/>
  <c r="L655" i="16"/>
  <c r="W655" i="16" s="1"/>
  <c r="J656" i="16"/>
  <c r="U656" i="16" s="1"/>
  <c r="L656" i="16"/>
  <c r="W656" i="16" s="1"/>
  <c r="J657" i="16"/>
  <c r="U657" i="16" s="1"/>
  <c r="L657" i="16"/>
  <c r="W657" i="16" s="1"/>
  <c r="J658" i="16"/>
  <c r="K658" i="16"/>
  <c r="L658" i="16"/>
  <c r="J659" i="16"/>
  <c r="U659" i="16" s="1"/>
  <c r="L659" i="16"/>
  <c r="W659" i="16" s="1"/>
  <c r="J660" i="16"/>
  <c r="U660" i="16" s="1"/>
  <c r="L660" i="16"/>
  <c r="W660" i="16" s="1"/>
  <c r="J661" i="16"/>
  <c r="U661" i="16" s="1"/>
  <c r="L661" i="16"/>
  <c r="W661" i="16" s="1"/>
  <c r="J662" i="16"/>
  <c r="U662" i="16" s="1"/>
  <c r="L662" i="16"/>
  <c r="W662" i="16" s="1"/>
  <c r="J663" i="16"/>
  <c r="U663" i="16" s="1"/>
  <c r="K663" i="16"/>
  <c r="V663" i="16" s="1"/>
  <c r="L663" i="16"/>
  <c r="W663" i="16" s="1"/>
  <c r="J664" i="16"/>
  <c r="U664" i="16" s="1"/>
  <c r="L664" i="16"/>
  <c r="W664" i="16" s="1"/>
  <c r="J665" i="16"/>
  <c r="U665" i="16" s="1"/>
  <c r="L665" i="16"/>
  <c r="W665" i="16" s="1"/>
  <c r="L666" i="16"/>
  <c r="W666" i="16" s="1"/>
  <c r="K667" i="16"/>
  <c r="V667" i="16" s="1"/>
  <c r="L667" i="16"/>
  <c r="W667" i="16" s="1"/>
  <c r="J668" i="16"/>
  <c r="U668" i="16" s="1"/>
  <c r="K668" i="16"/>
  <c r="V668" i="16" s="1"/>
  <c r="L668" i="16"/>
  <c r="W668" i="16" s="1"/>
  <c r="J669" i="16"/>
  <c r="U669" i="16" s="1"/>
  <c r="L669" i="16"/>
  <c r="W669" i="16" s="1"/>
  <c r="J670" i="16"/>
  <c r="U670" i="16" s="1"/>
  <c r="L670" i="16"/>
  <c r="W670" i="16" s="1"/>
  <c r="J671" i="16"/>
  <c r="U671" i="16" s="1"/>
  <c r="L671" i="16"/>
  <c r="W671" i="16" s="1"/>
  <c r="J672" i="16"/>
  <c r="U672" i="16" s="1"/>
  <c r="L672" i="16"/>
  <c r="W672" i="16" s="1"/>
  <c r="J673" i="16"/>
  <c r="U673" i="16" s="1"/>
  <c r="L673" i="16"/>
  <c r="W673" i="16" s="1"/>
  <c r="J674" i="16"/>
  <c r="U674" i="16" s="1"/>
  <c r="K674" i="16"/>
  <c r="V674" i="16" s="1"/>
  <c r="L674" i="16"/>
  <c r="W674" i="16" s="1"/>
  <c r="J675" i="16"/>
  <c r="U675" i="16" s="1"/>
  <c r="K675" i="16"/>
  <c r="V675" i="16" s="1"/>
  <c r="L675" i="16"/>
  <c r="W675" i="16" s="1"/>
  <c r="J676" i="16"/>
  <c r="U676" i="16" s="1"/>
  <c r="K676" i="16"/>
  <c r="V676" i="16" s="1"/>
  <c r="L676" i="16"/>
  <c r="W676" i="16" s="1"/>
  <c r="J677" i="16"/>
  <c r="U677" i="16" s="1"/>
  <c r="L677" i="16"/>
  <c r="W677" i="16" s="1"/>
  <c r="J678" i="16"/>
  <c r="U678" i="16" s="1"/>
  <c r="L678" i="16"/>
  <c r="W678" i="16" s="1"/>
  <c r="J681" i="16"/>
  <c r="U681" i="16" s="1"/>
  <c r="K681" i="16"/>
  <c r="V681" i="16" s="1"/>
  <c r="L681" i="16"/>
  <c r="W681" i="16" s="1"/>
  <c r="J684" i="16"/>
  <c r="U684" i="16" s="1"/>
  <c r="K684" i="16"/>
  <c r="V684" i="16" s="1"/>
  <c r="L684" i="16"/>
  <c r="W684" i="16" s="1"/>
  <c r="K685" i="16"/>
  <c r="V685" i="16" s="1"/>
  <c r="L685" i="16"/>
  <c r="W685" i="16" s="1"/>
  <c r="J686" i="16"/>
  <c r="U686" i="16" s="1"/>
  <c r="K686" i="16"/>
  <c r="V686" i="16" s="1"/>
  <c r="L686" i="16"/>
  <c r="W686" i="16" s="1"/>
  <c r="J687" i="16"/>
  <c r="U687" i="16" s="1"/>
  <c r="K687" i="16"/>
  <c r="V687" i="16" s="1"/>
  <c r="L687" i="16"/>
  <c r="W687" i="16" s="1"/>
  <c r="J688" i="16"/>
  <c r="U688" i="16" s="1"/>
  <c r="K688" i="16"/>
  <c r="V688" i="16" s="1"/>
  <c r="L688" i="16"/>
  <c r="W688" i="16" s="1"/>
  <c r="J689" i="16"/>
  <c r="U689" i="16" s="1"/>
  <c r="K689" i="16"/>
  <c r="V689" i="16" s="1"/>
  <c r="L689" i="16"/>
  <c r="W689" i="16" s="1"/>
  <c r="J690" i="16"/>
  <c r="U690" i="16" s="1"/>
  <c r="K690" i="16"/>
  <c r="V690" i="16" s="1"/>
  <c r="L690" i="16"/>
  <c r="W690" i="16" s="1"/>
  <c r="J691" i="16"/>
  <c r="U691" i="16" s="1"/>
  <c r="K691" i="16"/>
  <c r="V691" i="16" s="1"/>
  <c r="L691" i="16"/>
  <c r="W691" i="16" s="1"/>
  <c r="J692" i="16"/>
  <c r="U692" i="16" s="1"/>
  <c r="K692" i="16"/>
  <c r="V692" i="16" s="1"/>
  <c r="L692" i="16"/>
  <c r="W692" i="16" s="1"/>
  <c r="J693" i="16"/>
  <c r="U693" i="16" s="1"/>
  <c r="K693" i="16"/>
  <c r="V693" i="16" s="1"/>
  <c r="L693" i="16"/>
  <c r="W693" i="16" s="1"/>
  <c r="J694" i="16"/>
  <c r="U694" i="16" s="1"/>
  <c r="K694" i="16"/>
  <c r="V694" i="16" s="1"/>
  <c r="K695" i="16"/>
  <c r="V695" i="16" s="1"/>
  <c r="L695" i="16"/>
  <c r="W695" i="16" s="1"/>
  <c r="J696" i="16"/>
  <c r="U696" i="16" s="1"/>
  <c r="K696" i="16"/>
  <c r="V696" i="16" s="1"/>
  <c r="L696" i="16"/>
  <c r="W696" i="16" s="1"/>
  <c r="J697" i="16"/>
  <c r="U697" i="16" s="1"/>
  <c r="K697" i="16"/>
  <c r="V697" i="16" s="1"/>
  <c r="L697" i="16"/>
  <c r="W697" i="16" s="1"/>
  <c r="J698" i="16"/>
  <c r="U698" i="16" s="1"/>
  <c r="K698" i="16"/>
  <c r="V698" i="16" s="1"/>
  <c r="L698" i="16"/>
  <c r="W698" i="16" s="1"/>
  <c r="J699" i="16"/>
  <c r="U699" i="16" s="1"/>
  <c r="L699" i="16"/>
  <c r="W699" i="16" s="1"/>
  <c r="J700" i="16"/>
  <c r="U700" i="16" s="1"/>
  <c r="L700" i="16"/>
  <c r="W700" i="16" s="1"/>
  <c r="J701" i="16"/>
  <c r="U701" i="16" s="1"/>
  <c r="K701" i="16"/>
  <c r="V701" i="16" s="1"/>
  <c r="L701" i="16"/>
  <c r="W701" i="16" s="1"/>
  <c r="J702" i="16"/>
  <c r="U702" i="16" s="1"/>
  <c r="K702" i="16"/>
  <c r="V702" i="16" s="1"/>
  <c r="L702" i="16"/>
  <c r="W702" i="16" s="1"/>
  <c r="K703" i="16"/>
  <c r="V703" i="16" s="1"/>
  <c r="L703" i="16"/>
  <c r="W703" i="16" s="1"/>
  <c r="L704" i="16"/>
  <c r="W704" i="16" s="1"/>
  <c r="J705" i="16"/>
  <c r="U705" i="16" s="1"/>
  <c r="K705" i="16"/>
  <c r="V705" i="16" s="1"/>
  <c r="L705" i="16"/>
  <c r="W705" i="16" s="1"/>
  <c r="K706" i="16"/>
  <c r="V706" i="16" s="1"/>
  <c r="L706" i="16"/>
  <c r="W706" i="16" s="1"/>
  <c r="J707" i="16"/>
  <c r="U707" i="16" s="1"/>
  <c r="K707" i="16"/>
  <c r="V707" i="16" s="1"/>
  <c r="L707" i="16"/>
  <c r="W707" i="16" s="1"/>
  <c r="J708" i="16"/>
  <c r="U708" i="16" s="1"/>
  <c r="K708" i="16"/>
  <c r="V708" i="16" s="1"/>
  <c r="L708" i="16"/>
  <c r="W708" i="16" s="1"/>
  <c r="J709" i="16"/>
  <c r="U709" i="16" s="1"/>
  <c r="K709" i="16"/>
  <c r="V709" i="16" s="1"/>
  <c r="L709" i="16"/>
  <c r="W709" i="16" s="1"/>
  <c r="K710" i="16"/>
  <c r="V710" i="16" s="1"/>
  <c r="L710" i="16"/>
  <c r="W710" i="16" s="1"/>
  <c r="J711" i="16"/>
  <c r="U711" i="16" s="1"/>
  <c r="K711" i="16"/>
  <c r="V711" i="16" s="1"/>
  <c r="L711" i="16"/>
  <c r="W711" i="16" s="1"/>
  <c r="J712" i="16"/>
  <c r="U712" i="16" s="1"/>
  <c r="K712" i="16"/>
  <c r="V712" i="16" s="1"/>
  <c r="L712" i="16"/>
  <c r="W712" i="16" s="1"/>
  <c r="K713" i="16"/>
  <c r="V713" i="16" s="1"/>
  <c r="L713" i="16"/>
  <c r="W713" i="16" s="1"/>
  <c r="L47" i="16"/>
  <c r="W47" i="16" s="1"/>
  <c r="J49" i="16"/>
  <c r="U49" i="16" s="1"/>
  <c r="L49" i="16"/>
  <c r="W49" i="16" s="1"/>
  <c r="K50" i="16"/>
  <c r="V50" i="16" s="1"/>
  <c r="L50" i="16"/>
  <c r="W50" i="16" s="1"/>
  <c r="J51" i="16"/>
  <c r="U51" i="16" s="1"/>
  <c r="J52" i="16"/>
  <c r="U52" i="16" s="1"/>
  <c r="J53" i="16"/>
  <c r="U53" i="16" s="1"/>
  <c r="K53" i="16"/>
  <c r="V53" i="16" s="1"/>
  <c r="L53" i="16"/>
  <c r="W53" i="16" s="1"/>
  <c r="J54" i="16"/>
  <c r="U54" i="16" s="1"/>
  <c r="K54" i="16"/>
  <c r="V54" i="16" s="1"/>
  <c r="L54" i="16"/>
  <c r="W54" i="16" s="1"/>
  <c r="J55" i="16"/>
  <c r="U55" i="16" s="1"/>
  <c r="K55" i="16"/>
  <c r="V55" i="16" s="1"/>
  <c r="L55" i="16"/>
  <c r="W55" i="16" s="1"/>
  <c r="J56" i="16"/>
  <c r="U56" i="16" s="1"/>
  <c r="K56" i="16"/>
  <c r="V56" i="16" s="1"/>
  <c r="L56" i="16"/>
  <c r="W56" i="16" s="1"/>
  <c r="J57" i="16"/>
  <c r="U57" i="16" s="1"/>
  <c r="K57" i="16"/>
  <c r="V57" i="16" s="1"/>
  <c r="L57" i="16"/>
  <c r="W57" i="16" s="1"/>
  <c r="L34" i="16"/>
  <c r="W34" i="16" s="1"/>
  <c r="J35" i="16"/>
  <c r="U35" i="16" s="1"/>
  <c r="K35" i="16"/>
  <c r="V35" i="16" s="1"/>
  <c r="L35" i="16"/>
  <c r="W35" i="16" s="1"/>
  <c r="K37" i="16"/>
  <c r="V37" i="16" s="1"/>
  <c r="L37" i="16"/>
  <c r="W37" i="16" s="1"/>
  <c r="K38" i="16"/>
  <c r="V38" i="16" s="1"/>
  <c r="K39" i="16"/>
  <c r="V39" i="16" s="1"/>
  <c r="L39" i="16"/>
  <c r="W39" i="16" s="1"/>
  <c r="J40" i="16"/>
  <c r="U40" i="16" s="1"/>
  <c r="K40" i="16"/>
  <c r="V40" i="16" s="1"/>
  <c r="L40" i="16"/>
  <c r="W40" i="16" s="1"/>
  <c r="J41" i="16"/>
  <c r="U41" i="16" s="1"/>
  <c r="K41" i="16"/>
  <c r="V41" i="16" s="1"/>
  <c r="L41" i="16"/>
  <c r="W41" i="16" s="1"/>
  <c r="J42" i="16"/>
  <c r="U42" i="16" s="1"/>
  <c r="K42" i="16"/>
  <c r="V42" i="16" s="1"/>
  <c r="L42" i="16"/>
  <c r="W42" i="16" s="1"/>
  <c r="J27" i="16"/>
  <c r="U27" i="16" s="1"/>
  <c r="K27" i="16"/>
  <c r="V27" i="16" s="1"/>
  <c r="L27" i="16"/>
  <c r="W27" i="16" s="1"/>
  <c r="J28" i="16"/>
  <c r="U28" i="16" s="1"/>
  <c r="K28" i="16"/>
  <c r="V28" i="16" s="1"/>
  <c r="L28" i="16"/>
  <c r="W28" i="16" s="1"/>
  <c r="J29" i="16"/>
  <c r="U29" i="16" s="1"/>
  <c r="K29" i="16"/>
  <c r="V29" i="16" s="1"/>
  <c r="L29" i="16"/>
  <c r="W29" i="16" s="1"/>
  <c r="F30" i="16"/>
  <c r="J30" i="16" s="1"/>
  <c r="F23" i="16"/>
  <c r="G9" i="16"/>
  <c r="H9" i="16"/>
  <c r="N11" i="17"/>
  <c r="O11" i="17"/>
  <c r="J416" i="16"/>
  <c r="U416" i="16" s="1"/>
  <c r="K416" i="16"/>
  <c r="V416" i="16" s="1"/>
  <c r="L416" i="16"/>
  <c r="W416" i="16" s="1"/>
  <c r="J417" i="16"/>
  <c r="U417" i="16" s="1"/>
  <c r="K417" i="16"/>
  <c r="V417" i="16" s="1"/>
  <c r="L417" i="16"/>
  <c r="W417" i="16" s="1"/>
  <c r="N115" i="7"/>
  <c r="N86" i="7"/>
  <c r="J774" i="16"/>
  <c r="U774" i="16" s="1"/>
  <c r="K774" i="16"/>
  <c r="V774" i="16" s="1"/>
  <c r="L774" i="16"/>
  <c r="W774" i="16" s="1"/>
  <c r="J775" i="16"/>
  <c r="U775" i="16" s="1"/>
  <c r="K775" i="16"/>
  <c r="V775" i="16" s="1"/>
  <c r="L775" i="16"/>
  <c r="W775" i="16" s="1"/>
  <c r="J776" i="16"/>
  <c r="U776" i="16" s="1"/>
  <c r="K776" i="16"/>
  <c r="V776" i="16" s="1"/>
  <c r="L776" i="16"/>
  <c r="W776" i="16" s="1"/>
  <c r="J777" i="16"/>
  <c r="U777" i="16" s="1"/>
  <c r="K777" i="16"/>
  <c r="V777" i="16" s="1"/>
  <c r="L777" i="16"/>
  <c r="W777" i="16" s="1"/>
  <c r="B774" i="16"/>
  <c r="B775" i="16"/>
  <c r="B776" i="16"/>
  <c r="H694" i="16"/>
  <c r="L694" i="16" s="1"/>
  <c r="W694" i="16" s="1"/>
  <c r="H530" i="16"/>
  <c r="J447" i="16"/>
  <c r="U447" i="16" s="1"/>
  <c r="K447" i="16"/>
  <c r="V447" i="16" s="1"/>
  <c r="L447" i="16"/>
  <c r="W447" i="16" s="1"/>
  <c r="J448" i="16"/>
  <c r="U448" i="16" s="1"/>
  <c r="K448" i="16"/>
  <c r="V448" i="16" s="1"/>
  <c r="L448" i="16"/>
  <c r="W448" i="16" s="1"/>
  <c r="H515" i="16"/>
  <c r="H516" i="16"/>
  <c r="G381" i="16"/>
  <c r="T381" i="16" s="1"/>
  <c r="G388" i="16"/>
  <c r="F391" i="16"/>
  <c r="J393" i="16"/>
  <c r="U393" i="16" s="1"/>
  <c r="K393" i="16"/>
  <c r="V393" i="16" s="1"/>
  <c r="L393" i="16"/>
  <c r="W393" i="16" s="1"/>
  <c r="U398" i="16"/>
  <c r="V398" i="16"/>
  <c r="W398" i="16"/>
  <c r="U399" i="16"/>
  <c r="V399" i="16"/>
  <c r="W399" i="16"/>
  <c r="U400" i="16"/>
  <c r="V400" i="16"/>
  <c r="W400" i="16"/>
  <c r="U401" i="16"/>
  <c r="V401" i="16"/>
  <c r="W401" i="16"/>
  <c r="U402" i="16"/>
  <c r="V402" i="16"/>
  <c r="W402" i="16"/>
  <c r="U403" i="16"/>
  <c r="V403" i="16"/>
  <c r="W403" i="16"/>
  <c r="B393" i="16"/>
  <c r="B404" i="16"/>
  <c r="T236" i="16"/>
  <c r="V79" i="16" l="1"/>
  <c r="H521" i="16"/>
  <c r="B248" i="16"/>
  <c r="B249" i="16"/>
  <c r="B250" i="16"/>
  <c r="B251" i="16"/>
  <c r="B252" i="16"/>
  <c r="B253" i="16"/>
  <c r="B254" i="16"/>
  <c r="F134" i="16"/>
  <c r="J134" i="16" s="1"/>
  <c r="U134" i="16" s="1"/>
  <c r="G78" i="16"/>
  <c r="K78" i="16" s="1"/>
  <c r="V78" i="16" s="1"/>
  <c r="G77" i="16"/>
  <c r="K77" i="16" s="1"/>
  <c r="V77" i="16" s="1"/>
  <c r="G36" i="16"/>
  <c r="K36" i="16" s="1"/>
  <c r="V36" i="16" s="1"/>
  <c r="L36" i="16"/>
  <c r="W36" i="16" s="1"/>
  <c r="F36" i="16"/>
  <c r="T36" i="16" l="1"/>
  <c r="J36" i="16"/>
  <c r="U36" i="16" s="1"/>
  <c r="I10" i="28"/>
  <c r="J141" i="16"/>
  <c r="U141" i="16" s="1"/>
  <c r="K141" i="16"/>
  <c r="V141" i="16" s="1"/>
  <c r="L141" i="16"/>
  <c r="W141" i="16" s="1"/>
  <c r="B138" i="16"/>
  <c r="B139" i="16"/>
  <c r="B140" i="16"/>
  <c r="I11" i="28" l="1"/>
  <c r="J11" i="28" s="1"/>
  <c r="J281" i="16" l="1"/>
  <c r="U281" i="16" s="1"/>
  <c r="K281" i="16"/>
  <c r="V281" i="16" s="1"/>
  <c r="L281" i="16"/>
  <c r="W281" i="16" s="1"/>
  <c r="J282" i="16"/>
  <c r="U282" i="16" s="1"/>
  <c r="K282" i="16"/>
  <c r="V282" i="16" s="1"/>
  <c r="L282" i="16"/>
  <c r="W282" i="16" s="1"/>
  <c r="J283" i="16"/>
  <c r="U283" i="16" s="1"/>
  <c r="K283" i="16"/>
  <c r="V283" i="16" s="1"/>
  <c r="L283" i="16"/>
  <c r="W283" i="16" s="1"/>
  <c r="J284" i="16"/>
  <c r="U284" i="16" s="1"/>
  <c r="L284" i="16"/>
  <c r="W284" i="16" s="1"/>
  <c r="F136" i="16" l="1"/>
  <c r="J136" i="16" s="1"/>
  <c r="U136" i="16" s="1"/>
  <c r="F135" i="16"/>
  <c r="J135" i="16" s="1"/>
  <c r="U135" i="16" s="1"/>
  <c r="F127" i="16"/>
  <c r="J127" i="16" s="1"/>
  <c r="U127" i="16" s="1"/>
  <c r="J616" i="16" l="1"/>
  <c r="U616" i="16" s="1"/>
  <c r="K616" i="16"/>
  <c r="V616" i="16" s="1"/>
  <c r="L616" i="16"/>
  <c r="W616" i="16" s="1"/>
  <c r="K617" i="16"/>
  <c r="V617" i="16" s="1"/>
  <c r="L617" i="16"/>
  <c r="W617" i="16" s="1"/>
  <c r="J618" i="16"/>
  <c r="U618" i="16" s="1"/>
  <c r="K618" i="16"/>
  <c r="V618" i="16" s="1"/>
  <c r="L618" i="16"/>
  <c r="W618" i="16" s="1"/>
  <c r="K619" i="16"/>
  <c r="V619" i="16" s="1"/>
  <c r="L619" i="16"/>
  <c r="W619" i="16" s="1"/>
  <c r="J620" i="16"/>
  <c r="U620" i="16" s="1"/>
  <c r="K620" i="16"/>
  <c r="V620" i="16" s="1"/>
  <c r="L620" i="16"/>
  <c r="W620" i="16" s="1"/>
  <c r="K621" i="16"/>
  <c r="V621" i="16" s="1"/>
  <c r="L621" i="16"/>
  <c r="W621" i="16" s="1"/>
  <c r="J622" i="16"/>
  <c r="U622" i="16" s="1"/>
  <c r="K622" i="16"/>
  <c r="V622" i="16" s="1"/>
  <c r="L622" i="16"/>
  <c r="W622" i="16" s="1"/>
  <c r="J623" i="16"/>
  <c r="U623" i="16" s="1"/>
  <c r="K623" i="16"/>
  <c r="V623" i="16" s="1"/>
  <c r="L623" i="16"/>
  <c r="W623" i="16" s="1"/>
  <c r="J624" i="16"/>
  <c r="U624" i="16" s="1"/>
  <c r="K624" i="16"/>
  <c r="V624" i="16" s="1"/>
  <c r="L624" i="16"/>
  <c r="W624" i="16" s="1"/>
  <c r="J625" i="16"/>
  <c r="U625" i="16" s="1"/>
  <c r="K625" i="16"/>
  <c r="V625" i="16" s="1"/>
  <c r="L625" i="16"/>
  <c r="W625" i="16" s="1"/>
  <c r="J626" i="16"/>
  <c r="U626" i="16" s="1"/>
  <c r="K626" i="16"/>
  <c r="V626" i="16" s="1"/>
  <c r="L626" i="16"/>
  <c r="W626" i="16" s="1"/>
  <c r="J627" i="16"/>
  <c r="U627" i="16" s="1"/>
  <c r="K627" i="16"/>
  <c r="V627" i="16" s="1"/>
  <c r="L627" i="16"/>
  <c r="W627" i="16" s="1"/>
  <c r="J628" i="16"/>
  <c r="U628" i="16" s="1"/>
  <c r="K628" i="16"/>
  <c r="V628" i="16" s="1"/>
  <c r="L628" i="16"/>
  <c r="W628" i="16" s="1"/>
  <c r="J629" i="16"/>
  <c r="U629" i="16" s="1"/>
  <c r="K629" i="16"/>
  <c r="V629" i="16" s="1"/>
  <c r="L629" i="16"/>
  <c r="W629" i="16" s="1"/>
  <c r="J630" i="16"/>
  <c r="U630" i="16" s="1"/>
  <c r="K630" i="16"/>
  <c r="V630" i="16" s="1"/>
  <c r="L630" i="16"/>
  <c r="W630" i="16" s="1"/>
  <c r="K636" i="16"/>
  <c r="V636" i="16" s="1"/>
  <c r="B628" i="16"/>
  <c r="B629" i="16"/>
  <c r="B630" i="16"/>
  <c r="B631" i="16"/>
  <c r="B632" i="16"/>
  <c r="B633" i="16"/>
  <c r="B635" i="16"/>
  <c r="B636" i="16"/>
  <c r="J763" i="16" l="1"/>
  <c r="U763" i="16" s="1"/>
  <c r="K763" i="16"/>
  <c r="V763" i="16" s="1"/>
  <c r="L763" i="16"/>
  <c r="W763" i="16" s="1"/>
  <c r="B712" i="16" l="1"/>
  <c r="B247" i="16" l="1"/>
  <c r="G87" i="16"/>
  <c r="K87" i="16" s="1"/>
  <c r="V87" i="16" s="1"/>
  <c r="G69" i="16"/>
  <c r="K69" i="16" s="1"/>
  <c r="V69" i="16" s="1"/>
  <c r="H38" i="16"/>
  <c r="L38" i="16" s="1"/>
  <c r="W38" i="16" s="1"/>
  <c r="G16" i="16"/>
  <c r="H16" i="16"/>
  <c r="B15" i="16" l="1"/>
  <c r="H422" i="16"/>
  <c r="H421" i="16"/>
  <c r="J760" i="16"/>
  <c r="U760" i="16" s="1"/>
  <c r="K760" i="16"/>
  <c r="V760" i="16" s="1"/>
  <c r="L760" i="16"/>
  <c r="W760" i="16" s="1"/>
  <c r="J761" i="16"/>
  <c r="U761" i="16" s="1"/>
  <c r="K761" i="16"/>
  <c r="V761" i="16" s="1"/>
  <c r="L761" i="16"/>
  <c r="W761" i="16" s="1"/>
  <c r="B761" i="16"/>
  <c r="H409" i="16"/>
  <c r="H410" i="16" s="1"/>
  <c r="G390" i="16"/>
  <c r="F390" i="16"/>
  <c r="F384" i="16"/>
  <c r="G513" i="16"/>
  <c r="T390" i="16" l="1"/>
  <c r="J3" i="27"/>
  <c r="J4" i="27"/>
  <c r="J5" i="27"/>
  <c r="J380" i="27"/>
  <c r="J2" i="27"/>
  <c r="J6" i="27"/>
  <c r="J9" i="27"/>
  <c r="J10" i="27"/>
  <c r="J11" i="27"/>
  <c r="J12" i="27"/>
  <c r="J20" i="27"/>
  <c r="J14" i="27"/>
  <c r="J15" i="27"/>
  <c r="J16" i="27"/>
  <c r="J52" i="27"/>
  <c r="J55" i="27"/>
  <c r="J19" i="27"/>
  <c r="J18" i="27"/>
  <c r="J61" i="27"/>
  <c r="J26" i="27"/>
  <c r="J22" i="27"/>
  <c r="J24" i="27"/>
  <c r="J49" i="27"/>
  <c r="J13" i="27"/>
  <c r="J58" i="27"/>
  <c r="J99" i="27"/>
  <c r="J277" i="27"/>
  <c r="J170" i="27"/>
  <c r="J25" i="27"/>
  <c r="J231" i="27"/>
  <c r="J33" i="27"/>
  <c r="J34" i="27"/>
  <c r="J35" i="27"/>
  <c r="J36" i="27"/>
  <c r="J37" i="27"/>
  <c r="J38" i="27"/>
  <c r="J39" i="27"/>
  <c r="J40" i="27"/>
  <c r="J317" i="27"/>
  <c r="J116" i="27"/>
  <c r="J92" i="27"/>
  <c r="J194" i="27"/>
  <c r="J45" i="27"/>
  <c r="J48" i="27"/>
  <c r="J232" i="27"/>
  <c r="J100" i="27"/>
  <c r="J213" i="27"/>
  <c r="J50" i="27"/>
  <c r="J53" i="27"/>
  <c r="J197" i="27"/>
  <c r="J272" i="27"/>
  <c r="J62" i="27"/>
  <c r="J224" i="27"/>
  <c r="J221" i="27"/>
  <c r="J363" i="27"/>
  <c r="J51" i="27"/>
  <c r="J230" i="27"/>
  <c r="J60" i="27"/>
  <c r="J286" i="27"/>
  <c r="J56" i="27"/>
  <c r="J63" i="27"/>
  <c r="J64" i="27"/>
  <c r="J65" i="27"/>
  <c r="J66" i="27"/>
  <c r="J67" i="27"/>
  <c r="J68" i="27"/>
  <c r="J69" i="27"/>
  <c r="J70" i="27"/>
  <c r="J71" i="27"/>
  <c r="J336" i="27"/>
  <c r="J42" i="27"/>
  <c r="J74" i="27"/>
  <c r="J75" i="27"/>
  <c r="J76" i="27"/>
  <c r="J77" i="27"/>
  <c r="J78" i="27"/>
  <c r="J79" i="27"/>
  <c r="J284" i="27"/>
  <c r="J81" i="27"/>
  <c r="J82" i="27"/>
  <c r="J83" i="27"/>
  <c r="J196" i="27"/>
  <c r="J85" i="27"/>
  <c r="J86" i="27"/>
  <c r="J87" i="27"/>
  <c r="J298" i="27"/>
  <c r="J202" i="27"/>
  <c r="J23" i="27"/>
  <c r="J43" i="27"/>
  <c r="J328" i="27"/>
  <c r="J359" i="27"/>
  <c r="J94" i="27"/>
  <c r="J95" i="27"/>
  <c r="J96" i="27"/>
  <c r="J97" i="27"/>
  <c r="J98" i="27"/>
  <c r="J190" i="27"/>
  <c r="J115" i="27"/>
  <c r="J206" i="27"/>
  <c r="J276" i="27"/>
  <c r="J316" i="27"/>
  <c r="J104" i="27"/>
  <c r="J105" i="27"/>
  <c r="J106" i="27"/>
  <c r="J107" i="27"/>
  <c r="J195" i="27"/>
  <c r="J109" i="27"/>
  <c r="J110" i="27"/>
  <c r="J111" i="27"/>
  <c r="J57" i="27"/>
  <c r="J200" i="27"/>
  <c r="J17" i="27"/>
  <c r="J108" i="27"/>
  <c r="J103" i="27"/>
  <c r="J117" i="27"/>
  <c r="J118" i="27"/>
  <c r="J233" i="27"/>
  <c r="J113" i="27"/>
  <c r="J121" i="27"/>
  <c r="J122" i="27"/>
  <c r="J123" i="27"/>
  <c r="J124" i="27"/>
  <c r="J125" i="27"/>
  <c r="J126" i="27"/>
  <c r="J127" i="27"/>
  <c r="J128" i="27"/>
  <c r="J129" i="27"/>
  <c r="J130" i="27"/>
  <c r="J131" i="27"/>
  <c r="J132" i="27"/>
  <c r="J133" i="27"/>
  <c r="J134" i="27"/>
  <c r="J135" i="27"/>
  <c r="J136" i="27"/>
  <c r="J137" i="27"/>
  <c r="J138" i="27"/>
  <c r="J139" i="27"/>
  <c r="J140" i="27"/>
  <c r="J141" i="27"/>
  <c r="J142" i="27"/>
  <c r="J143" i="27"/>
  <c r="J144" i="27"/>
  <c r="J145" i="27"/>
  <c r="J146" i="27"/>
  <c r="J147" i="27"/>
  <c r="J148" i="27"/>
  <c r="J149" i="27"/>
  <c r="J150" i="27"/>
  <c r="J151" i="27"/>
  <c r="J152" i="27"/>
  <c r="J153" i="27"/>
  <c r="J154" i="27"/>
  <c r="J155" i="27"/>
  <c r="J156" i="27"/>
  <c r="J157" i="27"/>
  <c r="J158" i="27"/>
  <c r="J159" i="27"/>
  <c r="J160" i="27"/>
  <c r="J114" i="27"/>
  <c r="J162" i="27"/>
  <c r="J163" i="27"/>
  <c r="J164" i="27"/>
  <c r="J370" i="27"/>
  <c r="J166" i="27"/>
  <c r="J167" i="27"/>
  <c r="J168" i="27"/>
  <c r="J169" i="27"/>
  <c r="J275" i="27"/>
  <c r="J171" i="27"/>
  <c r="J172" i="27"/>
  <c r="J173" i="27"/>
  <c r="J174" i="27"/>
  <c r="J175" i="27"/>
  <c r="J176" i="27"/>
  <c r="J177" i="27"/>
  <c r="J178" i="27"/>
  <c r="J179" i="27"/>
  <c r="J180" i="27"/>
  <c r="J181" i="27"/>
  <c r="J182" i="27"/>
  <c r="J183" i="27"/>
  <c r="J184" i="27"/>
  <c r="J185" i="27"/>
  <c r="J186" i="27"/>
  <c r="J187" i="27"/>
  <c r="J371" i="27"/>
  <c r="J30" i="27"/>
  <c r="J225" i="27"/>
  <c r="J214" i="27"/>
  <c r="J192" i="27"/>
  <c r="J193" i="27"/>
  <c r="J93" i="27"/>
  <c r="J161" i="27"/>
  <c r="J360" i="27"/>
  <c r="J191" i="27"/>
  <c r="J54" i="27"/>
  <c r="J299" i="27"/>
  <c r="J303" i="27"/>
  <c r="J373" i="27"/>
  <c r="J283" i="27"/>
  <c r="J73" i="27"/>
  <c r="J369" i="27"/>
  <c r="J205" i="27"/>
  <c r="J282" i="27"/>
  <c r="J207" i="27"/>
  <c r="J208" i="27"/>
  <c r="J212" i="27"/>
  <c r="J102" i="27"/>
  <c r="J8" i="27"/>
  <c r="J90" i="27"/>
  <c r="J28" i="27"/>
  <c r="J211" i="27"/>
  <c r="J189" i="27"/>
  <c r="J216" i="27"/>
  <c r="J112" i="27"/>
  <c r="J318" i="27"/>
  <c r="J228" i="27"/>
  <c r="J302" i="27"/>
  <c r="J327" i="27"/>
  <c r="J222" i="27"/>
  <c r="J223" i="27"/>
  <c r="J203" i="27"/>
  <c r="J372" i="27"/>
  <c r="J21" i="27"/>
  <c r="J44" i="27"/>
  <c r="J239" i="27"/>
  <c r="J292" i="27"/>
  <c r="J227" i="27"/>
  <c r="J47" i="27"/>
  <c r="J220" i="27"/>
  <c r="J91" i="27"/>
  <c r="J234" i="27"/>
  <c r="J346" i="27"/>
  <c r="J285" i="27"/>
  <c r="J237" i="27"/>
  <c r="J238" i="27"/>
  <c r="J290" i="27"/>
  <c r="J219" i="27"/>
  <c r="J293" i="27"/>
  <c r="J242" i="27"/>
  <c r="J243" i="27"/>
  <c r="J244" i="27"/>
  <c r="J245" i="27"/>
  <c r="J246" i="27"/>
  <c r="J247" i="27"/>
  <c r="J248" i="27"/>
  <c r="J249" i="27"/>
  <c r="J250" i="27"/>
  <c r="J251" i="27"/>
  <c r="J252" i="27"/>
  <c r="J253" i="27"/>
  <c r="J254" i="27"/>
  <c r="J255" i="27"/>
  <c r="J256" i="27"/>
  <c r="J257" i="27"/>
  <c r="J258" i="27"/>
  <c r="J259" i="27"/>
  <c r="J260" i="27"/>
  <c r="J261" i="27"/>
  <c r="J262" i="27"/>
  <c r="J263" i="27"/>
  <c r="J264" i="27"/>
  <c r="J265" i="27"/>
  <c r="J266" i="27"/>
  <c r="J267" i="27"/>
  <c r="J268" i="27"/>
  <c r="J269" i="27"/>
  <c r="J270" i="27"/>
  <c r="J271" i="27"/>
  <c r="J340" i="27"/>
  <c r="J236" i="27"/>
  <c r="J241" i="27"/>
  <c r="J291" i="27"/>
  <c r="J273" i="27"/>
  <c r="J59" i="27"/>
  <c r="J278" i="27"/>
  <c r="J279" i="27"/>
  <c r="J280" i="27"/>
  <c r="J281" i="27"/>
  <c r="J119" i="27"/>
  <c r="J322" i="27"/>
  <c r="J209" i="27"/>
  <c r="J375" i="27"/>
  <c r="J80" i="27"/>
  <c r="J240" i="27"/>
  <c r="J229" i="27"/>
  <c r="J289" i="27"/>
  <c r="J287" i="27"/>
  <c r="J198" i="27"/>
  <c r="J374" i="27"/>
  <c r="J165" i="27"/>
  <c r="J294" i="27"/>
  <c r="J295" i="27"/>
  <c r="J296" i="27"/>
  <c r="J297" i="27"/>
  <c r="J188" i="27"/>
  <c r="J226" i="27"/>
  <c r="J300" i="27"/>
  <c r="J301" i="27"/>
  <c r="J339" i="27"/>
  <c r="J72" i="27"/>
  <c r="J304" i="27"/>
  <c r="J305" i="27"/>
  <c r="J29" i="27"/>
  <c r="J235" i="27"/>
  <c r="J308" i="27"/>
  <c r="J309" i="27"/>
  <c r="J310" i="27"/>
  <c r="J344" i="27"/>
  <c r="J312" i="27"/>
  <c r="J313" i="27"/>
  <c r="J314" i="27"/>
  <c r="J315" i="27"/>
  <c r="J210" i="27"/>
  <c r="J307" i="27"/>
  <c r="J218" i="27"/>
  <c r="J319" i="27"/>
  <c r="J320" i="27"/>
  <c r="J321" i="27"/>
  <c r="J199" i="27"/>
  <c r="J323" i="27"/>
  <c r="J324" i="27"/>
  <c r="J325" i="27"/>
  <c r="J326" i="27"/>
  <c r="J88" i="27"/>
  <c r="J215" i="27"/>
  <c r="J329" i="27"/>
  <c r="J330" i="27"/>
  <c r="J331" i="27"/>
  <c r="J332" i="27"/>
  <c r="J333" i="27"/>
  <c r="J334" i="27"/>
  <c r="J335" i="27"/>
  <c r="J41" i="27"/>
  <c r="J337" i="27"/>
  <c r="J338" i="27"/>
  <c r="J311" i="27"/>
  <c r="J201" i="27"/>
  <c r="J84" i="27"/>
  <c r="J274" i="27"/>
  <c r="J343" i="27"/>
  <c r="J27" i="27"/>
  <c r="J345" i="27"/>
  <c r="J89" i="27"/>
  <c r="J347" i="27"/>
  <c r="J348" i="27"/>
  <c r="J349" i="27"/>
  <c r="J350" i="27"/>
  <c r="J351" i="27"/>
  <c r="J352" i="27"/>
  <c r="J353" i="27"/>
  <c r="J354" i="27"/>
  <c r="J355" i="27"/>
  <c r="J356" i="27"/>
  <c r="J357" i="27"/>
  <c r="J358" i="27"/>
  <c r="J288" i="27"/>
  <c r="J46" i="27"/>
  <c r="J361" i="27"/>
  <c r="J362" i="27"/>
  <c r="J31" i="27"/>
  <c r="J364" i="27"/>
  <c r="J365" i="27"/>
  <c r="J366" i="27"/>
  <c r="J367" i="27"/>
  <c r="J368" i="27"/>
  <c r="J342" i="27"/>
  <c r="J217" i="27"/>
  <c r="J32" i="27"/>
  <c r="J101" i="27"/>
  <c r="J204" i="27"/>
  <c r="J306" i="27"/>
  <c r="J341" i="27"/>
  <c r="J376" i="27"/>
  <c r="J377" i="27"/>
  <c r="J378" i="27"/>
  <c r="J379" i="27"/>
  <c r="J120" i="27"/>
  <c r="J381" i="27"/>
  <c r="J382" i="27"/>
  <c r="J383" i="27"/>
  <c r="J384" i="27"/>
  <c r="J385" i="27"/>
  <c r="J386" i="27"/>
  <c r="J387" i="27"/>
  <c r="J388" i="27"/>
  <c r="J389" i="27"/>
  <c r="J390" i="27"/>
  <c r="J391" i="27"/>
  <c r="J392" i="27"/>
  <c r="J393" i="27"/>
  <c r="J394" i="27"/>
  <c r="J395" i="27"/>
  <c r="J396" i="27"/>
  <c r="J397" i="27"/>
  <c r="J398" i="27"/>
  <c r="J399" i="27"/>
  <c r="J400" i="27"/>
  <c r="J401" i="27"/>
  <c r="J402" i="27"/>
  <c r="J403" i="27"/>
  <c r="J404" i="27"/>
  <c r="J405" i="27"/>
  <c r="J406" i="27"/>
  <c r="J407" i="27"/>
  <c r="J408" i="27"/>
  <c r="J409" i="27"/>
  <c r="J410" i="27"/>
  <c r="J411" i="27"/>
  <c r="J412" i="27"/>
  <c r="J413" i="27"/>
  <c r="J414" i="27"/>
  <c r="J415" i="27"/>
  <c r="J416" i="27"/>
  <c r="J417" i="27"/>
  <c r="J418" i="27"/>
  <c r="J419" i="27"/>
  <c r="J420" i="27"/>
  <c r="J421" i="27"/>
  <c r="J422" i="27"/>
  <c r="J423" i="27"/>
  <c r="J424" i="27"/>
  <c r="J425" i="27"/>
  <c r="J426" i="27"/>
  <c r="J427" i="27"/>
  <c r="J428" i="27"/>
  <c r="J429" i="27"/>
  <c r="J430" i="27"/>
  <c r="J431" i="27"/>
  <c r="J432" i="27"/>
  <c r="J433" i="27"/>
  <c r="J434" i="27"/>
  <c r="J435" i="27"/>
  <c r="J436" i="27"/>
  <c r="J437" i="27"/>
  <c r="J438" i="27"/>
  <c r="J439" i="27"/>
  <c r="J440" i="27"/>
  <c r="J441" i="27"/>
  <c r="J442" i="27"/>
  <c r="J443" i="27"/>
  <c r="J444" i="27"/>
  <c r="J445" i="27"/>
  <c r="J446" i="27"/>
  <c r="J447" i="27"/>
  <c r="J448" i="27"/>
  <c r="J449" i="27"/>
  <c r="J450" i="27"/>
  <c r="J451" i="27"/>
  <c r="J452" i="27"/>
  <c r="J453" i="27"/>
  <c r="J454" i="27"/>
  <c r="J455" i="27"/>
  <c r="J456" i="27"/>
  <c r="J457" i="27"/>
  <c r="J458" i="27"/>
  <c r="J459" i="27"/>
  <c r="J460" i="27"/>
  <c r="J461" i="27"/>
  <c r="J462" i="27"/>
  <c r="J463" i="27"/>
  <c r="J464" i="27"/>
  <c r="J465" i="27"/>
  <c r="J466" i="27"/>
  <c r="J467" i="27"/>
  <c r="J468" i="27"/>
  <c r="J469" i="27"/>
  <c r="J470" i="27"/>
  <c r="J471" i="27"/>
  <c r="J472" i="27"/>
  <c r="J473" i="27"/>
  <c r="J474" i="27"/>
  <c r="J475" i="27"/>
  <c r="J476" i="27"/>
  <c r="J477" i="27"/>
  <c r="J478" i="27"/>
  <c r="J479" i="27"/>
  <c r="J480" i="27"/>
  <c r="J481" i="27"/>
  <c r="J482" i="27"/>
  <c r="J483" i="27"/>
  <c r="J484" i="27"/>
  <c r="J485" i="27"/>
  <c r="J486" i="27"/>
  <c r="J487" i="27"/>
  <c r="J488" i="27"/>
  <c r="J489" i="27"/>
  <c r="J490" i="27"/>
  <c r="J491" i="27"/>
  <c r="J492" i="27"/>
  <c r="J493" i="27"/>
  <c r="J494" i="27"/>
  <c r="J495" i="27"/>
  <c r="J496" i="27"/>
  <c r="J497" i="27"/>
  <c r="J498" i="27"/>
  <c r="J499" i="27"/>
  <c r="J500" i="27"/>
  <c r="J501" i="27"/>
  <c r="J502" i="27"/>
  <c r="J503" i="27"/>
  <c r="J504" i="27"/>
  <c r="J505" i="27"/>
  <c r="J506" i="27"/>
  <c r="J507" i="27"/>
  <c r="J508" i="27"/>
  <c r="J509" i="27"/>
  <c r="J510" i="27"/>
  <c r="J511" i="27"/>
  <c r="J512" i="27"/>
  <c r="J513" i="27"/>
  <c r="J514" i="27"/>
  <c r="J515" i="27"/>
  <c r="J516" i="27"/>
  <c r="J517" i="27"/>
  <c r="J518" i="27"/>
  <c r="J519" i="27"/>
  <c r="J520" i="27"/>
  <c r="J521" i="27"/>
  <c r="J522" i="27"/>
  <c r="J523" i="27"/>
  <c r="J524" i="27"/>
  <c r="J525" i="27"/>
  <c r="J526" i="27"/>
  <c r="J527" i="27"/>
  <c r="J528" i="27"/>
  <c r="J529" i="27"/>
  <c r="J530" i="27"/>
  <c r="J531" i="27"/>
  <c r="J532" i="27"/>
  <c r="J533" i="27"/>
  <c r="J534" i="27"/>
  <c r="J535" i="27"/>
  <c r="J536" i="27"/>
  <c r="J537" i="27"/>
  <c r="J538" i="27"/>
  <c r="J539" i="27"/>
  <c r="J540" i="27"/>
  <c r="J541" i="27"/>
  <c r="J542" i="27"/>
  <c r="J543" i="27"/>
  <c r="J544" i="27"/>
  <c r="J545" i="27"/>
  <c r="J546" i="27"/>
  <c r="J547" i="27"/>
  <c r="J548" i="27"/>
  <c r="J549" i="27"/>
  <c r="J550" i="27"/>
  <c r="J551" i="27"/>
  <c r="J552" i="27"/>
  <c r="J553" i="27"/>
  <c r="J554" i="27"/>
  <c r="J555" i="27"/>
  <c r="J556" i="27"/>
  <c r="J557" i="27"/>
  <c r="J558" i="27"/>
  <c r="J559" i="27"/>
  <c r="J560" i="27"/>
  <c r="J561" i="27"/>
  <c r="J562" i="27"/>
  <c r="J563" i="27"/>
  <c r="J564" i="27"/>
  <c r="J565" i="27"/>
  <c r="J566" i="27"/>
  <c r="J567" i="27"/>
  <c r="J568" i="27"/>
  <c r="J569" i="27"/>
  <c r="J570" i="27"/>
  <c r="J571" i="27"/>
  <c r="J572" i="27"/>
  <c r="J573" i="27"/>
  <c r="J574" i="27"/>
  <c r="J575" i="27"/>
  <c r="J576" i="27"/>
  <c r="J577" i="27"/>
  <c r="J578" i="27"/>
  <c r="J579" i="27"/>
  <c r="J580" i="27"/>
  <c r="J7" i="27"/>
  <c r="I380" i="27"/>
  <c r="I2" i="27"/>
  <c r="I6" i="27"/>
  <c r="I9" i="27"/>
  <c r="I10" i="27"/>
  <c r="I11" i="27"/>
  <c r="I12" i="27"/>
  <c r="I20" i="27"/>
  <c r="I14" i="27"/>
  <c r="I15" i="27"/>
  <c r="I16" i="27"/>
  <c r="I19" i="27"/>
  <c r="I18" i="27"/>
  <c r="I61" i="27"/>
  <c r="I22" i="27"/>
  <c r="I24" i="27"/>
  <c r="I33" i="27"/>
  <c r="I34" i="27"/>
  <c r="I35" i="27"/>
  <c r="I36" i="27"/>
  <c r="I37" i="27"/>
  <c r="I38" i="27"/>
  <c r="I317" i="27"/>
  <c r="I48" i="27"/>
  <c r="I50" i="27"/>
  <c r="I62" i="27"/>
  <c r="I230" i="27"/>
  <c r="I60" i="27"/>
  <c r="I63" i="27"/>
  <c r="I64" i="27"/>
  <c r="I65" i="27"/>
  <c r="I66" i="27"/>
  <c r="I67" i="27"/>
  <c r="I68" i="27"/>
  <c r="I69" i="27"/>
  <c r="I70" i="27"/>
  <c r="I71" i="27"/>
  <c r="I336" i="27"/>
  <c r="I42" i="27"/>
  <c r="I74" i="27"/>
  <c r="I75" i="27"/>
  <c r="I76" i="27"/>
  <c r="I77" i="27"/>
  <c r="I78" i="27"/>
  <c r="I79" i="27"/>
  <c r="I81" i="27"/>
  <c r="I82" i="27"/>
  <c r="I83" i="27"/>
  <c r="I196" i="27"/>
  <c r="I86" i="27"/>
  <c r="I87" i="27"/>
  <c r="I94" i="27"/>
  <c r="I95" i="27"/>
  <c r="I96" i="27"/>
  <c r="I97" i="27"/>
  <c r="I98" i="27"/>
  <c r="I104" i="27"/>
  <c r="I105" i="27"/>
  <c r="I106" i="27"/>
  <c r="I107" i="27"/>
  <c r="I109" i="27"/>
  <c r="I110" i="27"/>
  <c r="I111" i="27"/>
  <c r="I17" i="27"/>
  <c r="I108" i="27"/>
  <c r="I118" i="27"/>
  <c r="I121" i="27"/>
  <c r="I122" i="27"/>
  <c r="I123" i="27"/>
  <c r="I124" i="27"/>
  <c r="I125" i="27"/>
  <c r="I126" i="27"/>
  <c r="I127" i="27"/>
  <c r="I128" i="27"/>
  <c r="I129" i="27"/>
  <c r="I130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7" i="27"/>
  <c r="I158" i="27"/>
  <c r="I160" i="27"/>
  <c r="I162" i="27"/>
  <c r="I163" i="27"/>
  <c r="I164" i="27"/>
  <c r="I166" i="27"/>
  <c r="I167" i="27"/>
  <c r="I168" i="27"/>
  <c r="I169" i="27"/>
  <c r="I275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6" i="27"/>
  <c r="I93" i="27"/>
  <c r="I360" i="27"/>
  <c r="I191" i="27"/>
  <c r="I54" i="27"/>
  <c r="I283" i="27"/>
  <c r="I205" i="27"/>
  <c r="I208" i="27"/>
  <c r="I102" i="27"/>
  <c r="I211" i="27"/>
  <c r="I112" i="27"/>
  <c r="I327" i="27"/>
  <c r="I222" i="27"/>
  <c r="I21" i="27"/>
  <c r="I227" i="27"/>
  <c r="I234" i="27"/>
  <c r="I285" i="27"/>
  <c r="I238" i="27"/>
  <c r="I290" i="27"/>
  <c r="I219" i="27"/>
  <c r="I293" i="27"/>
  <c r="I242" i="27"/>
  <c r="I243" i="27"/>
  <c r="I244" i="27"/>
  <c r="I245" i="27"/>
  <c r="I246" i="27"/>
  <c r="I247" i="27"/>
  <c r="I248" i="27"/>
  <c r="I249" i="27"/>
  <c r="I250" i="27"/>
  <c r="I251" i="27"/>
  <c r="I252" i="27"/>
  <c r="I253" i="27"/>
  <c r="I254" i="27"/>
  <c r="I255" i="27"/>
  <c r="I256" i="27"/>
  <c r="I257" i="27"/>
  <c r="I258" i="27"/>
  <c r="I259" i="27"/>
  <c r="I260" i="27"/>
  <c r="I261" i="27"/>
  <c r="I262" i="27"/>
  <c r="I263" i="27"/>
  <c r="I264" i="27"/>
  <c r="I265" i="27"/>
  <c r="I266" i="27"/>
  <c r="I267" i="27"/>
  <c r="I268" i="27"/>
  <c r="I269" i="27"/>
  <c r="I236" i="27"/>
  <c r="I241" i="27"/>
  <c r="I59" i="27"/>
  <c r="I278" i="27"/>
  <c r="I119" i="27"/>
  <c r="I322" i="27"/>
  <c r="I375" i="27"/>
  <c r="I289" i="27"/>
  <c r="I198" i="27"/>
  <c r="I374" i="27"/>
  <c r="I294" i="27"/>
  <c r="I295" i="27"/>
  <c r="I296" i="27"/>
  <c r="I297" i="27"/>
  <c r="I339" i="27"/>
  <c r="I72" i="27"/>
  <c r="I304" i="27"/>
  <c r="I305" i="27"/>
  <c r="I29" i="27"/>
  <c r="I308" i="27"/>
  <c r="I309" i="27"/>
  <c r="I310" i="27"/>
  <c r="I313" i="27"/>
  <c r="I314" i="27"/>
  <c r="I315" i="27"/>
  <c r="I210" i="27"/>
  <c r="I307" i="27"/>
  <c r="I218" i="27"/>
  <c r="I319" i="27"/>
  <c r="I320" i="27"/>
  <c r="I321" i="27"/>
  <c r="I199" i="27"/>
  <c r="I323" i="27"/>
  <c r="I324" i="27"/>
  <c r="I326" i="27"/>
  <c r="I88" i="27"/>
  <c r="I215" i="27"/>
  <c r="I329" i="27"/>
  <c r="I330" i="27"/>
  <c r="I332" i="27"/>
  <c r="I333" i="27"/>
  <c r="I334" i="27"/>
  <c r="I335" i="27"/>
  <c r="I41" i="27"/>
  <c r="I337" i="27"/>
  <c r="I311" i="27"/>
  <c r="I201" i="27"/>
  <c r="I84" i="27"/>
  <c r="I274" i="27"/>
  <c r="I345" i="27"/>
  <c r="I89" i="27"/>
  <c r="I347" i="27"/>
  <c r="I348" i="27"/>
  <c r="I349" i="27"/>
  <c r="I350" i="27"/>
  <c r="I351" i="27"/>
  <c r="I352" i="27"/>
  <c r="I353" i="27"/>
  <c r="I354" i="27"/>
  <c r="I355" i="27"/>
  <c r="I356" i="27"/>
  <c r="I357" i="27"/>
  <c r="I358" i="27"/>
  <c r="I361" i="27"/>
  <c r="I362" i="27"/>
  <c r="I364" i="27"/>
  <c r="I365" i="27"/>
  <c r="I366" i="27"/>
  <c r="I367" i="27"/>
  <c r="I368" i="27"/>
  <c r="I342" i="27"/>
  <c r="I217" i="27"/>
  <c r="I32" i="27"/>
  <c r="I376" i="27"/>
  <c r="I377" i="27"/>
  <c r="I378" i="27"/>
  <c r="I383" i="27"/>
  <c r="I384" i="27"/>
  <c r="I385" i="27"/>
  <c r="I387" i="27"/>
  <c r="I388" i="27"/>
  <c r="I389" i="27"/>
  <c r="I391" i="27"/>
  <c r="I392" i="27"/>
  <c r="I394" i="27"/>
  <c r="I395" i="27"/>
  <c r="I396" i="27"/>
  <c r="I397" i="27"/>
  <c r="I398" i="27"/>
  <c r="I399" i="27"/>
  <c r="I400" i="27"/>
  <c r="I401" i="27"/>
  <c r="I402" i="27"/>
  <c r="I403" i="27"/>
  <c r="I404" i="27"/>
  <c r="I405" i="27"/>
  <c r="I406" i="27"/>
  <c r="I407" i="27"/>
  <c r="I408" i="27"/>
  <c r="I409" i="27"/>
  <c r="I410" i="27"/>
  <c r="I411" i="27"/>
  <c r="I412" i="27"/>
  <c r="I413" i="27"/>
  <c r="I414" i="27"/>
  <c r="I415" i="27"/>
  <c r="I416" i="27"/>
  <c r="I417" i="27"/>
  <c r="I418" i="27"/>
  <c r="I422" i="27"/>
  <c r="I423" i="27"/>
  <c r="I424" i="27"/>
  <c r="I425" i="27"/>
  <c r="I426" i="27"/>
  <c r="I427" i="27"/>
  <c r="I428" i="27"/>
  <c r="I429" i="27"/>
  <c r="I430" i="27"/>
  <c r="I431" i="27"/>
  <c r="I434" i="27"/>
  <c r="I437" i="27"/>
  <c r="I438" i="27"/>
  <c r="I440" i="27"/>
  <c r="I442" i="27"/>
  <c r="I445" i="27"/>
  <c r="I446" i="27"/>
  <c r="I449" i="27"/>
  <c r="I450" i="27"/>
  <c r="I452" i="27"/>
  <c r="I453" i="27"/>
  <c r="I454" i="27"/>
  <c r="I456" i="27"/>
  <c r="I457" i="27"/>
  <c r="I459" i="27"/>
  <c r="I460" i="27"/>
  <c r="I461" i="27"/>
  <c r="I462" i="27"/>
  <c r="I465" i="27"/>
  <c r="I466" i="27"/>
  <c r="I467" i="27"/>
  <c r="I471" i="27"/>
  <c r="I473" i="27"/>
  <c r="I475" i="27"/>
  <c r="I478" i="27"/>
  <c r="I481" i="27"/>
  <c r="I482" i="27"/>
  <c r="I485" i="27"/>
  <c r="I486" i="27"/>
  <c r="I487" i="27"/>
  <c r="I489" i="27"/>
  <c r="I490" i="27"/>
  <c r="I493" i="27"/>
  <c r="I495" i="27"/>
  <c r="I496" i="27"/>
  <c r="I497" i="27"/>
  <c r="I502" i="27"/>
  <c r="I505" i="27"/>
  <c r="I506" i="27"/>
  <c r="I508" i="27"/>
  <c r="I509" i="27"/>
  <c r="I510" i="27"/>
  <c r="I511" i="27"/>
  <c r="I512" i="27"/>
  <c r="I513" i="27"/>
  <c r="I514" i="27"/>
  <c r="I515" i="27"/>
  <c r="I516" i="27"/>
  <c r="I517" i="27"/>
  <c r="I518" i="27"/>
  <c r="I519" i="27"/>
  <c r="I521" i="27"/>
  <c r="I523" i="27"/>
  <c r="I525" i="27"/>
  <c r="I526" i="27"/>
  <c r="I529" i="27"/>
  <c r="I530" i="27"/>
  <c r="I532" i="27"/>
  <c r="I533" i="27"/>
  <c r="I534" i="27"/>
  <c r="I538" i="27"/>
  <c r="I541" i="27"/>
  <c r="I544" i="27"/>
  <c r="I546" i="27"/>
  <c r="I549" i="27"/>
  <c r="I550" i="27"/>
  <c r="I551" i="27"/>
  <c r="I552" i="27"/>
  <c r="I553" i="27"/>
  <c r="I554" i="27"/>
  <c r="I556" i="27"/>
  <c r="I557" i="27"/>
  <c r="I558" i="27"/>
  <c r="I559" i="27"/>
  <c r="I561" i="27"/>
  <c r="I562" i="27"/>
  <c r="I563" i="27"/>
  <c r="I564" i="27"/>
  <c r="I565" i="27"/>
  <c r="I566" i="27"/>
  <c r="I567" i="27"/>
  <c r="I569" i="27"/>
  <c r="I570" i="27"/>
  <c r="I572" i="27"/>
  <c r="I573" i="27"/>
  <c r="I574" i="27"/>
  <c r="I575" i="27"/>
  <c r="I576" i="27"/>
  <c r="I577" i="27"/>
  <c r="I578" i="27"/>
  <c r="I579" i="27"/>
  <c r="I580" i="27"/>
  <c r="I3" i="27"/>
  <c r="I4" i="27"/>
  <c r="I5" i="27"/>
  <c r="B580" i="27"/>
  <c r="B579" i="27"/>
  <c r="B578" i="27"/>
  <c r="B577" i="27"/>
  <c r="B576" i="27"/>
  <c r="B575" i="27"/>
  <c r="B574" i="27"/>
  <c r="F447" i="27"/>
  <c r="I447" i="27" s="1"/>
  <c r="B447" i="27"/>
  <c r="B572" i="27"/>
  <c r="F571" i="27"/>
  <c r="I571" i="27" s="1"/>
  <c r="B571" i="27"/>
  <c r="F434" i="27"/>
  <c r="B434" i="27"/>
  <c r="F569" i="27"/>
  <c r="B569" i="27"/>
  <c r="F568" i="27"/>
  <c r="I568" i="27" s="1"/>
  <c r="B568" i="27"/>
  <c r="B567" i="27"/>
  <c r="B566" i="27"/>
  <c r="B565" i="27"/>
  <c r="B564" i="27"/>
  <c r="B563" i="27"/>
  <c r="B516" i="27"/>
  <c r="B561" i="27"/>
  <c r="B307" i="27"/>
  <c r="B559" i="27"/>
  <c r="B558" i="27"/>
  <c r="B557" i="27"/>
  <c r="B556" i="27"/>
  <c r="F226" i="27"/>
  <c r="I226" i="27" s="1"/>
  <c r="B226" i="27"/>
  <c r="B554" i="27"/>
  <c r="B553" i="27"/>
  <c r="B552" i="27"/>
  <c r="B551" i="27"/>
  <c r="B550" i="27"/>
  <c r="B549" i="27"/>
  <c r="G548" i="27"/>
  <c r="I548" i="27" s="1"/>
  <c r="B548" i="27"/>
  <c r="F448" i="27"/>
  <c r="I448" i="27" s="1"/>
  <c r="B448" i="27"/>
  <c r="B546" i="27"/>
  <c r="B452" i="27"/>
  <c r="B544" i="27"/>
  <c r="G543" i="27"/>
  <c r="F543" i="27"/>
  <c r="B543" i="27"/>
  <c r="G560" i="27"/>
  <c r="I560" i="27" s="1"/>
  <c r="B560" i="27"/>
  <c r="B541" i="27"/>
  <c r="F422" i="27"/>
  <c r="B422" i="27"/>
  <c r="F393" i="27"/>
  <c r="I393" i="27" s="1"/>
  <c r="B393" i="27"/>
  <c r="F538" i="27"/>
  <c r="B538" i="27"/>
  <c r="H224" i="27"/>
  <c r="F224" i="27"/>
  <c r="B224" i="27"/>
  <c r="F232" i="27"/>
  <c r="I232" i="27" s="1"/>
  <c r="B232" i="27"/>
  <c r="F535" i="27"/>
  <c r="I535" i="27" s="1"/>
  <c r="B535" i="27"/>
  <c r="F458" i="27"/>
  <c r="I458" i="27" s="1"/>
  <c r="B458" i="27"/>
  <c r="F436" i="27"/>
  <c r="I436" i="27" s="1"/>
  <c r="B436" i="27"/>
  <c r="B532" i="27"/>
  <c r="F531" i="27"/>
  <c r="I531" i="27" s="1"/>
  <c r="B531" i="27"/>
  <c r="B530" i="27"/>
  <c r="B529" i="27"/>
  <c r="B198" i="27"/>
  <c r="F527" i="27"/>
  <c r="I527" i="27" s="1"/>
  <c r="B527" i="27"/>
  <c r="B526" i="27"/>
  <c r="G229" i="27"/>
  <c r="F229" i="27"/>
  <c r="B229" i="27"/>
  <c r="F524" i="27"/>
  <c r="I524" i="27" s="1"/>
  <c r="B524" i="27"/>
  <c r="B523" i="27"/>
  <c r="B285" i="27"/>
  <c r="G306" i="27"/>
  <c r="I306" i="27" s="1"/>
  <c r="B306" i="27"/>
  <c r="G520" i="27"/>
  <c r="I520" i="27" s="1"/>
  <c r="B520" i="27"/>
  <c r="B519" i="27"/>
  <c r="B275" i="27"/>
  <c r="B517" i="27"/>
  <c r="F344" i="27"/>
  <c r="I344" i="27" s="1"/>
  <c r="B344" i="27"/>
  <c r="B515" i="27"/>
  <c r="B514" i="27"/>
  <c r="B513" i="27"/>
  <c r="B512" i="27"/>
  <c r="B511" i="27"/>
  <c r="B510" i="27"/>
  <c r="B509" i="27"/>
  <c r="B508" i="27"/>
  <c r="B360" i="27"/>
  <c r="F506" i="27"/>
  <c r="B506" i="27"/>
  <c r="B505" i="27"/>
  <c r="H504" i="27"/>
  <c r="G504" i="27"/>
  <c r="F504" i="27"/>
  <c r="B504" i="27"/>
  <c r="H503" i="27"/>
  <c r="G503" i="27"/>
  <c r="F503" i="27"/>
  <c r="B503" i="27"/>
  <c r="B502" i="27"/>
  <c r="H501" i="27"/>
  <c r="G501" i="27"/>
  <c r="F501" i="27"/>
  <c r="I501" i="27" s="1"/>
  <c r="B501" i="27"/>
  <c r="H500" i="27"/>
  <c r="G500" i="27"/>
  <c r="F500" i="27"/>
  <c r="I500" i="27" s="1"/>
  <c r="B500" i="27"/>
  <c r="G499" i="27"/>
  <c r="I499" i="27" s="1"/>
  <c r="B499" i="27"/>
  <c r="G498" i="27"/>
  <c r="I498" i="27" s="1"/>
  <c r="B498" i="27"/>
  <c r="B497" i="27"/>
  <c r="B496" i="27"/>
  <c r="B495" i="27"/>
  <c r="G284" i="27"/>
  <c r="I284" i="27" s="1"/>
  <c r="B284" i="27"/>
  <c r="G342" i="27"/>
  <c r="B342" i="27"/>
  <c r="G492" i="27"/>
  <c r="I492" i="27" s="1"/>
  <c r="B492" i="27"/>
  <c r="G491" i="27"/>
  <c r="I491" i="27" s="1"/>
  <c r="B491" i="27"/>
  <c r="G433" i="27"/>
  <c r="I433" i="27" s="1"/>
  <c r="B433" i="27"/>
  <c r="B489" i="27"/>
  <c r="F488" i="27"/>
  <c r="I488" i="27" s="1"/>
  <c r="B488" i="27"/>
  <c r="G547" i="27"/>
  <c r="F547" i="27"/>
  <c r="I547" i="27" s="1"/>
  <c r="B547" i="27"/>
  <c r="G286" i="27"/>
  <c r="I286" i="27" s="1"/>
  <c r="B286" i="27"/>
  <c r="G221" i="27"/>
  <c r="I221" i="27" s="1"/>
  <c r="B221" i="27"/>
  <c r="B391" i="27"/>
  <c r="G483" i="27"/>
  <c r="I483" i="27" s="1"/>
  <c r="B483" i="27"/>
  <c r="G540" i="27"/>
  <c r="I540" i="27" s="1"/>
  <c r="B540" i="27"/>
  <c r="G525" i="27"/>
  <c r="B525" i="27"/>
  <c r="G480" i="27"/>
  <c r="I480" i="27" s="1"/>
  <c r="B480" i="27"/>
  <c r="B533" i="27"/>
  <c r="G528" i="27"/>
  <c r="I528" i="27" s="1"/>
  <c r="B528" i="27"/>
  <c r="G477" i="27"/>
  <c r="I477" i="27" s="1"/>
  <c r="B477" i="27"/>
  <c r="G476" i="27"/>
  <c r="I476" i="27" s="1"/>
  <c r="B476" i="27"/>
  <c r="B475" i="27"/>
  <c r="G61" i="27"/>
  <c r="B61" i="27"/>
  <c r="G55" i="27"/>
  <c r="I55" i="27" s="1"/>
  <c r="B55" i="27"/>
  <c r="G472" i="27"/>
  <c r="I472" i="27" s="1"/>
  <c r="B472" i="27"/>
  <c r="B471" i="27"/>
  <c r="G470" i="27"/>
  <c r="I470" i="27" s="1"/>
  <c r="F470" i="27"/>
  <c r="B470" i="27"/>
  <c r="G469" i="27"/>
  <c r="I469" i="27" s="1"/>
  <c r="B469" i="27"/>
  <c r="G468" i="27"/>
  <c r="I468" i="27" s="1"/>
  <c r="B468" i="27"/>
  <c r="B467" i="27"/>
  <c r="B466" i="27"/>
  <c r="B465" i="27"/>
  <c r="F449" i="27"/>
  <c r="B449" i="27"/>
  <c r="H463" i="27"/>
  <c r="F463" i="27"/>
  <c r="B463" i="27"/>
  <c r="B521" i="27"/>
  <c r="B461" i="27"/>
  <c r="B460" i="27"/>
  <c r="B459" i="27"/>
  <c r="B518" i="27"/>
  <c r="B457" i="27"/>
  <c r="B456" i="27"/>
  <c r="F455" i="27"/>
  <c r="I455" i="27" s="1"/>
  <c r="B455" i="27"/>
  <c r="B454" i="27"/>
  <c r="F240" i="27"/>
  <c r="I240" i="27" s="1"/>
  <c r="B240" i="27"/>
  <c r="B322" i="27"/>
  <c r="F451" i="27"/>
  <c r="I451" i="27" s="1"/>
  <c r="B451" i="27"/>
  <c r="B493" i="27"/>
  <c r="G288" i="27"/>
  <c r="I288" i="27" s="1"/>
  <c r="B288" i="27"/>
  <c r="B440" i="27"/>
  <c r="F485" i="27"/>
  <c r="B485" i="27"/>
  <c r="B446" i="27"/>
  <c r="B445" i="27"/>
  <c r="F444" i="27"/>
  <c r="I444" i="27" s="1"/>
  <c r="B444" i="27"/>
  <c r="F443" i="27"/>
  <c r="I443" i="27" s="1"/>
  <c r="B443" i="27"/>
  <c r="F442" i="27"/>
  <c r="B442" i="27"/>
  <c r="F441" i="27"/>
  <c r="I441" i="27" s="1"/>
  <c r="B441" i="27"/>
  <c r="B482" i="27"/>
  <c r="F439" i="27"/>
  <c r="I439" i="27" s="1"/>
  <c r="B439" i="27"/>
  <c r="B438" i="27"/>
  <c r="B230" i="27"/>
  <c r="B437" i="27"/>
  <c r="G435" i="27"/>
  <c r="I435" i="27" s="1"/>
  <c r="B435" i="27"/>
  <c r="G539" i="27"/>
  <c r="I539" i="27" s="1"/>
  <c r="B539" i="27"/>
  <c r="F386" i="27"/>
  <c r="I386" i="27" s="1"/>
  <c r="B386" i="27"/>
  <c r="F385" i="27"/>
  <c r="B385" i="27"/>
  <c r="B431" i="27"/>
  <c r="G430" i="27"/>
  <c r="B430" i="27"/>
  <c r="B429" i="27"/>
  <c r="B428" i="27"/>
  <c r="B427" i="27"/>
  <c r="B426" i="27"/>
  <c r="B425" i="27"/>
  <c r="B424" i="27"/>
  <c r="B423" i="27"/>
  <c r="B562" i="27"/>
  <c r="G421" i="27"/>
  <c r="I421" i="27" s="1"/>
  <c r="B421" i="27"/>
  <c r="G420" i="27"/>
  <c r="I420" i="27" s="1"/>
  <c r="B420" i="27"/>
  <c r="F419" i="27"/>
  <c r="I419" i="27" s="1"/>
  <c r="B419" i="27"/>
  <c r="B418" i="27"/>
  <c r="B417" i="27"/>
  <c r="B416" i="27"/>
  <c r="B415" i="27"/>
  <c r="B414" i="27"/>
  <c r="B413" i="27"/>
  <c r="B412" i="27"/>
  <c r="B411" i="27"/>
  <c r="B410" i="27"/>
  <c r="B409" i="27"/>
  <c r="B408" i="27"/>
  <c r="B407" i="27"/>
  <c r="B406" i="27"/>
  <c r="B405" i="27"/>
  <c r="B404" i="27"/>
  <c r="B403" i="27"/>
  <c r="B402" i="27"/>
  <c r="B401" i="27"/>
  <c r="B400" i="27"/>
  <c r="B399" i="27"/>
  <c r="B398" i="27"/>
  <c r="B397" i="27"/>
  <c r="B396" i="27"/>
  <c r="B395" i="27"/>
  <c r="B394" i="27"/>
  <c r="F241" i="27"/>
  <c r="B241" i="27"/>
  <c r="B392" i="27"/>
  <c r="G555" i="27"/>
  <c r="I555" i="27" s="1"/>
  <c r="B555" i="27"/>
  <c r="F390" i="27"/>
  <c r="I390" i="27" s="1"/>
  <c r="B390" i="27"/>
  <c r="H486" i="27"/>
  <c r="F486" i="27"/>
  <c r="B486" i="27"/>
  <c r="B388" i="27"/>
  <c r="B387" i="27"/>
  <c r="G283" i="27"/>
  <c r="B283" i="27"/>
  <c r="F291" i="27"/>
  <c r="I291" i="27" s="1"/>
  <c r="B291" i="27"/>
  <c r="B384" i="27"/>
  <c r="B383" i="27"/>
  <c r="G382" i="27"/>
  <c r="I382" i="27" s="1"/>
  <c r="F382" i="27"/>
  <c r="B382" i="27"/>
  <c r="G381" i="27"/>
  <c r="F381" i="27"/>
  <c r="I381" i="27" s="1"/>
  <c r="B381" i="27"/>
  <c r="G369" i="27"/>
  <c r="F369" i="27"/>
  <c r="I369" i="27" s="1"/>
  <c r="B369" i="27"/>
  <c r="G379" i="27"/>
  <c r="I379" i="27" s="1"/>
  <c r="B379" i="27"/>
  <c r="B378" i="27"/>
  <c r="B377" i="27"/>
  <c r="B376" i="27"/>
  <c r="F59" i="27"/>
  <c r="B59" i="27"/>
  <c r="G189" i="27"/>
  <c r="F189" i="27"/>
  <c r="B189" i="27"/>
  <c r="G371" i="27"/>
  <c r="I371" i="27" s="1"/>
  <c r="B371" i="27"/>
  <c r="H370" i="27"/>
  <c r="G370" i="27"/>
  <c r="F370" i="27"/>
  <c r="I370" i="27" s="1"/>
  <c r="B370" i="27"/>
  <c r="F113" i="27"/>
  <c r="I113" i="27" s="1"/>
  <c r="B113" i="27"/>
  <c r="G276" i="27"/>
  <c r="F276" i="27"/>
  <c r="I276" i="27" s="1"/>
  <c r="B276" i="27"/>
  <c r="G272" i="27"/>
  <c r="F272" i="27"/>
  <c r="I272" i="27" s="1"/>
  <c r="B272" i="27"/>
  <c r="B368" i="27"/>
  <c r="B367" i="27"/>
  <c r="B366" i="27"/>
  <c r="B365" i="27"/>
  <c r="B364" i="27"/>
  <c r="F46" i="27"/>
  <c r="I46" i="27" s="1"/>
  <c r="B46" i="27"/>
  <c r="B362" i="27"/>
  <c r="B361" i="27"/>
  <c r="F101" i="27"/>
  <c r="I101" i="27" s="1"/>
  <c r="B101" i="27"/>
  <c r="F27" i="27"/>
  <c r="I27" i="27" s="1"/>
  <c r="B27" i="27"/>
  <c r="B358" i="27"/>
  <c r="B357" i="27"/>
  <c r="B356" i="27"/>
  <c r="B355" i="27"/>
  <c r="B354" i="27"/>
  <c r="B353" i="27"/>
  <c r="B352" i="27"/>
  <c r="B351" i="27"/>
  <c r="B350" i="27"/>
  <c r="B349" i="27"/>
  <c r="B348" i="27"/>
  <c r="B347" i="27"/>
  <c r="B450" i="27"/>
  <c r="B345" i="27"/>
  <c r="B217" i="27"/>
  <c r="G343" i="27"/>
  <c r="I343" i="27" s="1"/>
  <c r="B343" i="27"/>
  <c r="F474" i="27"/>
  <c r="I474" i="27" s="1"/>
  <c r="B474" i="27"/>
  <c r="F473" i="27"/>
  <c r="B473" i="27"/>
  <c r="H464" i="27"/>
  <c r="F464" i="27"/>
  <c r="I464" i="27" s="1"/>
  <c r="B464" i="27"/>
  <c r="B274" i="27"/>
  <c r="G338" i="27"/>
  <c r="F338" i="27"/>
  <c r="I338" i="27" s="1"/>
  <c r="B338" i="27"/>
  <c r="B337" i="27"/>
  <c r="B453" i="27"/>
  <c r="B335" i="27"/>
  <c r="B334" i="27"/>
  <c r="B333" i="27"/>
  <c r="B332" i="27"/>
  <c r="H331" i="27"/>
  <c r="I331" i="27" s="1"/>
  <c r="B331" i="27"/>
  <c r="B330" i="27"/>
  <c r="B329" i="27"/>
  <c r="H432" i="27"/>
  <c r="F432" i="27"/>
  <c r="B432" i="27"/>
  <c r="H484" i="27"/>
  <c r="F484" i="27"/>
  <c r="I484" i="27" s="1"/>
  <c r="B484" i="27"/>
  <c r="B326" i="27"/>
  <c r="F325" i="27"/>
  <c r="I325" i="27" s="1"/>
  <c r="B325" i="27"/>
  <c r="B324" i="27"/>
  <c r="B323" i="27"/>
  <c r="B389" i="27"/>
  <c r="B321" i="27"/>
  <c r="B320" i="27"/>
  <c r="B319" i="27"/>
  <c r="F188" i="27"/>
  <c r="I188" i="27" s="1"/>
  <c r="B188" i="27"/>
  <c r="F220" i="27"/>
  <c r="I220" i="27" s="1"/>
  <c r="B220" i="27"/>
  <c r="F73" i="27"/>
  <c r="I73" i="27" s="1"/>
  <c r="B73" i="27"/>
  <c r="B315" i="27"/>
  <c r="B314" i="27"/>
  <c r="B313" i="27"/>
  <c r="H312" i="27"/>
  <c r="I312" i="27" s="1"/>
  <c r="B312" i="27"/>
  <c r="B236" i="27"/>
  <c r="B310" i="27"/>
  <c r="B309" i="27"/>
  <c r="B308" i="27"/>
  <c r="G373" i="27"/>
  <c r="F373" i="27"/>
  <c r="I373" i="27" s="1"/>
  <c r="B373" i="27"/>
  <c r="G303" i="27"/>
  <c r="F303" i="27"/>
  <c r="I303" i="27" s="1"/>
  <c r="B303" i="27"/>
  <c r="B305" i="27"/>
  <c r="B304" i="27"/>
  <c r="G161" i="27"/>
  <c r="I161" i="27" s="1"/>
  <c r="B161" i="27"/>
  <c r="G214" i="27"/>
  <c r="F214" i="27"/>
  <c r="B214" i="27"/>
  <c r="G301" i="27"/>
  <c r="F301" i="27"/>
  <c r="I301" i="27" s="1"/>
  <c r="B301" i="27"/>
  <c r="H300" i="27"/>
  <c r="I300" i="27" s="1"/>
  <c r="B300" i="27"/>
  <c r="B2" i="27"/>
  <c r="B380" i="27"/>
  <c r="B297" i="27"/>
  <c r="B296" i="27"/>
  <c r="B295" i="27"/>
  <c r="B294" i="27"/>
  <c r="B199" i="27"/>
  <c r="B374" i="27"/>
  <c r="F80" i="27"/>
  <c r="I80" i="27" s="1"/>
  <c r="B80" i="27"/>
  <c r="F209" i="27"/>
  <c r="I209" i="27" s="1"/>
  <c r="B209" i="27"/>
  <c r="B289" i="27"/>
  <c r="F340" i="27"/>
  <c r="I340" i="27" s="1"/>
  <c r="B340" i="27"/>
  <c r="B570" i="27"/>
  <c r="F28" i="27"/>
  <c r="I28" i="27" s="1"/>
  <c r="B28" i="27"/>
  <c r="B375" i="27"/>
  <c r="B191" i="27"/>
  <c r="G43" i="27"/>
  <c r="I43" i="27" s="1"/>
  <c r="B43" i="27"/>
  <c r="B336" i="27"/>
  <c r="H281" i="27"/>
  <c r="F281" i="27"/>
  <c r="I281" i="27" s="1"/>
  <c r="B281" i="27"/>
  <c r="G280" i="27"/>
  <c r="I280" i="27" s="1"/>
  <c r="B280" i="27"/>
  <c r="F279" i="27"/>
  <c r="I279" i="27" s="1"/>
  <c r="B279" i="27"/>
  <c r="F278" i="27"/>
  <c r="B278" i="27"/>
  <c r="G542" i="27"/>
  <c r="I542" i="27" s="1"/>
  <c r="B542" i="27"/>
  <c r="G534" i="27"/>
  <c r="B534" i="27"/>
  <c r="G49" i="27"/>
  <c r="I49" i="27" s="1"/>
  <c r="B49" i="27"/>
  <c r="G25" i="27"/>
  <c r="F25" i="27"/>
  <c r="I25" i="27" s="1"/>
  <c r="B25" i="27"/>
  <c r="G20" i="27"/>
  <c r="B20" i="27"/>
  <c r="G522" i="27"/>
  <c r="F522" i="27"/>
  <c r="I522" i="27" s="1"/>
  <c r="B522" i="27"/>
  <c r="G271" i="27"/>
  <c r="I271" i="27" s="1"/>
  <c r="B271" i="27"/>
  <c r="G270" i="27"/>
  <c r="I270" i="27" s="1"/>
  <c r="B270" i="27"/>
  <c r="G269" i="27"/>
  <c r="B269" i="27"/>
  <c r="B268" i="27"/>
  <c r="B267" i="27"/>
  <c r="B266" i="27"/>
  <c r="B265" i="27"/>
  <c r="B264" i="27"/>
  <c r="B263" i="27"/>
  <c r="B262" i="27"/>
  <c r="B261" i="27"/>
  <c r="B260" i="27"/>
  <c r="B259" i="27"/>
  <c r="B258" i="27"/>
  <c r="B257" i="27"/>
  <c r="B256" i="27"/>
  <c r="B255" i="27"/>
  <c r="B254" i="27"/>
  <c r="B253" i="27"/>
  <c r="B252" i="27"/>
  <c r="B251" i="27"/>
  <c r="B250" i="27"/>
  <c r="B249" i="27"/>
  <c r="B248" i="27"/>
  <c r="B247" i="27"/>
  <c r="B246" i="27"/>
  <c r="B245" i="27"/>
  <c r="B244" i="27"/>
  <c r="B243" i="27"/>
  <c r="B242" i="27"/>
  <c r="B293" i="27"/>
  <c r="B219" i="27"/>
  <c r="B290" i="27"/>
  <c r="G238" i="27"/>
  <c r="B238" i="27"/>
  <c r="G237" i="27"/>
  <c r="I237" i="27" s="1"/>
  <c r="B237" i="27"/>
  <c r="F119" i="27"/>
  <c r="B119" i="27"/>
  <c r="F346" i="27"/>
  <c r="I346" i="27" s="1"/>
  <c r="B346" i="27"/>
  <c r="B234" i="27"/>
  <c r="F91" i="27"/>
  <c r="I91" i="27" s="1"/>
  <c r="B91" i="27"/>
  <c r="F227" i="27"/>
  <c r="B227" i="27"/>
  <c r="F292" i="27"/>
  <c r="I292" i="27" s="1"/>
  <c r="B292" i="27"/>
  <c r="G327" i="27"/>
  <c r="F327" i="27"/>
  <c r="B327" i="27"/>
  <c r="G302" i="27"/>
  <c r="F302" i="27"/>
  <c r="B302" i="27"/>
  <c r="F228" i="27"/>
  <c r="I228" i="27" s="1"/>
  <c r="B228" i="27"/>
  <c r="F112" i="27"/>
  <c r="B112" i="27"/>
  <c r="B21" i="27"/>
  <c r="F212" i="27"/>
  <c r="I212" i="27" s="1"/>
  <c r="B212" i="27"/>
  <c r="F102" i="27"/>
  <c r="B102" i="27"/>
  <c r="G223" i="27"/>
  <c r="I223" i="27" s="1"/>
  <c r="B223" i="27"/>
  <c r="B222" i="27"/>
  <c r="G299" i="27"/>
  <c r="I299" i="27" s="1"/>
  <c r="B299" i="27"/>
  <c r="F54" i="27"/>
  <c r="B54" i="27"/>
  <c r="B32" i="27"/>
  <c r="G318" i="27"/>
  <c r="I318" i="27" s="1"/>
  <c r="B318" i="27"/>
  <c r="G190" i="27"/>
  <c r="I190" i="27" s="1"/>
  <c r="B190" i="27"/>
  <c r="H216" i="27"/>
  <c r="G216" i="27"/>
  <c r="B216" i="27"/>
  <c r="G206" i="27"/>
  <c r="F206" i="27"/>
  <c r="I206" i="27" s="1"/>
  <c r="B206" i="27"/>
  <c r="G23" i="27"/>
  <c r="F23" i="27"/>
  <c r="I23" i="27" s="1"/>
  <c r="B23" i="27"/>
  <c r="G328" i="27"/>
  <c r="I328" i="27" s="1"/>
  <c r="B328" i="27"/>
  <c r="G359" i="27"/>
  <c r="I359" i="27" s="1"/>
  <c r="B359" i="27"/>
  <c r="G42" i="27"/>
  <c r="B42" i="27"/>
  <c r="B196" i="27"/>
  <c r="G56" i="27"/>
  <c r="I56" i="27" s="1"/>
  <c r="B56" i="27"/>
  <c r="B208" i="27"/>
  <c r="G207" i="27"/>
  <c r="F207" i="27"/>
  <c r="I207" i="27" s="1"/>
  <c r="B207" i="27"/>
  <c r="G51" i="27"/>
  <c r="F51" i="27"/>
  <c r="I51" i="27" s="1"/>
  <c r="B51" i="27"/>
  <c r="G205" i="27"/>
  <c r="B205" i="27"/>
  <c r="G31" i="27"/>
  <c r="F31" i="27"/>
  <c r="I31" i="27" s="1"/>
  <c r="B31" i="27"/>
  <c r="G213" i="27"/>
  <c r="F213" i="27"/>
  <c r="I213" i="27" s="1"/>
  <c r="B213" i="27"/>
  <c r="G317" i="27"/>
  <c r="B317" i="27"/>
  <c r="H545" i="27"/>
  <c r="G545" i="27"/>
  <c r="I545" i="27" s="1"/>
  <c r="B545" i="27"/>
  <c r="G537" i="27"/>
  <c r="F537" i="27"/>
  <c r="I537" i="27" s="1"/>
  <c r="B537" i="27"/>
  <c r="G536" i="27"/>
  <c r="F536" i="27"/>
  <c r="I536" i="27" s="1"/>
  <c r="B536" i="27"/>
  <c r="G170" i="27"/>
  <c r="I170" i="27" s="1"/>
  <c r="F170" i="27"/>
  <c r="B170" i="27"/>
  <c r="G277" i="27"/>
  <c r="F277" i="27"/>
  <c r="I277" i="27" s="1"/>
  <c r="B277" i="27"/>
  <c r="G99" i="27"/>
  <c r="F99" i="27"/>
  <c r="I99" i="27" s="1"/>
  <c r="B99" i="27"/>
  <c r="G58" i="27"/>
  <c r="F58" i="27"/>
  <c r="I58" i="27" s="1"/>
  <c r="B58" i="27"/>
  <c r="G13" i="27"/>
  <c r="I13" i="27" s="1"/>
  <c r="B13" i="27"/>
  <c r="H193" i="27"/>
  <c r="G193" i="27"/>
  <c r="I193" i="27" s="1"/>
  <c r="B193" i="27"/>
  <c r="G192" i="27"/>
  <c r="I192" i="27" s="1"/>
  <c r="B192" i="27"/>
  <c r="B22" i="27"/>
  <c r="B18" i="27"/>
  <c r="B6" i="27"/>
  <c r="G7" i="27"/>
  <c r="I7" i="27" s="1"/>
  <c r="B7" i="27"/>
  <c r="G187" i="27"/>
  <c r="I187" i="27" s="1"/>
  <c r="B187" i="27"/>
  <c r="B186" i="27"/>
  <c r="G185" i="27"/>
  <c r="I185" i="27" s="1"/>
  <c r="B185" i="27"/>
  <c r="H184" i="27"/>
  <c r="I184" i="27" s="1"/>
  <c r="B184" i="27"/>
  <c r="G183" i="27"/>
  <c r="I183" i="27" s="1"/>
  <c r="B183" i="27"/>
  <c r="G182" i="27"/>
  <c r="B182" i="27"/>
  <c r="B181" i="27"/>
  <c r="B180" i="27"/>
  <c r="B179" i="27"/>
  <c r="B178" i="27"/>
  <c r="B177" i="27"/>
  <c r="B176" i="27"/>
  <c r="B175" i="27"/>
  <c r="B174" i="27"/>
  <c r="B173" i="27"/>
  <c r="B172" i="27"/>
  <c r="B171" i="27"/>
  <c r="B573" i="27"/>
  <c r="B169" i="27"/>
  <c r="B168" i="27"/>
  <c r="B167" i="27"/>
  <c r="B166" i="27"/>
  <c r="B88" i="27"/>
  <c r="B164" i="27"/>
  <c r="B163" i="27"/>
  <c r="H162" i="27"/>
  <c r="B162" i="27"/>
  <c r="F287" i="27"/>
  <c r="I287" i="27" s="1"/>
  <c r="B287" i="27"/>
  <c r="B160" i="27"/>
  <c r="F159" i="27"/>
  <c r="I159" i="27" s="1"/>
  <c r="B159" i="27"/>
  <c r="B158" i="27"/>
  <c r="F157" i="27"/>
  <c r="B157" i="27"/>
  <c r="G156" i="27"/>
  <c r="I156" i="27" s="1"/>
  <c r="B156" i="27"/>
  <c r="B155" i="27"/>
  <c r="B154" i="27"/>
  <c r="B153" i="27"/>
  <c r="B152" i="27"/>
  <c r="B151" i="27"/>
  <c r="B150" i="27"/>
  <c r="B149" i="27"/>
  <c r="B148" i="27"/>
  <c r="B147" i="27"/>
  <c r="B146" i="27"/>
  <c r="B145" i="27"/>
  <c r="B144" i="27"/>
  <c r="B143" i="27"/>
  <c r="B142" i="27"/>
  <c r="B141" i="27"/>
  <c r="B140" i="27"/>
  <c r="B139" i="27"/>
  <c r="B138" i="27"/>
  <c r="B137" i="27"/>
  <c r="B136" i="27"/>
  <c r="B135" i="27"/>
  <c r="B134" i="27"/>
  <c r="B133" i="27"/>
  <c r="B132" i="27"/>
  <c r="F131" i="27"/>
  <c r="I131" i="27" s="1"/>
  <c r="B131" i="27"/>
  <c r="B130" i="27"/>
  <c r="B129" i="27"/>
  <c r="B128" i="27"/>
  <c r="B127" i="27"/>
  <c r="B126" i="27"/>
  <c r="B125" i="27"/>
  <c r="B124" i="27"/>
  <c r="B123" i="27"/>
  <c r="B122" i="27"/>
  <c r="B121" i="27"/>
  <c r="B339" i="27"/>
  <c r="G203" i="27"/>
  <c r="F203" i="27"/>
  <c r="I203" i="27" s="1"/>
  <c r="B203" i="27"/>
  <c r="B118" i="27"/>
  <c r="F117" i="27"/>
  <c r="I117" i="27" s="1"/>
  <c r="B117" i="27"/>
  <c r="F90" i="27"/>
  <c r="I90" i="27" s="1"/>
  <c r="B90" i="27"/>
  <c r="G233" i="27"/>
  <c r="F233" i="27"/>
  <c r="I233" i="27" s="1"/>
  <c r="B233" i="27"/>
  <c r="F490" i="27"/>
  <c r="B490" i="27"/>
  <c r="H195" i="27"/>
  <c r="G195" i="27"/>
  <c r="F195" i="27"/>
  <c r="B195" i="27"/>
  <c r="G115" i="27"/>
  <c r="F115" i="27"/>
  <c r="B115" i="27"/>
  <c r="B111" i="27"/>
  <c r="B110" i="27"/>
  <c r="B109" i="27"/>
  <c r="G48" i="27"/>
  <c r="F48" i="27"/>
  <c r="B48" i="27"/>
  <c r="B107" i="27"/>
  <c r="B106" i="27"/>
  <c r="B105" i="27"/>
  <c r="B104" i="27"/>
  <c r="F481" i="27"/>
  <c r="B481" i="27"/>
  <c r="H479" i="27"/>
  <c r="F479" i="27"/>
  <c r="I479" i="27" s="1"/>
  <c r="B479" i="27"/>
  <c r="F478" i="27"/>
  <c r="B478" i="27"/>
  <c r="G231" i="27"/>
  <c r="F231" i="27"/>
  <c r="B231" i="27"/>
  <c r="F52" i="27"/>
  <c r="I52" i="27" s="1"/>
  <c r="B52" i="27"/>
  <c r="B98" i="27"/>
  <c r="B97" i="27"/>
  <c r="B96" i="27"/>
  <c r="B95" i="27"/>
  <c r="B94" i="27"/>
  <c r="B311" i="27"/>
  <c r="B215" i="27"/>
  <c r="B41" i="27"/>
  <c r="B210" i="27"/>
  <c r="B29" i="27"/>
  <c r="F165" i="27"/>
  <c r="I165" i="27" s="1"/>
  <c r="B165" i="27"/>
  <c r="B87" i="27"/>
  <c r="B86" i="27"/>
  <c r="G85" i="27"/>
  <c r="F85" i="27"/>
  <c r="I85" i="27" s="1"/>
  <c r="B85" i="27"/>
  <c r="F462" i="27"/>
  <c r="B462" i="27"/>
  <c r="B83" i="27"/>
  <c r="B82" i="27"/>
  <c r="B81" i="27"/>
  <c r="G363" i="27"/>
  <c r="F363" i="27"/>
  <c r="I363" i="27" s="1"/>
  <c r="B363" i="27"/>
  <c r="B79" i="27"/>
  <c r="B78" i="27"/>
  <c r="B77" i="27"/>
  <c r="B76" i="27"/>
  <c r="B75" i="27"/>
  <c r="B74" i="27"/>
  <c r="B89" i="27"/>
  <c r="B84" i="27"/>
  <c r="B71" i="27"/>
  <c r="B70" i="27"/>
  <c r="B69" i="27"/>
  <c r="B68" i="27"/>
  <c r="B67" i="27"/>
  <c r="B66" i="27"/>
  <c r="B65" i="27"/>
  <c r="B64" i="27"/>
  <c r="B63" i="27"/>
  <c r="F44" i="27"/>
  <c r="I44" i="27" s="1"/>
  <c r="B44" i="27"/>
  <c r="F341" i="27"/>
  <c r="I341" i="27" s="1"/>
  <c r="B341" i="27"/>
  <c r="B60" i="27"/>
  <c r="B108" i="27"/>
  <c r="F17" i="27"/>
  <c r="B17" i="27"/>
  <c r="G116" i="27"/>
  <c r="F116" i="27"/>
  <c r="I116" i="27" s="1"/>
  <c r="B116" i="27"/>
  <c r="B218" i="27"/>
  <c r="F239" i="27"/>
  <c r="I239" i="27" s="1"/>
  <c r="B239" i="27"/>
  <c r="F62" i="27"/>
  <c r="B62" i="27"/>
  <c r="F372" i="27"/>
  <c r="I372" i="27" s="1"/>
  <c r="B372" i="27"/>
  <c r="F211" i="27"/>
  <c r="B211" i="27"/>
  <c r="G204" i="27"/>
  <c r="F204" i="27"/>
  <c r="I204" i="27" s="1"/>
  <c r="B204" i="27"/>
  <c r="B50" i="27"/>
  <c r="F494" i="27"/>
  <c r="I494" i="27" s="1"/>
  <c r="B494" i="27"/>
  <c r="G93" i="27"/>
  <c r="F93" i="27"/>
  <c r="B93" i="27"/>
  <c r="G225" i="27"/>
  <c r="I225" i="27" s="1"/>
  <c r="F225" i="27"/>
  <c r="B225" i="27"/>
  <c r="F30" i="27"/>
  <c r="I30" i="27" s="1"/>
  <c r="B30" i="27"/>
  <c r="H45" i="27"/>
  <c r="G45" i="27"/>
  <c r="F45" i="27"/>
  <c r="I45" i="27" s="1"/>
  <c r="B45" i="27"/>
  <c r="H114" i="27"/>
  <c r="G114" i="27"/>
  <c r="F114" i="27"/>
  <c r="I114" i="27" s="1"/>
  <c r="B114" i="27"/>
  <c r="G103" i="27"/>
  <c r="F103" i="27"/>
  <c r="I103" i="27" s="1"/>
  <c r="B103" i="27"/>
  <c r="G197" i="27"/>
  <c r="F197" i="27"/>
  <c r="B197" i="27"/>
  <c r="F53" i="27"/>
  <c r="I53" i="27" s="1"/>
  <c r="B53" i="27"/>
  <c r="F40" i="27"/>
  <c r="I40" i="27" s="1"/>
  <c r="B40" i="27"/>
  <c r="F39" i="27"/>
  <c r="I39" i="27" s="1"/>
  <c r="B39" i="27"/>
  <c r="F38" i="27"/>
  <c r="B38" i="27"/>
  <c r="B37" i="27"/>
  <c r="B36" i="27"/>
  <c r="B35" i="27"/>
  <c r="B34" i="27"/>
  <c r="B33" i="27"/>
  <c r="H200" i="27"/>
  <c r="I200" i="27" s="1"/>
  <c r="G200" i="27"/>
  <c r="B200" i="27"/>
  <c r="H57" i="27"/>
  <c r="G57" i="27"/>
  <c r="I57" i="27" s="1"/>
  <c r="B57" i="27"/>
  <c r="F316" i="27"/>
  <c r="I316" i="27" s="1"/>
  <c r="B316" i="27"/>
  <c r="G202" i="27"/>
  <c r="I202" i="27" s="1"/>
  <c r="B202" i="27"/>
  <c r="H100" i="27"/>
  <c r="G100" i="27"/>
  <c r="F100" i="27"/>
  <c r="I100" i="27" s="1"/>
  <c r="B100" i="27"/>
  <c r="G194" i="27"/>
  <c r="F194" i="27"/>
  <c r="I194" i="27" s="1"/>
  <c r="B194" i="27"/>
  <c r="G92" i="27"/>
  <c r="F92" i="27"/>
  <c r="I92" i="27" s="1"/>
  <c r="B92" i="27"/>
  <c r="B201" i="27"/>
  <c r="B24" i="27"/>
  <c r="F235" i="27"/>
  <c r="I235" i="27" s="1"/>
  <c r="B235" i="27"/>
  <c r="G47" i="27"/>
  <c r="F47" i="27"/>
  <c r="B47" i="27"/>
  <c r="F273" i="27"/>
  <c r="I273" i="27" s="1"/>
  <c r="B273" i="27"/>
  <c r="F507" i="27"/>
  <c r="I507" i="27" s="1"/>
  <c r="B507" i="27"/>
  <c r="B19" i="27"/>
  <c r="G282" i="27"/>
  <c r="I282" i="27" s="1"/>
  <c r="F282" i="27"/>
  <c r="B282" i="27"/>
  <c r="B487" i="27"/>
  <c r="B16" i="27"/>
  <c r="B15" i="27"/>
  <c r="B14" i="27"/>
  <c r="G26" i="27"/>
  <c r="I26" i="27" s="1"/>
  <c r="B26" i="27"/>
  <c r="B12" i="27"/>
  <c r="B11" i="27"/>
  <c r="B10" i="27"/>
  <c r="B9" i="27"/>
  <c r="B72" i="27"/>
  <c r="F120" i="27"/>
  <c r="I120" i="27" s="1"/>
  <c r="B120" i="27"/>
  <c r="F8" i="27"/>
  <c r="I8" i="27" s="1"/>
  <c r="B8" i="27"/>
  <c r="B5" i="27"/>
  <c r="B4" i="27"/>
  <c r="B3" i="27"/>
  <c r="F298" i="27"/>
  <c r="I298" i="27" s="1"/>
  <c r="B298" i="27"/>
  <c r="I195" i="27" l="1"/>
  <c r="I503" i="27"/>
  <c r="I504" i="27"/>
  <c r="I47" i="27"/>
  <c r="I197" i="27"/>
  <c r="I231" i="27"/>
  <c r="I115" i="27"/>
  <c r="I216" i="27"/>
  <c r="I302" i="27"/>
  <c r="I214" i="27"/>
  <c r="I432" i="27"/>
  <c r="I189" i="27"/>
  <c r="I463" i="27"/>
  <c r="I229" i="27"/>
  <c r="I224" i="27"/>
  <c r="I543" i="27"/>
  <c r="B760" i="16"/>
  <c r="B627" i="16" l="1"/>
  <c r="F617" i="16"/>
  <c r="J617" i="16" s="1"/>
  <c r="U617" i="16" s="1"/>
  <c r="F621" i="16"/>
  <c r="H637" i="16" l="1"/>
  <c r="L636" i="16"/>
  <c r="W636" i="16" s="1"/>
  <c r="J621" i="16"/>
  <c r="U621" i="16" s="1"/>
  <c r="G377" i="16" l="1"/>
  <c r="T377" i="16" s="1"/>
  <c r="F376" i="16"/>
  <c r="F369" i="16"/>
  <c r="B137" i="16"/>
  <c r="F773" i="16"/>
  <c r="T773" i="16" s="1"/>
  <c r="F771" i="16"/>
  <c r="T771" i="16" s="1"/>
  <c r="F770" i="16"/>
  <c r="T770" i="16" s="1"/>
  <c r="J759" i="16"/>
  <c r="U759" i="16" s="1"/>
  <c r="K759" i="16"/>
  <c r="V759" i="16" s="1"/>
  <c r="L759" i="16"/>
  <c r="W759" i="16" s="1"/>
  <c r="B759" i="16"/>
  <c r="J751" i="16" l="1"/>
  <c r="U751" i="16" s="1"/>
  <c r="K751" i="16"/>
  <c r="V751" i="16" s="1"/>
  <c r="L751" i="16"/>
  <c r="W751" i="16" s="1"/>
  <c r="J752" i="16"/>
  <c r="U752" i="16" s="1"/>
  <c r="K752" i="16"/>
  <c r="V752" i="16" s="1"/>
  <c r="L752" i="16"/>
  <c r="W752" i="16" s="1"/>
  <c r="J753" i="16"/>
  <c r="U753" i="16" s="1"/>
  <c r="K753" i="16"/>
  <c r="V753" i="16" s="1"/>
  <c r="L753" i="16"/>
  <c r="W753" i="16" s="1"/>
  <c r="J754" i="16"/>
  <c r="U754" i="16" s="1"/>
  <c r="K754" i="16"/>
  <c r="V754" i="16" s="1"/>
  <c r="L754" i="16"/>
  <c r="W754" i="16" s="1"/>
  <c r="J755" i="16"/>
  <c r="U755" i="16" s="1"/>
  <c r="K755" i="16"/>
  <c r="V755" i="16" s="1"/>
  <c r="L755" i="16"/>
  <c r="W755" i="16" s="1"/>
  <c r="J756" i="16"/>
  <c r="U756" i="16" s="1"/>
  <c r="K756" i="16"/>
  <c r="V756" i="16" s="1"/>
  <c r="L756" i="16"/>
  <c r="W756" i="16" s="1"/>
  <c r="J757" i="16"/>
  <c r="U757" i="16" s="1"/>
  <c r="K757" i="16"/>
  <c r="V757" i="16" s="1"/>
  <c r="L757" i="16"/>
  <c r="W757" i="16" s="1"/>
  <c r="J758" i="16"/>
  <c r="U758" i="16" s="1"/>
  <c r="K758" i="16"/>
  <c r="V758" i="16" s="1"/>
  <c r="L758" i="16"/>
  <c r="W758" i="16" s="1"/>
  <c r="B758" i="16"/>
  <c r="G737" i="16"/>
  <c r="T737" i="16" s="1"/>
  <c r="G726" i="16"/>
  <c r="F726" i="16"/>
  <c r="H683" i="16"/>
  <c r="L683" i="16" s="1"/>
  <c r="W683" i="16" s="1"/>
  <c r="H680" i="16"/>
  <c r="H679" i="16"/>
  <c r="L679" i="16" s="1"/>
  <c r="W679" i="16" s="1"/>
  <c r="B679" i="16"/>
  <c r="F679" i="16"/>
  <c r="G679" i="16"/>
  <c r="B680" i="16"/>
  <c r="F680" i="16"/>
  <c r="G680" i="16"/>
  <c r="B650" i="16"/>
  <c r="B668" i="16"/>
  <c r="B658" i="16"/>
  <c r="B693" i="16"/>
  <c r="B694" i="16"/>
  <c r="G682" i="16"/>
  <c r="H682" i="16"/>
  <c r="G700" i="16"/>
  <c r="F713" i="16"/>
  <c r="J713" i="16" s="1"/>
  <c r="U713" i="16" s="1"/>
  <c r="F706" i="16"/>
  <c r="F703" i="16"/>
  <c r="F682" i="16"/>
  <c r="B711" i="16"/>
  <c r="F685" i="16"/>
  <c r="F667" i="16"/>
  <c r="G666" i="16"/>
  <c r="G657" i="16"/>
  <c r="F649" i="16"/>
  <c r="T726" i="16" l="1"/>
  <c r="K666" i="16"/>
  <c r="V666" i="16" s="1"/>
  <c r="J682" i="16"/>
  <c r="U682" i="16" s="1"/>
  <c r="T682" i="16"/>
  <c r="T700" i="16"/>
  <c r="K700" i="16"/>
  <c r="V700" i="16" s="1"/>
  <c r="T667" i="16"/>
  <c r="J667" i="16"/>
  <c r="U667" i="16" s="1"/>
  <c r="T703" i="16"/>
  <c r="J703" i="16"/>
  <c r="U703" i="16" s="1"/>
  <c r="L682" i="16"/>
  <c r="W682" i="16" s="1"/>
  <c r="J649" i="16"/>
  <c r="U649" i="16" s="1"/>
  <c r="J706" i="16"/>
  <c r="U706" i="16" s="1"/>
  <c r="K682" i="16"/>
  <c r="V682" i="16" s="1"/>
  <c r="K680" i="16"/>
  <c r="V680" i="16" s="1"/>
  <c r="K679" i="16"/>
  <c r="V679" i="16" s="1"/>
  <c r="L680" i="16"/>
  <c r="W680" i="16" s="1"/>
  <c r="J685" i="16"/>
  <c r="U685" i="16" s="1"/>
  <c r="T685" i="16"/>
  <c r="T657" i="16"/>
  <c r="K657" i="16"/>
  <c r="V657" i="16" s="1"/>
  <c r="T680" i="16"/>
  <c r="J680" i="16"/>
  <c r="U680" i="16" s="1"/>
  <c r="T679" i="16"/>
  <c r="J679" i="16"/>
  <c r="U679" i="16" s="1"/>
  <c r="G126" i="16" l="1"/>
  <c r="K126" i="16" s="1"/>
  <c r="V126" i="16" s="1"/>
  <c r="G584" i="16"/>
  <c r="T584" i="16" s="1"/>
  <c r="G531" i="16"/>
  <c r="G516" i="16"/>
  <c r="K438" i="16"/>
  <c r="V438" i="16" s="1"/>
  <c r="L438" i="16"/>
  <c r="W438" i="16" s="1"/>
  <c r="K439" i="16"/>
  <c r="V439" i="16" s="1"/>
  <c r="L439" i="16"/>
  <c r="W439" i="16" s="1"/>
  <c r="J440" i="16"/>
  <c r="U440" i="16" s="1"/>
  <c r="K440" i="16"/>
  <c r="V440" i="16" s="1"/>
  <c r="L440" i="16"/>
  <c r="W440" i="16" s="1"/>
  <c r="J441" i="16"/>
  <c r="U441" i="16" s="1"/>
  <c r="K441" i="16"/>
  <c r="V441" i="16" s="1"/>
  <c r="L441" i="16"/>
  <c r="W441" i="16" s="1"/>
  <c r="J442" i="16"/>
  <c r="U442" i="16" s="1"/>
  <c r="K442" i="16"/>
  <c r="V442" i="16" s="1"/>
  <c r="L442" i="16"/>
  <c r="W442" i="16" s="1"/>
  <c r="J275" i="16"/>
  <c r="U275" i="16" s="1"/>
  <c r="L275" i="16"/>
  <c r="W275" i="16" s="1"/>
  <c r="J276" i="16"/>
  <c r="U276" i="16" s="1"/>
  <c r="K276" i="16"/>
  <c r="V276" i="16" s="1"/>
  <c r="J277" i="16"/>
  <c r="U277" i="16" s="1"/>
  <c r="L277" i="16"/>
  <c r="W277" i="16" s="1"/>
  <c r="J278" i="16"/>
  <c r="U278" i="16" s="1"/>
  <c r="K278" i="16"/>
  <c r="V278" i="16" s="1"/>
  <c r="L278" i="16"/>
  <c r="W278" i="16" s="1"/>
  <c r="J279" i="16"/>
  <c r="U279" i="16" s="1"/>
  <c r="L279" i="16"/>
  <c r="W279" i="16" s="1"/>
  <c r="J280" i="16"/>
  <c r="U280" i="16" s="1"/>
  <c r="L280" i="16"/>
  <c r="W280" i="16" s="1"/>
  <c r="J285" i="16"/>
  <c r="U285" i="16" s="1"/>
  <c r="L285" i="16"/>
  <c r="W285" i="16" s="1"/>
  <c r="L286" i="16"/>
  <c r="W286" i="16" s="1"/>
  <c r="L287" i="16"/>
  <c r="W287" i="16" s="1"/>
  <c r="L288" i="16"/>
  <c r="W288" i="16" s="1"/>
  <c r="L289" i="16"/>
  <c r="W289" i="16" s="1"/>
  <c r="L290" i="16"/>
  <c r="W290" i="16" s="1"/>
  <c r="L291" i="16"/>
  <c r="W291" i="16" s="1"/>
  <c r="J292" i="16"/>
  <c r="U292" i="16" s="1"/>
  <c r="J293" i="16"/>
  <c r="U293" i="16" s="1"/>
  <c r="L293" i="16"/>
  <c r="W293" i="16" s="1"/>
  <c r="L294" i="16"/>
  <c r="W294" i="16" s="1"/>
  <c r="L295" i="16"/>
  <c r="W295" i="16" s="1"/>
  <c r="J296" i="16"/>
  <c r="U296" i="16" s="1"/>
  <c r="L296" i="16"/>
  <c r="W296" i="16" s="1"/>
  <c r="L297" i="16"/>
  <c r="W297" i="16" s="1"/>
  <c r="L298" i="16"/>
  <c r="W298" i="16" s="1"/>
  <c r="J299" i="16"/>
  <c r="U299" i="16" s="1"/>
  <c r="K299" i="16"/>
  <c r="V299" i="16" s="1"/>
  <c r="L299" i="16"/>
  <c r="W299" i="16" s="1"/>
  <c r="J300" i="16"/>
  <c r="U300" i="16" s="1"/>
  <c r="L300" i="16"/>
  <c r="W300" i="16" s="1"/>
  <c r="J301" i="16"/>
  <c r="U301" i="16" s="1"/>
  <c r="K301" i="16"/>
  <c r="V301" i="16" s="1"/>
  <c r="L301" i="16"/>
  <c r="W301" i="16" s="1"/>
  <c r="J302" i="16"/>
  <c r="U302" i="16" s="1"/>
  <c r="L302" i="16"/>
  <c r="W302" i="16" s="1"/>
  <c r="J303" i="16"/>
  <c r="U303" i="16" s="1"/>
  <c r="L303" i="16"/>
  <c r="W303" i="16" s="1"/>
  <c r="J304" i="16"/>
  <c r="U304" i="16" s="1"/>
  <c r="L304" i="16"/>
  <c r="W304" i="16" s="1"/>
  <c r="L305" i="16"/>
  <c r="W305" i="16" s="1"/>
  <c r="L306" i="16"/>
  <c r="W306" i="16" s="1"/>
  <c r="J307" i="16"/>
  <c r="U307" i="16" s="1"/>
  <c r="L307" i="16"/>
  <c r="W307" i="16" s="1"/>
  <c r="J308" i="16"/>
  <c r="U308" i="16" s="1"/>
  <c r="L308" i="16"/>
  <c r="W308" i="16" s="1"/>
  <c r="J309" i="16"/>
  <c r="U309" i="16" s="1"/>
  <c r="K309" i="16"/>
  <c r="V309" i="16" s="1"/>
  <c r="L309" i="16"/>
  <c r="W309" i="16" s="1"/>
  <c r="K310" i="16"/>
  <c r="V310" i="16" s="1"/>
  <c r="L310" i="16"/>
  <c r="W310" i="16" s="1"/>
  <c r="J311" i="16"/>
  <c r="U311" i="16" s="1"/>
  <c r="L311" i="16"/>
  <c r="W311" i="16" s="1"/>
  <c r="J312" i="16"/>
  <c r="U312" i="16" s="1"/>
  <c r="K312" i="16"/>
  <c r="V312" i="16" s="1"/>
  <c r="L312" i="16"/>
  <c r="W312" i="16" s="1"/>
  <c r="J313" i="16"/>
  <c r="U313" i="16" s="1"/>
  <c r="L313" i="16"/>
  <c r="W313" i="16" s="1"/>
  <c r="K314" i="16"/>
  <c r="V314" i="16" s="1"/>
  <c r="L314" i="16"/>
  <c r="W314" i="16" s="1"/>
  <c r="K315" i="16"/>
  <c r="V315" i="16" s="1"/>
  <c r="L315" i="16"/>
  <c r="W315" i="16" s="1"/>
  <c r="J316" i="16"/>
  <c r="U316" i="16" s="1"/>
  <c r="K316" i="16"/>
  <c r="V316" i="16" s="1"/>
  <c r="L316" i="16"/>
  <c r="W316" i="16" s="1"/>
  <c r="K317" i="16"/>
  <c r="V317" i="16" s="1"/>
  <c r="L317" i="16"/>
  <c r="W317" i="16" s="1"/>
  <c r="K318" i="16"/>
  <c r="V318" i="16" s="1"/>
  <c r="L318" i="16"/>
  <c r="W318" i="16" s="1"/>
  <c r="L319" i="16"/>
  <c r="W319" i="16" s="1"/>
  <c r="L320" i="16"/>
  <c r="W320" i="16" s="1"/>
  <c r="K321" i="16"/>
  <c r="V321" i="16" s="1"/>
  <c r="L321" i="16"/>
  <c r="W321" i="16" s="1"/>
  <c r="K322" i="16"/>
  <c r="V322" i="16" s="1"/>
  <c r="L322" i="16"/>
  <c r="W322" i="16" s="1"/>
  <c r="K323" i="16"/>
  <c r="V323" i="16" s="1"/>
  <c r="L323" i="16"/>
  <c r="W323" i="16" s="1"/>
  <c r="J324" i="16"/>
  <c r="U324" i="16" s="1"/>
  <c r="K324" i="16"/>
  <c r="V324" i="16" s="1"/>
  <c r="L324" i="16"/>
  <c r="W324" i="16" s="1"/>
  <c r="K325" i="16"/>
  <c r="V325" i="16" s="1"/>
  <c r="L325" i="16"/>
  <c r="W325" i="16" s="1"/>
  <c r="K326" i="16"/>
  <c r="V326" i="16" s="1"/>
  <c r="L326" i="16"/>
  <c r="W326" i="16" s="1"/>
  <c r="J327" i="16"/>
  <c r="U327" i="16" s="1"/>
  <c r="L327" i="16"/>
  <c r="W327" i="16" s="1"/>
  <c r="J328" i="16"/>
  <c r="U328" i="16" s="1"/>
  <c r="L328" i="16"/>
  <c r="W328" i="16" s="1"/>
  <c r="J329" i="16"/>
  <c r="U329" i="16" s="1"/>
  <c r="K329" i="16"/>
  <c r="V329" i="16" s="1"/>
  <c r="L329" i="16"/>
  <c r="W329" i="16" s="1"/>
  <c r="J330" i="16"/>
  <c r="U330" i="16" s="1"/>
  <c r="K330" i="16"/>
  <c r="V330" i="16" s="1"/>
  <c r="L330" i="16"/>
  <c r="W330" i="16" s="1"/>
  <c r="J331" i="16"/>
  <c r="U331" i="16" s="1"/>
  <c r="K331" i="16"/>
  <c r="V331" i="16" s="1"/>
  <c r="L331" i="16"/>
  <c r="W331" i="16" s="1"/>
  <c r="J332" i="16"/>
  <c r="U332" i="16" s="1"/>
  <c r="K332" i="16"/>
  <c r="V332" i="16" s="1"/>
  <c r="L332" i="16"/>
  <c r="W332" i="16" s="1"/>
  <c r="J333" i="16"/>
  <c r="U333" i="16" s="1"/>
  <c r="K333" i="16"/>
  <c r="V333" i="16" s="1"/>
  <c r="L333" i="16"/>
  <c r="W333" i="16" s="1"/>
  <c r="J334" i="16"/>
  <c r="U334" i="16" s="1"/>
  <c r="K334" i="16"/>
  <c r="V334" i="16" s="1"/>
  <c r="L334" i="16"/>
  <c r="W334" i="16" s="1"/>
  <c r="J335" i="16"/>
  <c r="U335" i="16" s="1"/>
  <c r="K335" i="16"/>
  <c r="V335" i="16" s="1"/>
  <c r="L335" i="16"/>
  <c r="W335" i="16" s="1"/>
  <c r="J336" i="16"/>
  <c r="U336" i="16" s="1"/>
  <c r="K336" i="16"/>
  <c r="V336" i="16" s="1"/>
  <c r="L336" i="16"/>
  <c r="W336" i="16" s="1"/>
  <c r="J337" i="16"/>
  <c r="U337" i="16" s="1"/>
  <c r="K337" i="16"/>
  <c r="V337" i="16" s="1"/>
  <c r="L337" i="16"/>
  <c r="W337" i="16" s="1"/>
  <c r="J338" i="16"/>
  <c r="U338" i="16" s="1"/>
  <c r="K338" i="16"/>
  <c r="V338" i="16" s="1"/>
  <c r="L338" i="16"/>
  <c r="W338" i="16" s="1"/>
  <c r="J339" i="16"/>
  <c r="U339" i="16" s="1"/>
  <c r="K339" i="16"/>
  <c r="V339" i="16" s="1"/>
  <c r="L339" i="16"/>
  <c r="W339" i="16" s="1"/>
  <c r="J340" i="16"/>
  <c r="U340" i="16" s="1"/>
  <c r="K340" i="16"/>
  <c r="V340" i="16" s="1"/>
  <c r="L340" i="16"/>
  <c r="W340" i="16" s="1"/>
  <c r="J341" i="16"/>
  <c r="U341" i="16" s="1"/>
  <c r="K341" i="16"/>
  <c r="V341" i="16" s="1"/>
  <c r="L341" i="16"/>
  <c r="W341" i="16" s="1"/>
  <c r="J342" i="16"/>
  <c r="U342" i="16" s="1"/>
  <c r="K342" i="16"/>
  <c r="V342" i="16" s="1"/>
  <c r="L342" i="16"/>
  <c r="W342" i="16" s="1"/>
  <c r="J343" i="16"/>
  <c r="U343" i="16" s="1"/>
  <c r="K343" i="16"/>
  <c r="V343" i="16" s="1"/>
  <c r="L343" i="16"/>
  <c r="W343" i="16" s="1"/>
  <c r="J344" i="16"/>
  <c r="U344" i="16" s="1"/>
  <c r="K344" i="16"/>
  <c r="V344" i="16" s="1"/>
  <c r="L344" i="16"/>
  <c r="W344" i="16" s="1"/>
  <c r="J345" i="16"/>
  <c r="U345" i="16" s="1"/>
  <c r="K345" i="16"/>
  <c r="V345" i="16" s="1"/>
  <c r="L345" i="16"/>
  <c r="W345" i="16" s="1"/>
  <c r="J346" i="16"/>
  <c r="U346" i="16" s="1"/>
  <c r="K346" i="16"/>
  <c r="V346" i="16" s="1"/>
  <c r="L346" i="16"/>
  <c r="W346" i="16" s="1"/>
  <c r="J347" i="16"/>
  <c r="U347" i="16" s="1"/>
  <c r="K347" i="16"/>
  <c r="V347" i="16" s="1"/>
  <c r="L347" i="16"/>
  <c r="W347" i="16" s="1"/>
  <c r="J348" i="16"/>
  <c r="U348" i="16" s="1"/>
  <c r="K348" i="16"/>
  <c r="V348" i="16" s="1"/>
  <c r="L348" i="16"/>
  <c r="W348" i="16" s="1"/>
  <c r="J349" i="16"/>
  <c r="U349" i="16" s="1"/>
  <c r="K349" i="16"/>
  <c r="V349" i="16" s="1"/>
  <c r="L349" i="16"/>
  <c r="W349" i="16" s="1"/>
  <c r="J350" i="16"/>
  <c r="U350" i="16" s="1"/>
  <c r="K350" i="16"/>
  <c r="V350" i="16" s="1"/>
  <c r="L350" i="16"/>
  <c r="W350" i="16" s="1"/>
  <c r="J351" i="16"/>
  <c r="U351" i="16" s="1"/>
  <c r="K351" i="16"/>
  <c r="V351" i="16" s="1"/>
  <c r="L351" i="16"/>
  <c r="W351" i="16" s="1"/>
  <c r="J352" i="16"/>
  <c r="U352" i="16" s="1"/>
  <c r="K352" i="16"/>
  <c r="V352" i="16" s="1"/>
  <c r="L352" i="16"/>
  <c r="W352" i="16" s="1"/>
  <c r="J353" i="16"/>
  <c r="U353" i="16" s="1"/>
  <c r="K353" i="16"/>
  <c r="V353" i="16" s="1"/>
  <c r="L353" i="16"/>
  <c r="W353" i="16" s="1"/>
  <c r="J259" i="16"/>
  <c r="U259" i="16" s="1"/>
  <c r="K259" i="16"/>
  <c r="V259" i="16" s="1"/>
  <c r="L259" i="16"/>
  <c r="W259" i="16" s="1"/>
  <c r="J260" i="16"/>
  <c r="U260" i="16" s="1"/>
  <c r="K260" i="16"/>
  <c r="V260" i="16" s="1"/>
  <c r="L260" i="16"/>
  <c r="W260" i="16" s="1"/>
  <c r="J261" i="16"/>
  <c r="U261" i="16" s="1"/>
  <c r="K261" i="16"/>
  <c r="V261" i="16" s="1"/>
  <c r="L261" i="16"/>
  <c r="W261" i="16" s="1"/>
  <c r="J262" i="16"/>
  <c r="U262" i="16" s="1"/>
  <c r="K262" i="16"/>
  <c r="V262" i="16" s="1"/>
  <c r="L262" i="16"/>
  <c r="W262" i="16" s="1"/>
  <c r="J263" i="16"/>
  <c r="U263" i="16" s="1"/>
  <c r="K263" i="16"/>
  <c r="V263" i="16" s="1"/>
  <c r="L263" i="16"/>
  <c r="W263" i="16" s="1"/>
  <c r="J264" i="16"/>
  <c r="U264" i="16" s="1"/>
  <c r="K264" i="16"/>
  <c r="V264" i="16" s="1"/>
  <c r="L264" i="16"/>
  <c r="W264" i="16" s="1"/>
  <c r="J265" i="16"/>
  <c r="U265" i="16" s="1"/>
  <c r="K265" i="16"/>
  <c r="V265" i="16" s="1"/>
  <c r="L265" i="16"/>
  <c r="W265" i="16" s="1"/>
  <c r="J266" i="16"/>
  <c r="U266" i="16" s="1"/>
  <c r="K266" i="16"/>
  <c r="V266" i="16" s="1"/>
  <c r="L266" i="16"/>
  <c r="W266" i="16" s="1"/>
  <c r="J267" i="16"/>
  <c r="U267" i="16" s="1"/>
  <c r="K267" i="16"/>
  <c r="V267" i="16" s="1"/>
  <c r="L267" i="16"/>
  <c r="W267" i="16" s="1"/>
  <c r="J268" i="16"/>
  <c r="U268" i="16" s="1"/>
  <c r="K268" i="16"/>
  <c r="V268" i="16" s="1"/>
  <c r="L268" i="16"/>
  <c r="W268" i="16" s="1"/>
  <c r="J269" i="16"/>
  <c r="U269" i="16" s="1"/>
  <c r="K269" i="16"/>
  <c r="V269" i="16" s="1"/>
  <c r="L269" i="16"/>
  <c r="W269" i="16" s="1"/>
  <c r="J270" i="16"/>
  <c r="U270" i="16" s="1"/>
  <c r="K270" i="16"/>
  <c r="V270" i="16" s="1"/>
  <c r="L270" i="16"/>
  <c r="W270" i="16" s="1"/>
  <c r="J221" i="16"/>
  <c r="U221" i="16" s="1"/>
  <c r="K221" i="16"/>
  <c r="V221" i="16" s="1"/>
  <c r="L221" i="16"/>
  <c r="W221" i="16" s="1"/>
  <c r="J222" i="16"/>
  <c r="K222" i="16"/>
  <c r="L222" i="16"/>
  <c r="W222" i="16" s="1"/>
  <c r="J223" i="16"/>
  <c r="K223" i="16"/>
  <c r="L223" i="16"/>
  <c r="W223" i="16" s="1"/>
  <c r="J224" i="16"/>
  <c r="U224" i="16" s="1"/>
  <c r="K224" i="16"/>
  <c r="V224" i="16" s="1"/>
  <c r="L224" i="16"/>
  <c r="W224" i="16" s="1"/>
  <c r="J225" i="16"/>
  <c r="K225" i="16"/>
  <c r="V225" i="16" s="1"/>
  <c r="L225" i="16"/>
  <c r="W225" i="16" s="1"/>
  <c r="J226" i="16"/>
  <c r="U226" i="16" s="1"/>
  <c r="K226" i="16"/>
  <c r="V226" i="16" s="1"/>
  <c r="L226" i="16"/>
  <c r="W226" i="16" s="1"/>
  <c r="J227" i="16"/>
  <c r="U227" i="16" s="1"/>
  <c r="K227" i="16"/>
  <c r="V227" i="16" s="1"/>
  <c r="L227" i="16"/>
  <c r="W227" i="16" s="1"/>
  <c r="J228" i="16"/>
  <c r="U228" i="16" s="1"/>
  <c r="K228" i="16"/>
  <c r="V228" i="16" s="1"/>
  <c r="L228" i="16"/>
  <c r="W228" i="16" s="1"/>
  <c r="J229" i="16"/>
  <c r="U229" i="16" s="1"/>
  <c r="K229" i="16"/>
  <c r="V229" i="16" s="1"/>
  <c r="L229" i="16"/>
  <c r="W229" i="16" s="1"/>
  <c r="J230" i="16"/>
  <c r="U230" i="16" s="1"/>
  <c r="K230" i="16"/>
  <c r="V230" i="16" s="1"/>
  <c r="L230" i="16"/>
  <c r="W230" i="16" s="1"/>
  <c r="J231" i="16"/>
  <c r="U231" i="16" s="1"/>
  <c r="K231" i="16"/>
  <c r="V231" i="16" s="1"/>
  <c r="L231" i="16"/>
  <c r="W231" i="16" s="1"/>
  <c r="J232" i="16"/>
  <c r="U232" i="16" s="1"/>
  <c r="K232" i="16"/>
  <c r="V232" i="16" s="1"/>
  <c r="L232" i="16"/>
  <c r="W232" i="16" s="1"/>
  <c r="J214" i="16"/>
  <c r="U214" i="16" s="1"/>
  <c r="K214" i="16"/>
  <c r="V214" i="16" s="1"/>
  <c r="L214" i="16"/>
  <c r="W214" i="16" s="1"/>
  <c r="J215" i="16"/>
  <c r="U215" i="16" s="1"/>
  <c r="K215" i="16"/>
  <c r="V215" i="16" s="1"/>
  <c r="L215" i="16"/>
  <c r="W215" i="16" s="1"/>
  <c r="J216" i="16"/>
  <c r="U216" i="16" s="1"/>
  <c r="K216" i="16"/>
  <c r="V216" i="16" s="1"/>
  <c r="L216" i="16"/>
  <c r="W216" i="16" s="1"/>
  <c r="J207" i="16"/>
  <c r="U207" i="16" s="1"/>
  <c r="K207" i="16"/>
  <c r="V207" i="16" s="1"/>
  <c r="L207" i="16"/>
  <c r="W207" i="16" s="1"/>
  <c r="J208" i="16"/>
  <c r="U208" i="16" s="1"/>
  <c r="K208" i="16"/>
  <c r="V208" i="16" s="1"/>
  <c r="L208" i="16"/>
  <c r="W208" i="16" s="1"/>
  <c r="J209" i="16"/>
  <c r="U209" i="16" s="1"/>
  <c r="K209" i="16"/>
  <c r="V209" i="16" s="1"/>
  <c r="L209" i="16"/>
  <c r="W209" i="16" s="1"/>
  <c r="J200" i="16"/>
  <c r="U200" i="16" s="1"/>
  <c r="K200" i="16"/>
  <c r="V200" i="16" s="1"/>
  <c r="L200" i="16"/>
  <c r="W200" i="16" s="1"/>
  <c r="J201" i="16"/>
  <c r="U201" i="16" s="1"/>
  <c r="K201" i="16"/>
  <c r="V201" i="16" s="1"/>
  <c r="L201" i="16"/>
  <c r="W201" i="16" s="1"/>
  <c r="J202" i="16"/>
  <c r="U202" i="16" s="1"/>
  <c r="K202" i="16"/>
  <c r="V202" i="16" s="1"/>
  <c r="L202" i="16"/>
  <c r="W202" i="16" s="1"/>
  <c r="J193" i="16"/>
  <c r="U193" i="16" s="1"/>
  <c r="K193" i="16"/>
  <c r="V193" i="16" s="1"/>
  <c r="L193" i="16"/>
  <c r="W193" i="16" s="1"/>
  <c r="J194" i="16"/>
  <c r="U194" i="16" s="1"/>
  <c r="K194" i="16"/>
  <c r="V194" i="16" s="1"/>
  <c r="L194" i="16"/>
  <c r="W194" i="16" s="1"/>
  <c r="J195" i="16"/>
  <c r="U195" i="16" s="1"/>
  <c r="K195" i="16"/>
  <c r="V195" i="16" s="1"/>
  <c r="L195" i="16"/>
  <c r="W195" i="16" s="1"/>
  <c r="J186" i="16"/>
  <c r="U186" i="16" s="1"/>
  <c r="K186" i="16"/>
  <c r="V186" i="16" s="1"/>
  <c r="L186" i="16"/>
  <c r="W186" i="16" s="1"/>
  <c r="J187" i="16"/>
  <c r="U187" i="16" s="1"/>
  <c r="K187" i="16"/>
  <c r="V187" i="16" s="1"/>
  <c r="L187" i="16"/>
  <c r="W187" i="16" s="1"/>
  <c r="J188" i="16"/>
  <c r="U188" i="16" s="1"/>
  <c r="K188" i="16"/>
  <c r="V188" i="16" s="1"/>
  <c r="L188" i="16"/>
  <c r="W188" i="16" s="1"/>
  <c r="J165" i="16"/>
  <c r="U165" i="16" s="1"/>
  <c r="K165" i="16"/>
  <c r="V165" i="16" s="1"/>
  <c r="L165" i="16"/>
  <c r="W165" i="16" s="1"/>
  <c r="J166" i="16"/>
  <c r="U166" i="16" s="1"/>
  <c r="K166" i="16"/>
  <c r="V166" i="16" s="1"/>
  <c r="L166" i="16"/>
  <c r="W166" i="16" s="1"/>
  <c r="J167" i="16"/>
  <c r="U167" i="16" s="1"/>
  <c r="K167" i="16"/>
  <c r="V167" i="16" s="1"/>
  <c r="L167" i="16"/>
  <c r="W167" i="16" s="1"/>
  <c r="L153" i="16"/>
  <c r="W153" i="16" s="1"/>
  <c r="K154" i="16"/>
  <c r="V154" i="16" s="1"/>
  <c r="L154" i="16"/>
  <c r="W154" i="16" s="1"/>
  <c r="K155" i="16"/>
  <c r="V155" i="16" s="1"/>
  <c r="K156" i="16"/>
  <c r="V156" i="16" s="1"/>
  <c r="L156" i="16"/>
  <c r="W156" i="16" s="1"/>
  <c r="J157" i="16"/>
  <c r="U157" i="16" s="1"/>
  <c r="K157" i="16"/>
  <c r="V157" i="16" s="1"/>
  <c r="L157" i="16"/>
  <c r="W157" i="16" s="1"/>
  <c r="J158" i="16"/>
  <c r="U158" i="16" s="1"/>
  <c r="K158" i="16"/>
  <c r="V158" i="16" s="1"/>
  <c r="L158" i="16"/>
  <c r="W158" i="16" s="1"/>
  <c r="J159" i="16"/>
  <c r="U159" i="16" s="1"/>
  <c r="K159" i="16"/>
  <c r="V159" i="16" s="1"/>
  <c r="L159" i="16"/>
  <c r="W159" i="16" s="1"/>
  <c r="J160" i="16"/>
  <c r="U160" i="16" s="1"/>
  <c r="K160" i="16"/>
  <c r="V160" i="16" s="1"/>
  <c r="L160" i="16"/>
  <c r="W160" i="16" s="1"/>
  <c r="J146" i="16"/>
  <c r="U146" i="16" s="1"/>
  <c r="K146" i="16"/>
  <c r="V146" i="16" s="1"/>
  <c r="L146" i="16"/>
  <c r="W146" i="16" s="1"/>
  <c r="J147" i="16"/>
  <c r="U147" i="16" s="1"/>
  <c r="K147" i="16"/>
  <c r="V147" i="16" s="1"/>
  <c r="L147" i="16"/>
  <c r="W147" i="16" s="1"/>
  <c r="J148" i="16"/>
  <c r="U148" i="16" s="1"/>
  <c r="K148" i="16"/>
  <c r="V148" i="16" s="1"/>
  <c r="L148" i="16"/>
  <c r="W148" i="16" s="1"/>
  <c r="J98" i="16"/>
  <c r="U98" i="16" s="1"/>
  <c r="K98" i="16"/>
  <c r="V98" i="16" s="1"/>
  <c r="L98" i="16"/>
  <c r="W98" i="16" s="1"/>
  <c r="J99" i="16"/>
  <c r="U99" i="16" s="1"/>
  <c r="K99" i="16"/>
  <c r="V99" i="16" s="1"/>
  <c r="L99" i="16"/>
  <c r="W99" i="16" s="1"/>
  <c r="J100" i="16"/>
  <c r="U100" i="16" s="1"/>
  <c r="K100" i="16"/>
  <c r="V100" i="16" s="1"/>
  <c r="L100" i="16"/>
  <c r="W100" i="16" s="1"/>
  <c r="G468" i="16"/>
  <c r="V223" i="16" l="1"/>
  <c r="U225" i="16"/>
  <c r="U223" i="16"/>
  <c r="V222" i="16"/>
  <c r="U222" i="16"/>
  <c r="T4" i="16"/>
  <c r="L242" i="16" l="1"/>
  <c r="W242" i="16" s="1"/>
  <c r="B136" i="16" l="1"/>
  <c r="B358" i="16" l="1"/>
  <c r="B359" i="16"/>
  <c r="B360" i="16"/>
  <c r="B361" i="16"/>
  <c r="B357" i="16"/>
  <c r="B356" i="16"/>
  <c r="A356" i="16"/>
  <c r="J358" i="16"/>
  <c r="U358" i="16" s="1"/>
  <c r="K358" i="16"/>
  <c r="V358" i="16" s="1"/>
  <c r="L358" i="16"/>
  <c r="W358" i="16" s="1"/>
  <c r="J359" i="16"/>
  <c r="U359" i="16" s="1"/>
  <c r="K359" i="16"/>
  <c r="V359" i="16" s="1"/>
  <c r="L359" i="16"/>
  <c r="W359" i="16" s="1"/>
  <c r="J360" i="16"/>
  <c r="U360" i="16" s="1"/>
  <c r="K360" i="16"/>
  <c r="V360" i="16" s="1"/>
  <c r="L360" i="16"/>
  <c r="W360" i="16" s="1"/>
  <c r="J361" i="16"/>
  <c r="U361" i="16" s="1"/>
  <c r="K361" i="16"/>
  <c r="V361" i="16" s="1"/>
  <c r="L361" i="16"/>
  <c r="W361" i="16" s="1"/>
  <c r="H362" i="16"/>
  <c r="L362" i="16" s="1"/>
  <c r="G362" i="16"/>
  <c r="R90" i="7" s="1"/>
  <c r="X90" i="7" s="1"/>
  <c r="F362" i="16"/>
  <c r="J362" i="16" s="1"/>
  <c r="L357" i="16"/>
  <c r="W357" i="16" s="1"/>
  <c r="K357" i="16"/>
  <c r="V357" i="16" s="1"/>
  <c r="J357" i="16"/>
  <c r="U357" i="16" s="1"/>
  <c r="L356" i="16"/>
  <c r="K356" i="16"/>
  <c r="J356" i="16"/>
  <c r="A365" i="16"/>
  <c r="B365" i="16"/>
  <c r="J365" i="16"/>
  <c r="K365" i="16"/>
  <c r="L365" i="16"/>
  <c r="B366" i="16"/>
  <c r="G366" i="16"/>
  <c r="T366" i="16" s="1"/>
  <c r="J366" i="16"/>
  <c r="U366" i="16" s="1"/>
  <c r="L366" i="16"/>
  <c r="W366" i="16" s="1"/>
  <c r="B367" i="16"/>
  <c r="G367" i="16"/>
  <c r="T367" i="16" s="1"/>
  <c r="J367" i="16"/>
  <c r="U367" i="16" s="1"/>
  <c r="L367" i="16"/>
  <c r="W367" i="16" s="1"/>
  <c r="B368" i="16"/>
  <c r="G368" i="16"/>
  <c r="T368" i="16" s="1"/>
  <c r="J368" i="16"/>
  <c r="U368" i="16" s="1"/>
  <c r="L368" i="16"/>
  <c r="W368" i="16" s="1"/>
  <c r="B369" i="16"/>
  <c r="G369" i="16"/>
  <c r="K369" i="16" s="1"/>
  <c r="V369" i="16" s="1"/>
  <c r="J369" i="16"/>
  <c r="U369" i="16" s="1"/>
  <c r="L369" i="16"/>
  <c r="W369" i="16" s="1"/>
  <c r="H90" i="7"/>
  <c r="N5" i="17"/>
  <c r="O5" i="17"/>
  <c r="P90" i="7"/>
  <c r="V90" i="7"/>
  <c r="N110" i="7"/>
  <c r="U356" i="16" l="1"/>
  <c r="V356" i="16"/>
  <c r="W356" i="16"/>
  <c r="U365" i="16"/>
  <c r="V365" i="16"/>
  <c r="W365" i="16"/>
  <c r="K366" i="16"/>
  <c r="V366" i="16" s="1"/>
  <c r="K368" i="16"/>
  <c r="V368" i="16" s="1"/>
  <c r="K367" i="16"/>
  <c r="V367" i="16" s="1"/>
  <c r="Q90" i="7"/>
  <c r="W90" i="7" s="1"/>
  <c r="K362" i="16"/>
  <c r="S90" i="7"/>
  <c r="Y90" i="7" s="1"/>
  <c r="P118" i="7"/>
  <c r="T118" i="7" s="1"/>
  <c r="Z118" i="7" s="1"/>
  <c r="V118" i="7"/>
  <c r="T90" i="7" l="1"/>
  <c r="Z90" i="7" s="1"/>
  <c r="J773" i="16" l="1"/>
  <c r="U773" i="16" s="1"/>
  <c r="K773" i="16"/>
  <c r="V773" i="16" s="1"/>
  <c r="L773" i="16"/>
  <c r="W773" i="16" s="1"/>
  <c r="B773" i="16"/>
  <c r="H430" i="16"/>
  <c r="B341" i="16"/>
  <c r="B342" i="16"/>
  <c r="B343" i="16"/>
  <c r="B344" i="16"/>
  <c r="B345" i="16"/>
  <c r="B346" i="16"/>
  <c r="B347" i="16"/>
  <c r="B348" i="16"/>
  <c r="B349" i="16"/>
  <c r="B350" i="16"/>
  <c r="P115" i="7" l="1"/>
  <c r="V115" i="7"/>
  <c r="H115" i="7"/>
  <c r="G115" i="7"/>
  <c r="F115" i="7"/>
  <c r="V86" i="7"/>
  <c r="W86" i="7"/>
  <c r="X86" i="7"/>
  <c r="Y86" i="7"/>
  <c r="P86" i="7"/>
  <c r="H86" i="7"/>
  <c r="G86" i="7"/>
  <c r="F86" i="7"/>
  <c r="T115" i="7" l="1"/>
  <c r="Z115" i="7" s="1"/>
  <c r="T86" i="7"/>
  <c r="Z86" i="7" s="1"/>
  <c r="B623" i="16" l="1"/>
  <c r="B624" i="16"/>
  <c r="B625" i="16"/>
  <c r="B626" i="16"/>
  <c r="B135" i="16"/>
  <c r="B141" i="16"/>
  <c r="B756" i="16"/>
  <c r="N93" i="7"/>
  <c r="N91" i="7"/>
  <c r="N106" i="7"/>
  <c r="B754" i="16" l="1"/>
  <c r="G704" i="16" l="1"/>
  <c r="G699" i="16"/>
  <c r="G683" i="16"/>
  <c r="G649" i="16"/>
  <c r="F710" i="16"/>
  <c r="F704" i="16"/>
  <c r="F695" i="16"/>
  <c r="F683" i="16"/>
  <c r="G298" i="16"/>
  <c r="K298" i="16" s="1"/>
  <c r="V298" i="16" s="1"/>
  <c r="F772" i="16"/>
  <c r="T772" i="16" s="1"/>
  <c r="B753" i="16"/>
  <c r="F750" i="16"/>
  <c r="T750" i="16" s="1"/>
  <c r="T683" i="16" l="1"/>
  <c r="J683" i="16"/>
  <c r="U683" i="16" s="1"/>
  <c r="K649" i="16"/>
  <c r="V649" i="16" s="1"/>
  <c r="T649" i="16"/>
  <c r="T695" i="16"/>
  <c r="J695" i="16"/>
  <c r="U695" i="16" s="1"/>
  <c r="K683" i="16"/>
  <c r="V683" i="16" s="1"/>
  <c r="T704" i="16"/>
  <c r="J704" i="16"/>
  <c r="U704" i="16" s="1"/>
  <c r="T699" i="16"/>
  <c r="K699" i="16"/>
  <c r="V699" i="16" s="1"/>
  <c r="J710" i="16"/>
  <c r="U710" i="16" s="1"/>
  <c r="K704" i="16"/>
  <c r="V704" i="16" s="1"/>
  <c r="H545" i="16"/>
  <c r="G532" i="16"/>
  <c r="F531" i="16"/>
  <c r="T531" i="16" s="1"/>
  <c r="F517" i="16"/>
  <c r="T517" i="16" s="1"/>
  <c r="F516" i="16"/>
  <c r="T516" i="16" s="1"/>
  <c r="H470" i="16"/>
  <c r="H485" i="16" s="1"/>
  <c r="H455" i="16"/>
  <c r="H454" i="16"/>
  <c r="H458" i="16"/>
  <c r="J429" i="16"/>
  <c r="U429" i="16" s="1"/>
  <c r="K429" i="16"/>
  <c r="V429" i="16" s="1"/>
  <c r="L429" i="16"/>
  <c r="W429" i="16" s="1"/>
  <c r="J430" i="16"/>
  <c r="U430" i="16" s="1"/>
  <c r="K430" i="16"/>
  <c r="V430" i="16" s="1"/>
  <c r="J431" i="16"/>
  <c r="U431" i="16" s="1"/>
  <c r="K431" i="16"/>
  <c r="V431" i="16" s="1"/>
  <c r="L431" i="16"/>
  <c r="W431" i="16" s="1"/>
  <c r="J432" i="16"/>
  <c r="U432" i="16" s="1"/>
  <c r="K432" i="16"/>
  <c r="V432" i="16" s="1"/>
  <c r="L432" i="16"/>
  <c r="W432" i="16" s="1"/>
  <c r="J433" i="16"/>
  <c r="U433" i="16" s="1"/>
  <c r="K433" i="16"/>
  <c r="V433" i="16" s="1"/>
  <c r="L433" i="16"/>
  <c r="W433" i="16" s="1"/>
  <c r="G178" i="16" l="1"/>
  <c r="F176" i="16"/>
  <c r="G74" i="16"/>
  <c r="F39" i="16"/>
  <c r="F37" i="16"/>
  <c r="K74" i="16" l="1"/>
  <c r="V74" i="16" s="1"/>
  <c r="J176" i="16"/>
  <c r="U176" i="16" s="1"/>
  <c r="T176" i="16"/>
  <c r="J39" i="16"/>
  <c r="U39" i="16" s="1"/>
  <c r="T39" i="16"/>
  <c r="J37" i="16"/>
  <c r="U37" i="16" s="1"/>
  <c r="K178" i="16"/>
  <c r="V178" i="16" s="1"/>
  <c r="B757" i="16"/>
  <c r="F76" i="16" l="1"/>
  <c r="J76" i="16" l="1"/>
  <c r="U76" i="16" s="1"/>
  <c r="B755" i="16"/>
  <c r="B695" i="16" l="1"/>
  <c r="T717" i="16" l="1"/>
  <c r="G280" i="16" l="1"/>
  <c r="T280" i="16" s="1"/>
  <c r="K280" i="16" l="1"/>
  <c r="V280" i="16" s="1"/>
  <c r="K546" i="16"/>
  <c r="V546" i="16" s="1"/>
  <c r="L546" i="16"/>
  <c r="W546" i="16" s="1"/>
  <c r="J547" i="16"/>
  <c r="U547" i="16" s="1"/>
  <c r="L547" i="16"/>
  <c r="W547" i="16" s="1"/>
  <c r="J548" i="16"/>
  <c r="U548" i="16" s="1"/>
  <c r="K548" i="16"/>
  <c r="V548" i="16" s="1"/>
  <c r="L548" i="16"/>
  <c r="W548" i="16" s="1"/>
  <c r="K549" i="16"/>
  <c r="V549" i="16" s="1"/>
  <c r="L549" i="16"/>
  <c r="W549" i="16" s="1"/>
  <c r="J550" i="16"/>
  <c r="U550" i="16" s="1"/>
  <c r="K550" i="16"/>
  <c r="V550" i="16" s="1"/>
  <c r="L550" i="16"/>
  <c r="W550" i="16" s="1"/>
  <c r="J551" i="16"/>
  <c r="U551" i="16" s="1"/>
  <c r="K551" i="16"/>
  <c r="V551" i="16" s="1"/>
  <c r="L551" i="16"/>
  <c r="W551" i="16" s="1"/>
  <c r="J552" i="16"/>
  <c r="U552" i="16" s="1"/>
  <c r="K552" i="16"/>
  <c r="V552" i="16" s="1"/>
  <c r="L552" i="16"/>
  <c r="W552" i="16" s="1"/>
  <c r="J553" i="16"/>
  <c r="U553" i="16" s="1"/>
  <c r="K553" i="16"/>
  <c r="V553" i="16" s="1"/>
  <c r="L553" i="16"/>
  <c r="W553" i="16" s="1"/>
  <c r="J554" i="16"/>
  <c r="U554" i="16" s="1"/>
  <c r="K554" i="16"/>
  <c r="V554" i="16" s="1"/>
  <c r="L554" i="16"/>
  <c r="W554" i="16" s="1"/>
  <c r="J555" i="16"/>
  <c r="U555" i="16" s="1"/>
  <c r="K555" i="16"/>
  <c r="V555" i="16" s="1"/>
  <c r="L555" i="16"/>
  <c r="W555" i="16" s="1"/>
  <c r="J556" i="16"/>
  <c r="U556" i="16" s="1"/>
  <c r="K556" i="16"/>
  <c r="V556" i="16" s="1"/>
  <c r="L556" i="16"/>
  <c r="W556" i="16" s="1"/>
  <c r="J557" i="16"/>
  <c r="U557" i="16" s="1"/>
  <c r="K557" i="16"/>
  <c r="V557" i="16" s="1"/>
  <c r="L557" i="16"/>
  <c r="W557" i="16" s="1"/>
  <c r="J558" i="16"/>
  <c r="U558" i="16" s="1"/>
  <c r="K558" i="16"/>
  <c r="V558" i="16" s="1"/>
  <c r="L558" i="16"/>
  <c r="W558" i="16" s="1"/>
  <c r="J559" i="16"/>
  <c r="U559" i="16" s="1"/>
  <c r="K559" i="16"/>
  <c r="V559" i="16" s="1"/>
  <c r="L559" i="16"/>
  <c r="W559" i="16" s="1"/>
  <c r="J428" i="16"/>
  <c r="U428" i="16" s="1"/>
  <c r="K428" i="16"/>
  <c r="V428" i="16" s="1"/>
  <c r="L428" i="16"/>
  <c r="W428" i="16" s="1"/>
  <c r="L422" i="16"/>
  <c r="W422" i="16" s="1"/>
  <c r="J423" i="16"/>
  <c r="U423" i="16" s="1"/>
  <c r="K423" i="16"/>
  <c r="V423" i="16" s="1"/>
  <c r="L423" i="16"/>
  <c r="W423" i="16" s="1"/>
  <c r="J424" i="16"/>
  <c r="U424" i="16" s="1"/>
  <c r="K424" i="16"/>
  <c r="V424" i="16" s="1"/>
  <c r="L424" i="16"/>
  <c r="W424" i="16" s="1"/>
  <c r="L414" i="16"/>
  <c r="W414" i="16" s="1"/>
  <c r="J415" i="16"/>
  <c r="U415" i="16" s="1"/>
  <c r="L415" i="16"/>
  <c r="W415" i="16" s="1"/>
  <c r="J370" i="16"/>
  <c r="U370" i="16" s="1"/>
  <c r="L370" i="16"/>
  <c r="W370" i="16" s="1"/>
  <c r="L371" i="16"/>
  <c r="W371" i="16" s="1"/>
  <c r="J372" i="16"/>
  <c r="U372" i="16" s="1"/>
  <c r="L372" i="16"/>
  <c r="W372" i="16" s="1"/>
  <c r="J373" i="16"/>
  <c r="U373" i="16" s="1"/>
  <c r="L373" i="16"/>
  <c r="W373" i="16" s="1"/>
  <c r="J374" i="16"/>
  <c r="U374" i="16" s="1"/>
  <c r="L374" i="16"/>
  <c r="W374" i="16" s="1"/>
  <c r="K375" i="16"/>
  <c r="V375" i="16" s="1"/>
  <c r="L375" i="16"/>
  <c r="W375" i="16" s="1"/>
  <c r="J376" i="16"/>
  <c r="U376" i="16" s="1"/>
  <c r="K376" i="16"/>
  <c r="V376" i="16" s="1"/>
  <c r="L376" i="16"/>
  <c r="W376" i="16" s="1"/>
  <c r="J377" i="16"/>
  <c r="U377" i="16" s="1"/>
  <c r="K377" i="16"/>
  <c r="V377" i="16" s="1"/>
  <c r="L377" i="16"/>
  <c r="W377" i="16" s="1"/>
  <c r="K378" i="16"/>
  <c r="V378" i="16" s="1"/>
  <c r="L378" i="16"/>
  <c r="W378" i="16" s="1"/>
  <c r="J379" i="16"/>
  <c r="U379" i="16" s="1"/>
  <c r="K379" i="16"/>
  <c r="V379" i="16" s="1"/>
  <c r="L379" i="16"/>
  <c r="W379" i="16" s="1"/>
  <c r="J380" i="16"/>
  <c r="U380" i="16" s="1"/>
  <c r="L380" i="16"/>
  <c r="W380" i="16" s="1"/>
  <c r="J381" i="16"/>
  <c r="U381" i="16" s="1"/>
  <c r="K381" i="16"/>
  <c r="V381" i="16" s="1"/>
  <c r="L381" i="16"/>
  <c r="W381" i="16" s="1"/>
  <c r="J382" i="16"/>
  <c r="U382" i="16" s="1"/>
  <c r="K382" i="16"/>
  <c r="V382" i="16" s="1"/>
  <c r="L382" i="16"/>
  <c r="W382" i="16" s="1"/>
  <c r="K383" i="16"/>
  <c r="V383" i="16" s="1"/>
  <c r="L383" i="16"/>
  <c r="W383" i="16" s="1"/>
  <c r="J384" i="16"/>
  <c r="U384" i="16" s="1"/>
  <c r="K384" i="16"/>
  <c r="V384" i="16" s="1"/>
  <c r="L384" i="16"/>
  <c r="W384" i="16" s="1"/>
  <c r="K385" i="16"/>
  <c r="V385" i="16" s="1"/>
  <c r="L385" i="16"/>
  <c r="W385" i="16" s="1"/>
  <c r="J386" i="16"/>
  <c r="U386" i="16" s="1"/>
  <c r="K386" i="16"/>
  <c r="V386" i="16" s="1"/>
  <c r="L386" i="16"/>
  <c r="W386" i="16" s="1"/>
  <c r="K387" i="16"/>
  <c r="V387" i="16" s="1"/>
  <c r="L387" i="16"/>
  <c r="W387" i="16" s="1"/>
  <c r="K388" i="16"/>
  <c r="V388" i="16" s="1"/>
  <c r="L388" i="16"/>
  <c r="W388" i="16" s="1"/>
  <c r="J389" i="16"/>
  <c r="U389" i="16" s="1"/>
  <c r="K389" i="16"/>
  <c r="V389" i="16" s="1"/>
  <c r="L389" i="16"/>
  <c r="W389" i="16" s="1"/>
  <c r="J390" i="16"/>
  <c r="U390" i="16" s="1"/>
  <c r="K390" i="16"/>
  <c r="V390" i="16" s="1"/>
  <c r="L390" i="16"/>
  <c r="W390" i="16" s="1"/>
  <c r="J391" i="16"/>
  <c r="U391" i="16" s="1"/>
  <c r="K391" i="16"/>
  <c r="V391" i="16" s="1"/>
  <c r="L391" i="16"/>
  <c r="W391" i="16" s="1"/>
  <c r="J392" i="16"/>
  <c r="U392" i="16" s="1"/>
  <c r="K392" i="16"/>
  <c r="V392" i="16" s="1"/>
  <c r="L392" i="16"/>
  <c r="W392" i="16" s="1"/>
  <c r="U404" i="16"/>
  <c r="V404" i="16"/>
  <c r="W404" i="16"/>
  <c r="J407" i="16"/>
  <c r="U407" i="16" s="1"/>
  <c r="K407" i="16"/>
  <c r="V407" i="16" s="1"/>
  <c r="L407" i="16"/>
  <c r="W407" i="16" s="1"/>
  <c r="J408" i="16"/>
  <c r="U408" i="16" s="1"/>
  <c r="K408" i="16"/>
  <c r="V408" i="16" s="1"/>
  <c r="J409" i="16"/>
  <c r="U409" i="16" s="1"/>
  <c r="K409" i="16"/>
  <c r="V409" i="16" s="1"/>
  <c r="H52" i="16" l="1"/>
  <c r="G52" i="16"/>
  <c r="T52" i="16" l="1"/>
  <c r="K52" i="16"/>
  <c r="V52" i="16" s="1"/>
  <c r="L52" i="16"/>
  <c r="W52" i="16" s="1"/>
  <c r="B750" i="16"/>
  <c r="G530" i="16"/>
  <c r="F532" i="16"/>
  <c r="T532" i="16" s="1"/>
  <c r="F439" i="16" l="1"/>
  <c r="T439" i="16" s="1"/>
  <c r="G415" i="16"/>
  <c r="T415" i="16" s="1"/>
  <c r="L409" i="16"/>
  <c r="W409" i="16" s="1"/>
  <c r="F388" i="16"/>
  <c r="T388" i="16" s="1"/>
  <c r="F387" i="16"/>
  <c r="J387" i="16" s="1"/>
  <c r="U387" i="16" s="1"/>
  <c r="G313" i="16"/>
  <c r="G320" i="16"/>
  <c r="K320" i="16" s="1"/>
  <c r="V320" i="16" s="1"/>
  <c r="G319" i="16"/>
  <c r="K319" i="16" s="1"/>
  <c r="V319" i="16" s="1"/>
  <c r="G327" i="16"/>
  <c r="G328" i="16"/>
  <c r="F298" i="16"/>
  <c r="F326" i="16"/>
  <c r="T326" i="16" s="1"/>
  <c r="F241" i="16"/>
  <c r="G171" i="16"/>
  <c r="F132" i="16"/>
  <c r="T132" i="16" s="1"/>
  <c r="J298" i="16" l="1"/>
  <c r="U298" i="16" s="1"/>
  <c r="T298" i="16"/>
  <c r="J241" i="16"/>
  <c r="U241" i="16" s="1"/>
  <c r="K328" i="16"/>
  <c r="V328" i="16" s="1"/>
  <c r="T328" i="16"/>
  <c r="K313" i="16"/>
  <c r="V313" i="16" s="1"/>
  <c r="T313" i="16"/>
  <c r="K327" i="16"/>
  <c r="V327" i="16" s="1"/>
  <c r="T327" i="16"/>
  <c r="J388" i="16"/>
  <c r="U388" i="16" s="1"/>
  <c r="J439" i="16"/>
  <c r="U439" i="16" s="1"/>
  <c r="J326" i="16"/>
  <c r="U326" i="16" s="1"/>
  <c r="F142" i="16"/>
  <c r="Q52" i="7" s="1"/>
  <c r="K415" i="16"/>
  <c r="V415" i="16" s="1"/>
  <c r="L430" i="16"/>
  <c r="W430" i="16" s="1"/>
  <c r="H67" i="16"/>
  <c r="G67" i="16"/>
  <c r="F75" i="16"/>
  <c r="T75" i="16" s="1"/>
  <c r="K67" i="16" l="1"/>
  <c r="V67" i="16" s="1"/>
  <c r="L67" i="16"/>
  <c r="W67" i="16" s="1"/>
  <c r="J75" i="16"/>
  <c r="U75" i="16" s="1"/>
  <c r="B709" i="16"/>
  <c r="B710" i="16"/>
  <c r="F452" i="16"/>
  <c r="I127" i="16" l="1"/>
  <c r="J504" i="16" l="1"/>
  <c r="U504" i="16" s="1"/>
  <c r="K504" i="16"/>
  <c r="V504" i="16" s="1"/>
  <c r="L504" i="16"/>
  <c r="W504" i="16" s="1"/>
  <c r="J505" i="16"/>
  <c r="U505" i="16" s="1"/>
  <c r="K505" i="16"/>
  <c r="V505" i="16" s="1"/>
  <c r="L505" i="16"/>
  <c r="W505" i="16" s="1"/>
  <c r="J506" i="16"/>
  <c r="U506" i="16" s="1"/>
  <c r="K506" i="16"/>
  <c r="V506" i="16" s="1"/>
  <c r="L506" i="16"/>
  <c r="W506" i="16" s="1"/>
  <c r="J507" i="16"/>
  <c r="U507" i="16" s="1"/>
  <c r="K507" i="16"/>
  <c r="V507" i="16" s="1"/>
  <c r="L507" i="16"/>
  <c r="W507" i="16" s="1"/>
  <c r="B504" i="16"/>
  <c r="B505" i="16"/>
  <c r="B506" i="16"/>
  <c r="L5" i="16" l="1"/>
  <c r="K5" i="16"/>
  <c r="N76" i="7" l="1"/>
  <c r="N78" i="7"/>
  <c r="N64" i="7" l="1"/>
  <c r="N63" i="7"/>
  <c r="B732" i="16"/>
  <c r="B731" i="16"/>
  <c r="B730" i="16"/>
  <c r="A730" i="16"/>
  <c r="F733" i="16"/>
  <c r="J733" i="16" s="1"/>
  <c r="H733" i="16"/>
  <c r="L733" i="16" s="1"/>
  <c r="L732" i="16"/>
  <c r="W732" i="16" s="1"/>
  <c r="K732" i="16"/>
  <c r="V732" i="16" s="1"/>
  <c r="J732" i="16"/>
  <c r="U732" i="16" s="1"/>
  <c r="L731" i="16"/>
  <c r="W731" i="16" s="1"/>
  <c r="K731" i="16"/>
  <c r="V731" i="16" s="1"/>
  <c r="J731" i="16"/>
  <c r="U731" i="16" s="1"/>
  <c r="L730" i="16"/>
  <c r="K730" i="16"/>
  <c r="J730" i="16"/>
  <c r="P109" i="7"/>
  <c r="V109" i="7"/>
  <c r="N108" i="7"/>
  <c r="H109" i="7"/>
  <c r="G109" i="7"/>
  <c r="F109" i="7"/>
  <c r="U730" i="16" l="1"/>
  <c r="V730" i="16"/>
  <c r="W730" i="16"/>
  <c r="Q109" i="7"/>
  <c r="W109" i="7" s="1"/>
  <c r="S109" i="7"/>
  <c r="Y109" i="7" s="1"/>
  <c r="G733" i="16"/>
  <c r="H112" i="7"/>
  <c r="H113" i="7"/>
  <c r="H114" i="7"/>
  <c r="H116" i="7"/>
  <c r="H117" i="7"/>
  <c r="H111" i="7"/>
  <c r="H102" i="7"/>
  <c r="H103" i="7"/>
  <c r="H104" i="7"/>
  <c r="H105" i="7"/>
  <c r="H106" i="7"/>
  <c r="H107" i="7"/>
  <c r="H108" i="7"/>
  <c r="H110" i="7"/>
  <c r="H101" i="7"/>
  <c r="H98" i="7"/>
  <c r="H97" i="7"/>
  <c r="H96" i="7"/>
  <c r="H95" i="7"/>
  <c r="H91" i="7"/>
  <c r="H87" i="7"/>
  <c r="H85" i="7"/>
  <c r="H84" i="7"/>
  <c r="H83" i="7"/>
  <c r="H79" i="7"/>
  <c r="H78" i="7"/>
  <c r="H77" i="7"/>
  <c r="H76" i="7"/>
  <c r="H73" i="7"/>
  <c r="H72" i="7"/>
  <c r="H69" i="7"/>
  <c r="H68" i="7"/>
  <c r="H67" i="7"/>
  <c r="H66" i="7"/>
  <c r="H65" i="7"/>
  <c r="H61" i="7"/>
  <c r="H58" i="7"/>
  <c r="H57" i="7"/>
  <c r="H54" i="7"/>
  <c r="H53" i="7"/>
  <c r="H52" i="7"/>
  <c r="H51" i="7"/>
  <c r="H48" i="7"/>
  <c r="H45" i="7"/>
  <c r="H41" i="7"/>
  <c r="H38" i="7"/>
  <c r="H37" i="7"/>
  <c r="H28" i="7"/>
  <c r="H20" i="7"/>
  <c r="H17" i="7"/>
  <c r="H16" i="7"/>
  <c r="H13" i="7"/>
  <c r="H7" i="7"/>
  <c r="H6" i="7"/>
  <c r="G117" i="7"/>
  <c r="F117" i="7"/>
  <c r="G116" i="7"/>
  <c r="F116" i="7"/>
  <c r="G114" i="7"/>
  <c r="F114" i="7"/>
  <c r="G113" i="7"/>
  <c r="F113" i="7"/>
  <c r="G112" i="7"/>
  <c r="F112" i="7"/>
  <c r="G111" i="7"/>
  <c r="F111" i="7"/>
  <c r="G110" i="7"/>
  <c r="F110" i="7"/>
  <c r="G108" i="7"/>
  <c r="F108" i="7"/>
  <c r="G107" i="7"/>
  <c r="F107" i="7"/>
  <c r="G106" i="7"/>
  <c r="F106" i="7"/>
  <c r="G105" i="7"/>
  <c r="F105" i="7"/>
  <c r="G104" i="7"/>
  <c r="F104" i="7"/>
  <c r="G103" i="7"/>
  <c r="F103" i="7"/>
  <c r="G102" i="7"/>
  <c r="F102" i="7"/>
  <c r="G101" i="7"/>
  <c r="F101" i="7"/>
  <c r="G98" i="7"/>
  <c r="F98" i="7"/>
  <c r="G97" i="7"/>
  <c r="F97" i="7"/>
  <c r="G96" i="7"/>
  <c r="F96" i="7"/>
  <c r="G95" i="7"/>
  <c r="F95" i="7"/>
  <c r="G91" i="7"/>
  <c r="F91" i="7"/>
  <c r="G87" i="7"/>
  <c r="F87" i="7"/>
  <c r="G85" i="7"/>
  <c r="F85" i="7"/>
  <c r="G84" i="7"/>
  <c r="F84" i="7"/>
  <c r="G83" i="7"/>
  <c r="F83" i="7"/>
  <c r="G79" i="7"/>
  <c r="F79" i="7"/>
  <c r="G78" i="7"/>
  <c r="F78" i="7"/>
  <c r="G77" i="7"/>
  <c r="F77" i="7"/>
  <c r="G76" i="7"/>
  <c r="F76" i="7"/>
  <c r="G73" i="7"/>
  <c r="F73" i="7"/>
  <c r="G72" i="7"/>
  <c r="F72" i="7"/>
  <c r="G69" i="7"/>
  <c r="F69" i="7"/>
  <c r="G68" i="7"/>
  <c r="F68" i="7"/>
  <c r="G67" i="7"/>
  <c r="F67" i="7"/>
  <c r="G66" i="7"/>
  <c r="F66" i="7"/>
  <c r="G65" i="7"/>
  <c r="F65" i="7"/>
  <c r="G61" i="7"/>
  <c r="F61" i="7"/>
  <c r="G58" i="7"/>
  <c r="F58" i="7"/>
  <c r="G57" i="7"/>
  <c r="F57" i="7"/>
  <c r="G54" i="7"/>
  <c r="F54" i="7"/>
  <c r="G53" i="7"/>
  <c r="F53" i="7"/>
  <c r="G52" i="7"/>
  <c r="F52" i="7"/>
  <c r="G51" i="7"/>
  <c r="F51" i="7"/>
  <c r="G48" i="7"/>
  <c r="F48" i="7"/>
  <c r="G45" i="7"/>
  <c r="F45" i="7"/>
  <c r="G41" i="7"/>
  <c r="F41" i="7"/>
  <c r="G38" i="7"/>
  <c r="F38" i="7"/>
  <c r="G37" i="7"/>
  <c r="F37" i="7"/>
  <c r="G28" i="7"/>
  <c r="F28" i="7"/>
  <c r="G20" i="7"/>
  <c r="F20" i="7"/>
  <c r="G17" i="7"/>
  <c r="F17" i="7"/>
  <c r="G16" i="7"/>
  <c r="F16" i="7"/>
  <c r="G13" i="7"/>
  <c r="F13" i="7"/>
  <c r="F7" i="7"/>
  <c r="G7" i="7"/>
  <c r="G8" i="7"/>
  <c r="G9" i="7"/>
  <c r="G10" i="7"/>
  <c r="G6" i="7"/>
  <c r="K733" i="16" l="1"/>
  <c r="R109" i="7"/>
  <c r="F8" i="7"/>
  <c r="F9" i="7"/>
  <c r="F10" i="7"/>
  <c r="F6" i="7"/>
  <c r="F549" i="16"/>
  <c r="T549" i="16" s="1"/>
  <c r="F619" i="16"/>
  <c r="T619" i="16" s="1"/>
  <c r="G539" i="16"/>
  <c r="T539" i="16" s="1"/>
  <c r="F538" i="16"/>
  <c r="T538" i="16" s="1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58" i="16"/>
  <c r="H271" i="16"/>
  <c r="S85" i="7" s="1"/>
  <c r="F271" i="16"/>
  <c r="J271" i="16" s="1"/>
  <c r="L258" i="16"/>
  <c r="W258" i="16" s="1"/>
  <c r="K258" i="16"/>
  <c r="V258" i="16" s="1"/>
  <c r="J258" i="16"/>
  <c r="U258" i="16" s="1"/>
  <c r="L257" i="16"/>
  <c r="K257" i="16"/>
  <c r="J257" i="16"/>
  <c r="B257" i="16"/>
  <c r="A257" i="16"/>
  <c r="B332" i="16"/>
  <c r="B333" i="16"/>
  <c r="B334" i="16"/>
  <c r="B335" i="16"/>
  <c r="B336" i="16"/>
  <c r="B337" i="16"/>
  <c r="B338" i="16"/>
  <c r="B339" i="16"/>
  <c r="B340" i="16"/>
  <c r="B351" i="16"/>
  <c r="B352" i="16"/>
  <c r="B353" i="16"/>
  <c r="U257" i="16" l="1"/>
  <c r="V257" i="16"/>
  <c r="W257" i="16"/>
  <c r="J619" i="16"/>
  <c r="U619" i="16" s="1"/>
  <c r="F542" i="16"/>
  <c r="J549" i="16"/>
  <c r="U549" i="16" s="1"/>
  <c r="T109" i="7"/>
  <c r="Z109" i="7" s="1"/>
  <c r="X109" i="7"/>
  <c r="L271" i="16"/>
  <c r="Q85" i="7"/>
  <c r="G271" i="16"/>
  <c r="B389" i="16"/>
  <c r="B390" i="16"/>
  <c r="B391" i="16"/>
  <c r="B392" i="16"/>
  <c r="J460" i="16"/>
  <c r="U460" i="16" s="1"/>
  <c r="K460" i="16"/>
  <c r="V460" i="16" s="1"/>
  <c r="L460" i="16"/>
  <c r="W460" i="16" s="1"/>
  <c r="J461" i="16"/>
  <c r="U461" i="16" s="1"/>
  <c r="K461" i="16"/>
  <c r="V461" i="16" s="1"/>
  <c r="L461" i="16"/>
  <c r="W461" i="16" s="1"/>
  <c r="J462" i="16"/>
  <c r="U462" i="16" s="1"/>
  <c r="K462" i="16"/>
  <c r="V462" i="16" s="1"/>
  <c r="L462" i="16"/>
  <c r="W462" i="16" s="1"/>
  <c r="J463" i="16"/>
  <c r="K463" i="16"/>
  <c r="V463" i="16" s="1"/>
  <c r="L463" i="16"/>
  <c r="J464" i="16"/>
  <c r="U464" i="16" s="1"/>
  <c r="K464" i="16"/>
  <c r="V464" i="16" s="1"/>
  <c r="L464" i="16"/>
  <c r="W464" i="16" s="1"/>
  <c r="B460" i="16"/>
  <c r="B461" i="16"/>
  <c r="B462" i="16"/>
  <c r="B463" i="16"/>
  <c r="B464" i="16"/>
  <c r="B703" i="16"/>
  <c r="B704" i="16"/>
  <c r="B705" i="16"/>
  <c r="B706" i="16"/>
  <c r="W463" i="16" l="1"/>
  <c r="U463" i="16"/>
  <c r="K271" i="16"/>
  <c r="R85" i="7"/>
  <c r="F385" i="16"/>
  <c r="T385" i="16" s="1"/>
  <c r="G311" i="16"/>
  <c r="B328" i="16"/>
  <c r="B329" i="16"/>
  <c r="B330" i="16"/>
  <c r="B331" i="16"/>
  <c r="F438" i="16"/>
  <c r="T438" i="16" s="1"/>
  <c r="B429" i="16"/>
  <c r="B430" i="16"/>
  <c r="B431" i="16"/>
  <c r="B432" i="16"/>
  <c r="B433" i="16"/>
  <c r="F317" i="16"/>
  <c r="F318" i="16"/>
  <c r="F319" i="16"/>
  <c r="F320" i="16"/>
  <c r="F321" i="16"/>
  <c r="F322" i="16"/>
  <c r="T322" i="16" s="1"/>
  <c r="F323" i="16"/>
  <c r="J323" i="16" s="1"/>
  <c r="U323" i="16" s="1"/>
  <c r="H172" i="16"/>
  <c r="F178" i="16"/>
  <c r="F78" i="16"/>
  <c r="F13" i="16"/>
  <c r="J13" i="16" s="1"/>
  <c r="U13" i="16" s="1"/>
  <c r="B702" i="16"/>
  <c r="B707" i="16"/>
  <c r="B708" i="16"/>
  <c r="B713" i="16"/>
  <c r="J317" i="16" l="1"/>
  <c r="U317" i="16" s="1"/>
  <c r="T317" i="16"/>
  <c r="J318" i="16"/>
  <c r="U318" i="16" s="1"/>
  <c r="T318" i="16"/>
  <c r="K311" i="16"/>
  <c r="V311" i="16" s="1"/>
  <c r="T311" i="16"/>
  <c r="J78" i="16"/>
  <c r="U78" i="16" s="1"/>
  <c r="T78" i="16"/>
  <c r="T178" i="16"/>
  <c r="J178" i="16"/>
  <c r="U178" i="16" s="1"/>
  <c r="J321" i="16"/>
  <c r="U321" i="16" s="1"/>
  <c r="T321" i="16"/>
  <c r="L172" i="16"/>
  <c r="W172" i="16" s="1"/>
  <c r="J320" i="16"/>
  <c r="U320" i="16" s="1"/>
  <c r="T320" i="16"/>
  <c r="J319" i="16"/>
  <c r="U319" i="16" s="1"/>
  <c r="T319" i="16"/>
  <c r="J322" i="16"/>
  <c r="U322" i="16" s="1"/>
  <c r="J438" i="16"/>
  <c r="U438" i="16" s="1"/>
  <c r="J385" i="16"/>
  <c r="U385" i="16" s="1"/>
  <c r="V85" i="7"/>
  <c r="W85" i="7"/>
  <c r="X85" i="7"/>
  <c r="Y85" i="7"/>
  <c r="P85" i="7"/>
  <c r="T85" i="7" s="1"/>
  <c r="B620" i="16"/>
  <c r="B621" i="16"/>
  <c r="Z85" i="7" l="1"/>
  <c r="N61" i="7"/>
  <c r="B327" i="16" l="1"/>
  <c r="B618" i="16"/>
  <c r="B619" i="16"/>
  <c r="K422" i="16"/>
  <c r="V422" i="16" s="1"/>
  <c r="F422" i="16"/>
  <c r="T422" i="16" s="1"/>
  <c r="F189" i="16"/>
  <c r="Q69" i="7" s="1"/>
  <c r="W69" i="7" s="1"/>
  <c r="B186" i="16"/>
  <c r="B187" i="16"/>
  <c r="B188" i="16"/>
  <c r="B185" i="16"/>
  <c r="B184" i="16"/>
  <c r="A184" i="16"/>
  <c r="H189" i="16"/>
  <c r="G189" i="16"/>
  <c r="K189" i="16" s="1"/>
  <c r="L185" i="16"/>
  <c r="W185" i="16" s="1"/>
  <c r="K185" i="16"/>
  <c r="V185" i="16" s="1"/>
  <c r="J185" i="16"/>
  <c r="U185" i="16" s="1"/>
  <c r="L184" i="16"/>
  <c r="K184" i="16"/>
  <c r="J184" i="16"/>
  <c r="P69" i="7"/>
  <c r="V69" i="7"/>
  <c r="U184" i="16" l="1"/>
  <c r="V184" i="16"/>
  <c r="W184" i="16"/>
  <c r="J422" i="16"/>
  <c r="U422" i="16" s="1"/>
  <c r="J189" i="16"/>
  <c r="S69" i="7"/>
  <c r="Y69" i="7" s="1"/>
  <c r="R69" i="7"/>
  <c r="X69" i="7" s="1"/>
  <c r="L189" i="16"/>
  <c r="T69" i="7" l="1"/>
  <c r="Z69" i="7" s="1"/>
  <c r="N74" i="7"/>
  <c r="F325" i="16"/>
  <c r="B692" i="16"/>
  <c r="B696" i="16"/>
  <c r="G678" i="16"/>
  <c r="G670" i="16"/>
  <c r="G669" i="16"/>
  <c r="G380" i="16"/>
  <c r="T380" i="16" s="1"/>
  <c r="B415" i="16"/>
  <c r="B416" i="16"/>
  <c r="B417" i="16"/>
  <c r="N79" i="7"/>
  <c r="F88" i="16"/>
  <c r="T88" i="16" s="1"/>
  <c r="G66" i="16"/>
  <c r="G70" i="16"/>
  <c r="F72" i="16"/>
  <c r="F77" i="16"/>
  <c r="F38" i="16"/>
  <c r="K670" i="16" l="1"/>
  <c r="V670" i="16" s="1"/>
  <c r="T670" i="16"/>
  <c r="J325" i="16"/>
  <c r="U325" i="16" s="1"/>
  <c r="T325" i="16"/>
  <c r="T72" i="16"/>
  <c r="J72" i="16"/>
  <c r="U72" i="16" s="1"/>
  <c r="J38" i="16"/>
  <c r="U38" i="16" s="1"/>
  <c r="T38" i="16"/>
  <c r="K66" i="16"/>
  <c r="V66" i="16" s="1"/>
  <c r="T77" i="16"/>
  <c r="J77" i="16"/>
  <c r="U77" i="16" s="1"/>
  <c r="J88" i="16"/>
  <c r="U88" i="16" s="1"/>
  <c r="K678" i="16"/>
  <c r="V678" i="16" s="1"/>
  <c r="T678" i="16"/>
  <c r="N75" i="7"/>
  <c r="K70" i="16"/>
  <c r="V70" i="16" s="1"/>
  <c r="T669" i="16"/>
  <c r="K669" i="16"/>
  <c r="V669" i="16" s="1"/>
  <c r="K380" i="16"/>
  <c r="V380" i="16" s="1"/>
  <c r="C5" i="17" l="1"/>
  <c r="G443" i="16"/>
  <c r="H443" i="16"/>
  <c r="B439" i="16"/>
  <c r="B440" i="16"/>
  <c r="B441" i="16"/>
  <c r="G512" i="16" l="1"/>
  <c r="F199" i="16"/>
  <c r="T199" i="16" s="1"/>
  <c r="F87" i="16"/>
  <c r="F74" i="16"/>
  <c r="G34" i="16"/>
  <c r="J74" i="16" l="1"/>
  <c r="U74" i="16" s="1"/>
  <c r="T74" i="16"/>
  <c r="T87" i="16"/>
  <c r="J87" i="16"/>
  <c r="U87" i="16" s="1"/>
  <c r="K34" i="16"/>
  <c r="V34" i="16" s="1"/>
  <c r="L408" i="16" l="1"/>
  <c r="W408" i="16" s="1"/>
  <c r="N111" i="7" l="1"/>
  <c r="N83" i="7"/>
  <c r="M5" i="17" s="1"/>
  <c r="J532" i="16" l="1"/>
  <c r="U532" i="16" s="1"/>
  <c r="K532" i="16"/>
  <c r="V532" i="16" s="1"/>
  <c r="L532" i="16"/>
  <c r="W532" i="16" s="1"/>
  <c r="J533" i="16"/>
  <c r="U533" i="16" s="1"/>
  <c r="K533" i="16"/>
  <c r="V533" i="16" s="1"/>
  <c r="L533" i="16"/>
  <c r="W533" i="16" s="1"/>
  <c r="J534" i="16"/>
  <c r="U534" i="16" s="1"/>
  <c r="K534" i="16"/>
  <c r="V534" i="16" s="1"/>
  <c r="L534" i="16"/>
  <c r="W534" i="16" s="1"/>
  <c r="B532" i="16"/>
  <c r="B533" i="16"/>
  <c r="B534" i="16"/>
  <c r="B737" i="16" l="1"/>
  <c r="F782" i="16" l="1"/>
  <c r="G547" i="16"/>
  <c r="T547" i="16" s="1"/>
  <c r="F496" i="16"/>
  <c r="G651" i="16"/>
  <c r="G677" i="16"/>
  <c r="F640" i="16"/>
  <c r="F736" i="16"/>
  <c r="T736" i="16" s="1"/>
  <c r="K414" i="16"/>
  <c r="V414" i="16" s="1"/>
  <c r="F414" i="16"/>
  <c r="J414" i="16" s="1"/>
  <c r="U414" i="16" s="1"/>
  <c r="T651" i="16" l="1"/>
  <c r="K651" i="16"/>
  <c r="V651" i="16" s="1"/>
  <c r="T677" i="16"/>
  <c r="K677" i="16"/>
  <c r="V677" i="16" s="1"/>
  <c r="K547" i="16"/>
  <c r="V547" i="16" s="1"/>
  <c r="I105" i="16"/>
  <c r="I104" i="16"/>
  <c r="S5" i="16" l="1"/>
  <c r="C17" i="17" l="1"/>
  <c r="W5" i="16"/>
  <c r="F383" i="16"/>
  <c r="J383" i="16" s="1"/>
  <c r="U383" i="16" s="1"/>
  <c r="G295" i="16"/>
  <c r="K295" i="16" s="1"/>
  <c r="V295" i="16" s="1"/>
  <c r="F310" i="16"/>
  <c r="F175" i="16"/>
  <c r="G164" i="16"/>
  <c r="F126" i="16"/>
  <c r="H68" i="16"/>
  <c r="G68" i="16"/>
  <c r="F68" i="16"/>
  <c r="B39" i="16"/>
  <c r="B40" i="16"/>
  <c r="B42" i="16"/>
  <c r="F12" i="16"/>
  <c r="F16" i="16" s="1"/>
  <c r="F34" i="16"/>
  <c r="B35" i="16"/>
  <c r="B36" i="16"/>
  <c r="B37" i="16"/>
  <c r="B38" i="16"/>
  <c r="J310" i="16" l="1"/>
  <c r="U310" i="16" s="1"/>
  <c r="T310" i="16"/>
  <c r="L68" i="16"/>
  <c r="W68" i="16" s="1"/>
  <c r="J34" i="16"/>
  <c r="U34" i="16" s="1"/>
  <c r="T34" i="16"/>
  <c r="T126" i="16"/>
  <c r="J126" i="16"/>
  <c r="U126" i="16" s="1"/>
  <c r="T68" i="16"/>
  <c r="J68" i="16"/>
  <c r="U68" i="16" s="1"/>
  <c r="K68" i="16"/>
  <c r="V68" i="16" s="1"/>
  <c r="J175" i="16"/>
  <c r="U175" i="16" s="1"/>
  <c r="I126" i="16"/>
  <c r="B319" i="16"/>
  <c r="B320" i="16"/>
  <c r="B321" i="16"/>
  <c r="B322" i="16"/>
  <c r="B323" i="16"/>
  <c r="B324" i="16"/>
  <c r="B325" i="16"/>
  <c r="B326" i="16"/>
  <c r="B384" i="16" l="1"/>
  <c r="B385" i="16"/>
  <c r="B386" i="16"/>
  <c r="B387" i="16"/>
  <c r="B388" i="16"/>
  <c r="B407" i="16"/>
  <c r="F723" i="16" l="1"/>
  <c r="T723" i="16" s="1"/>
  <c r="F722" i="16"/>
  <c r="T722" i="16" s="1"/>
  <c r="G465" i="16"/>
  <c r="B452" i="16"/>
  <c r="F455" i="16"/>
  <c r="T455" i="16" s="1"/>
  <c r="G71" i="16"/>
  <c r="G778" i="16"/>
  <c r="R114" i="7" s="1"/>
  <c r="H778" i="16"/>
  <c r="F778" i="16"/>
  <c r="Q114" i="7" s="1"/>
  <c r="B771" i="16"/>
  <c r="B772" i="16"/>
  <c r="B777" i="16"/>
  <c r="B770" i="16"/>
  <c r="B769" i="16"/>
  <c r="A769" i="16"/>
  <c r="A781" i="16"/>
  <c r="B781" i="16"/>
  <c r="B782" i="16"/>
  <c r="B783" i="16"/>
  <c r="B784" i="16"/>
  <c r="G578" i="16"/>
  <c r="R104" i="7" s="1"/>
  <c r="H578" i="16"/>
  <c r="F578" i="16"/>
  <c r="Q104" i="7" s="1"/>
  <c r="N32" i="7"/>
  <c r="N30" i="7"/>
  <c r="N29" i="7"/>
  <c r="N28" i="7"/>
  <c r="N37" i="7"/>
  <c r="Q5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63" i="16"/>
  <c r="B562" i="16"/>
  <c r="A562" i="16"/>
  <c r="A581" i="16"/>
  <c r="B581" i="16"/>
  <c r="B582" i="16"/>
  <c r="F582" i="16"/>
  <c r="T582" i="16" s="1"/>
  <c r="B583" i="16"/>
  <c r="G583" i="16"/>
  <c r="T583" i="16" s="1"/>
  <c r="B584" i="16"/>
  <c r="B585" i="16"/>
  <c r="B586" i="16"/>
  <c r="B587" i="16"/>
  <c r="B588" i="16"/>
  <c r="B589" i="16"/>
  <c r="B590" i="16"/>
  <c r="B591" i="16"/>
  <c r="B592" i="16"/>
  <c r="F593" i="16"/>
  <c r="H593" i="16"/>
  <c r="A595" i="16"/>
  <c r="B595" i="16"/>
  <c r="V5" i="16" l="1"/>
  <c r="K71" i="16"/>
  <c r="V71" i="16" s="1"/>
  <c r="O9" i="17"/>
  <c r="G593" i="16"/>
  <c r="S104" i="7"/>
  <c r="S114" i="7"/>
  <c r="W114" i="7" l="1"/>
  <c r="X114" i="7"/>
  <c r="Y114" i="7"/>
  <c r="W104" i="7"/>
  <c r="E19" i="19" s="1"/>
  <c r="X104" i="7"/>
  <c r="F19" i="19" s="1"/>
  <c r="Y104" i="7"/>
  <c r="G19" i="19" s="1"/>
  <c r="N62" i="7"/>
  <c r="P62" i="7" s="1"/>
  <c r="V64" i="7"/>
  <c r="P63" i="7"/>
  <c r="V30" i="7"/>
  <c r="V29" i="7"/>
  <c r="N22" i="7"/>
  <c r="V22" i="7" s="1"/>
  <c r="N23" i="7"/>
  <c r="V23" i="7" s="1"/>
  <c r="N11" i="7"/>
  <c r="N122" i="7" s="1"/>
  <c r="V113" i="7"/>
  <c r="V114" i="7"/>
  <c r="V104" i="7"/>
  <c r="D19" i="19" s="1"/>
  <c r="P112" i="7"/>
  <c r="P113" i="7"/>
  <c r="P114" i="7"/>
  <c r="T114" i="7" s="1"/>
  <c r="Z114" i="7" s="1"/>
  <c r="P102" i="7"/>
  <c r="P104" i="7"/>
  <c r="T104" i="7" s="1"/>
  <c r="Z104" i="7" s="1"/>
  <c r="V92" i="7"/>
  <c r="V93" i="7"/>
  <c r="V94" i="7"/>
  <c r="P92" i="7"/>
  <c r="P93" i="7"/>
  <c r="P94" i="7"/>
  <c r="V88" i="7"/>
  <c r="V89" i="7"/>
  <c r="P88" i="7"/>
  <c r="P89" i="7"/>
  <c r="V63" i="7"/>
  <c r="V43" i="7"/>
  <c r="P43" i="7"/>
  <c r="P29" i="7"/>
  <c r="P23" i="7"/>
  <c r="V8" i="7"/>
  <c r="V9" i="7"/>
  <c r="P8" i="7"/>
  <c r="P9" i="7"/>
  <c r="N105" i="7"/>
  <c r="V105" i="7" s="1"/>
  <c r="N84" i="7"/>
  <c r="N33" i="7"/>
  <c r="P33" i="7" s="1"/>
  <c r="N20" i="7"/>
  <c r="N17" i="7"/>
  <c r="L5" i="17" l="1"/>
  <c r="V62" i="7"/>
  <c r="P22" i="7"/>
  <c r="P64" i="7"/>
  <c r="H19" i="19"/>
  <c r="I19" i="19"/>
  <c r="J19" i="19" s="1"/>
  <c r="V11" i="7"/>
  <c r="P105" i="7"/>
  <c r="V33" i="7"/>
  <c r="P30" i="7"/>
  <c r="N144" i="7"/>
  <c r="W145" i="7"/>
  <c r="X145" i="7"/>
  <c r="Y145" i="7"/>
  <c r="Z145" i="7"/>
  <c r="V122" i="7" l="1"/>
  <c r="G664" i="16"/>
  <c r="G671" i="16"/>
  <c r="G662" i="16"/>
  <c r="G615" i="16"/>
  <c r="T615" i="16" s="1"/>
  <c r="F530" i="16"/>
  <c r="T530" i="16" s="1"/>
  <c r="F413" i="16"/>
  <c r="K662" i="16" l="1"/>
  <c r="V662" i="16" s="1"/>
  <c r="T662" i="16"/>
  <c r="T671" i="16"/>
  <c r="K671" i="16"/>
  <c r="V671" i="16" s="1"/>
  <c r="T664" i="16"/>
  <c r="K664" i="16"/>
  <c r="V664" i="16" s="1"/>
  <c r="G308" i="16"/>
  <c r="G307" i="16"/>
  <c r="G274" i="16"/>
  <c r="T274" i="16" s="1"/>
  <c r="G277" i="16"/>
  <c r="F315" i="16"/>
  <c r="F314" i="16"/>
  <c r="T314" i="16" s="1"/>
  <c r="B316" i="16"/>
  <c r="B315" i="16"/>
  <c r="B314" i="16"/>
  <c r="B313" i="16"/>
  <c r="B312" i="16"/>
  <c r="G514" i="16"/>
  <c r="G515" i="16"/>
  <c r="T515" i="16" s="1"/>
  <c r="B178" i="16"/>
  <c r="B177" i="16"/>
  <c r="B180" i="16"/>
  <c r="N10" i="7"/>
  <c r="H51" i="16"/>
  <c r="G51" i="16"/>
  <c r="J315" i="16" l="1"/>
  <c r="U315" i="16" s="1"/>
  <c r="T315" i="16"/>
  <c r="K307" i="16"/>
  <c r="V307" i="16" s="1"/>
  <c r="T307" i="16"/>
  <c r="L51" i="16"/>
  <c r="K308" i="16"/>
  <c r="V308" i="16" s="1"/>
  <c r="T308" i="16"/>
  <c r="K277" i="16"/>
  <c r="V277" i="16" s="1"/>
  <c r="T277" i="16"/>
  <c r="K51" i="16"/>
  <c r="V51" i="16" s="1"/>
  <c r="T51" i="16"/>
  <c r="J314" i="16"/>
  <c r="U314" i="16" s="1"/>
  <c r="P10" i="7"/>
  <c r="V10" i="7"/>
  <c r="V7" i="7"/>
  <c r="B14" i="16"/>
  <c r="B13" i="16"/>
  <c r="Q7" i="7"/>
  <c r="B12" i="16"/>
  <c r="B11" i="16"/>
  <c r="R7" i="7"/>
  <c r="X7" i="7" s="1"/>
  <c r="A11" i="16"/>
  <c r="A18" i="16"/>
  <c r="B18" i="16"/>
  <c r="B19" i="16"/>
  <c r="B20" i="16"/>
  <c r="B21" i="16"/>
  <c r="B22" i="16"/>
  <c r="N48" i="7"/>
  <c r="V48" i="7" s="1"/>
  <c r="N42" i="7"/>
  <c r="N47" i="7"/>
  <c r="N46" i="7"/>
  <c r="N45" i="7"/>
  <c r="N44" i="7"/>
  <c r="P7" i="7"/>
  <c r="P6" i="7"/>
  <c r="N68" i="7"/>
  <c r="N67" i="7"/>
  <c r="N66" i="7"/>
  <c r="N65" i="7"/>
  <c r="W51" i="16" l="1"/>
  <c r="N70" i="7"/>
  <c r="P70" i="7" s="1"/>
  <c r="S7" i="7"/>
  <c r="Y7" i="7" s="1"/>
  <c r="P11" i="7"/>
  <c r="P122" i="7" s="1"/>
  <c r="V44" i="7"/>
  <c r="P44" i="7"/>
  <c r="V42" i="7"/>
  <c r="P42" i="7"/>
  <c r="N49" i="7"/>
  <c r="V45" i="7"/>
  <c r="P46" i="7"/>
  <c r="V46" i="7"/>
  <c r="P47" i="7"/>
  <c r="V47" i="7"/>
  <c r="W7" i="7"/>
  <c r="G601" i="16"/>
  <c r="T601" i="16" s="1"/>
  <c r="F636" i="16"/>
  <c r="F609" i="16"/>
  <c r="T609" i="16" s="1"/>
  <c r="F607" i="16"/>
  <c r="T607" i="16" s="1"/>
  <c r="F605" i="16"/>
  <c r="F546" i="16"/>
  <c r="J546" i="16" s="1"/>
  <c r="U546" i="16" s="1"/>
  <c r="F545" i="16"/>
  <c r="T545" i="16" s="1"/>
  <c r="J636" i="16" l="1"/>
  <c r="U636" i="16" s="1"/>
  <c r="T636" i="16"/>
  <c r="T7" i="7"/>
  <c r="Z7" i="7" s="1"/>
  <c r="F437" i="16"/>
  <c r="F421" i="16"/>
  <c r="T421" i="16" s="1"/>
  <c r="G371" i="16" l="1"/>
  <c r="K371" i="16" s="1"/>
  <c r="V371" i="16" s="1"/>
  <c r="G306" i="16" l="1"/>
  <c r="K306" i="16" s="1"/>
  <c r="V306" i="16" s="1"/>
  <c r="G305" i="16"/>
  <c r="K305" i="16" s="1"/>
  <c r="V305" i="16" s="1"/>
  <c r="F69" i="16" l="1"/>
  <c r="H48" i="16"/>
  <c r="L48" i="16" l="1"/>
  <c r="W48" i="16" s="1"/>
  <c r="K48" i="16"/>
  <c r="V48" i="16" s="1"/>
  <c r="T69" i="16"/>
  <c r="J69" i="16"/>
  <c r="U69" i="16" s="1"/>
  <c r="H418" i="16"/>
  <c r="G23" i="16"/>
  <c r="F454" i="16" l="1"/>
  <c r="T454" i="16" s="1"/>
  <c r="G279" i="16" l="1"/>
  <c r="T279" i="16" s="1"/>
  <c r="G302" i="16"/>
  <c r="G297" i="16"/>
  <c r="K297" i="16" s="1"/>
  <c r="V297" i="16" s="1"/>
  <c r="G285" i="16"/>
  <c r="G291" i="16"/>
  <c r="K291" i="16" s="1"/>
  <c r="V291" i="16" s="1"/>
  <c r="G290" i="16"/>
  <c r="K290" i="16" s="1"/>
  <c r="V290" i="16" s="1"/>
  <c r="F173" i="16"/>
  <c r="G65" i="16"/>
  <c r="F65" i="16"/>
  <c r="F71" i="16"/>
  <c r="F70" i="16"/>
  <c r="J70" i="16" l="1"/>
  <c r="U70" i="16" s="1"/>
  <c r="T70" i="16"/>
  <c r="T173" i="16"/>
  <c r="J173" i="16"/>
  <c r="U173" i="16" s="1"/>
  <c r="T71" i="16"/>
  <c r="J71" i="16"/>
  <c r="U71" i="16" s="1"/>
  <c r="T65" i="16"/>
  <c r="J65" i="16"/>
  <c r="U65" i="16" s="1"/>
  <c r="K65" i="16"/>
  <c r="V65" i="16" s="1"/>
  <c r="K285" i="16"/>
  <c r="V285" i="16" s="1"/>
  <c r="T285" i="16"/>
  <c r="K302" i="16"/>
  <c r="V302" i="16" s="1"/>
  <c r="T302" i="16"/>
  <c r="K279" i="16"/>
  <c r="V279" i="16" s="1"/>
  <c r="H94" i="16"/>
  <c r="F67" i="16" l="1"/>
  <c r="F66" i="16"/>
  <c r="B70" i="16"/>
  <c r="B71" i="16"/>
  <c r="B72" i="16"/>
  <c r="B73" i="16"/>
  <c r="B74" i="16"/>
  <c r="B75" i="16"/>
  <c r="B76" i="16"/>
  <c r="B77" i="16"/>
  <c r="B78" i="16"/>
  <c r="B79" i="16"/>
  <c r="G49" i="16"/>
  <c r="F513" i="16"/>
  <c r="T513" i="16" s="1"/>
  <c r="F514" i="16"/>
  <c r="T514" i="16" s="1"/>
  <c r="G174" i="16"/>
  <c r="G172" i="16"/>
  <c r="G275" i="16"/>
  <c r="G296" i="16"/>
  <c r="F305" i="16"/>
  <c r="G300" i="16"/>
  <c r="G294" i="16"/>
  <c r="K294" i="16" s="1"/>
  <c r="V294" i="16" s="1"/>
  <c r="K174" i="16" l="1"/>
  <c r="V174" i="16" s="1"/>
  <c r="J305" i="16"/>
  <c r="U305" i="16" s="1"/>
  <c r="T305" i="16"/>
  <c r="K296" i="16"/>
  <c r="T296" i="16"/>
  <c r="J66" i="16"/>
  <c r="T66" i="16"/>
  <c r="K275" i="16"/>
  <c r="V275" i="16" s="1"/>
  <c r="T275" i="16"/>
  <c r="K300" i="16"/>
  <c r="V300" i="16" s="1"/>
  <c r="T300" i="16"/>
  <c r="K172" i="16"/>
  <c r="V172" i="16" s="1"/>
  <c r="T49" i="16"/>
  <c r="K49" i="16"/>
  <c r="T67" i="16"/>
  <c r="J67" i="16"/>
  <c r="U67" i="16" s="1"/>
  <c r="B380" i="16"/>
  <c r="B381" i="16"/>
  <c r="B382" i="16"/>
  <c r="B383" i="16"/>
  <c r="B408" i="16"/>
  <c r="B409" i="16"/>
  <c r="V296" i="16" l="1"/>
  <c r="V49" i="16"/>
  <c r="U66" i="16"/>
  <c r="G529" i="16"/>
  <c r="T529" i="16" s="1"/>
  <c r="F613" i="16"/>
  <c r="F610" i="16"/>
  <c r="T610" i="16" s="1"/>
  <c r="F608" i="16"/>
  <c r="T608" i="16" s="1"/>
  <c r="B475" i="16"/>
  <c r="B476" i="16"/>
  <c r="B477" i="16"/>
  <c r="B478" i="16"/>
  <c r="B479" i="16"/>
  <c r="B480" i="16"/>
  <c r="B481" i="16"/>
  <c r="B482" i="16"/>
  <c r="B483" i="16"/>
  <c r="B484" i="16"/>
  <c r="F721" i="16"/>
  <c r="T721" i="16" s="1"/>
  <c r="G647" i="16"/>
  <c r="T647" i="16" s="1"/>
  <c r="G673" i="16"/>
  <c r="G672" i="16"/>
  <c r="B677" i="16"/>
  <c r="B678" i="16"/>
  <c r="B681" i="16"/>
  <c r="B682" i="16"/>
  <c r="B683" i="16"/>
  <c r="B684" i="16"/>
  <c r="B685" i="16"/>
  <c r="B686" i="16"/>
  <c r="B687" i="16"/>
  <c r="B688" i="16"/>
  <c r="B689" i="16"/>
  <c r="B690" i="16"/>
  <c r="B691" i="16"/>
  <c r="B697" i="16"/>
  <c r="B698" i="16"/>
  <c r="B699" i="16"/>
  <c r="B700" i="16"/>
  <c r="B701" i="16"/>
  <c r="F84" i="16"/>
  <c r="B85" i="16"/>
  <c r="B86" i="16"/>
  <c r="B87" i="16"/>
  <c r="B88" i="16"/>
  <c r="B89" i="16"/>
  <c r="B90" i="16"/>
  <c r="B91" i="16"/>
  <c r="B92" i="16"/>
  <c r="B93" i="16"/>
  <c r="F152" i="16"/>
  <c r="T152" i="16" s="1"/>
  <c r="F5" i="16"/>
  <c r="Q13" i="7"/>
  <c r="W13" i="7" s="1"/>
  <c r="F43" i="16"/>
  <c r="Q17" i="7" s="1"/>
  <c r="F46" i="16"/>
  <c r="F47" i="16"/>
  <c r="F48" i="16"/>
  <c r="F50" i="16"/>
  <c r="F61" i="16"/>
  <c r="T61" i="16" s="1"/>
  <c r="F62" i="16"/>
  <c r="F63" i="16"/>
  <c r="F64" i="16"/>
  <c r="T64" i="16" s="1"/>
  <c r="F83" i="16"/>
  <c r="F101" i="16"/>
  <c r="Q38" i="7" s="1"/>
  <c r="W38" i="7" s="1"/>
  <c r="F108" i="16"/>
  <c r="Q41" i="7" s="1"/>
  <c r="W41" i="7" s="1"/>
  <c r="F115" i="16"/>
  <c r="Q45" i="7" s="1"/>
  <c r="W45" i="7" s="1"/>
  <c r="F118" i="16"/>
  <c r="F125" i="16"/>
  <c r="T125" i="16" s="1"/>
  <c r="F149" i="16"/>
  <c r="Q53" i="7" s="1"/>
  <c r="F153" i="16"/>
  <c r="F154" i="16"/>
  <c r="T154" i="16" s="1"/>
  <c r="F155" i="16"/>
  <c r="T155" i="16" s="1"/>
  <c r="F156" i="16"/>
  <c r="T156" i="16" s="1"/>
  <c r="F164" i="16"/>
  <c r="T164" i="16" s="1"/>
  <c r="F171" i="16"/>
  <c r="T171" i="16" s="1"/>
  <c r="F172" i="16"/>
  <c r="F174" i="16"/>
  <c r="F196" i="16"/>
  <c r="Q65" i="7" s="1"/>
  <c r="W65" i="7" s="1"/>
  <c r="F203" i="16"/>
  <c r="Q66" i="7" s="1"/>
  <c r="W66" i="7" s="1"/>
  <c r="F210" i="16"/>
  <c r="Q67" i="7" s="1"/>
  <c r="F217" i="16"/>
  <c r="Q68" i="7" s="1"/>
  <c r="W68" i="7" s="1"/>
  <c r="F233" i="16"/>
  <c r="Q83" i="7" s="1"/>
  <c r="W83" i="7" s="1"/>
  <c r="F237" i="16"/>
  <c r="F239" i="16"/>
  <c r="F286" i="16"/>
  <c r="F287" i="16"/>
  <c r="F288" i="16"/>
  <c r="F289" i="16"/>
  <c r="F290" i="16"/>
  <c r="F291" i="16"/>
  <c r="F294" i="16"/>
  <c r="F295" i="16"/>
  <c r="F297" i="16"/>
  <c r="F306" i="16"/>
  <c r="F371" i="16"/>
  <c r="T371" i="16" s="1"/>
  <c r="F375" i="16"/>
  <c r="T375" i="16" s="1"/>
  <c r="F378" i="16"/>
  <c r="T378" i="16" s="1"/>
  <c r="F418" i="16"/>
  <c r="Q95" i="7" s="1"/>
  <c r="F425" i="16"/>
  <c r="Q96" i="7" s="1"/>
  <c r="F434" i="16"/>
  <c r="Q97" i="7" s="1"/>
  <c r="W97" i="7" s="1"/>
  <c r="F443" i="16"/>
  <c r="Q98" i="7" s="1"/>
  <c r="W98" i="7" s="1"/>
  <c r="F449" i="16"/>
  <c r="F465" i="16"/>
  <c r="Q72" i="7" s="1"/>
  <c r="F468" i="16"/>
  <c r="T468" i="16" s="1"/>
  <c r="F470" i="16"/>
  <c r="T470" i="16" s="1"/>
  <c r="F471" i="16"/>
  <c r="T471" i="16" s="1"/>
  <c r="F472" i="16"/>
  <c r="T472" i="16" s="1"/>
  <c r="F492" i="16"/>
  <c r="Q76" i="7" s="1"/>
  <c r="W76" i="7" s="1"/>
  <c r="F495" i="16"/>
  <c r="F499" i="16" s="1"/>
  <c r="Q77" i="7" s="1"/>
  <c r="W77" i="7" s="1"/>
  <c r="F502" i="16"/>
  <c r="F508" i="16" s="1"/>
  <c r="Q78" i="7" s="1"/>
  <c r="W78" i="7" s="1"/>
  <c r="F511" i="16"/>
  <c r="F512" i="16"/>
  <c r="T512" i="16" s="1"/>
  <c r="F535" i="16"/>
  <c r="Q102" i="7"/>
  <c r="W102" i="7" s="1"/>
  <c r="F560" i="16"/>
  <c r="Q103" i="7" s="1"/>
  <c r="W103" i="7" s="1"/>
  <c r="Q105" i="7"/>
  <c r="W105" i="7" s="1"/>
  <c r="F598" i="16"/>
  <c r="T598" i="16" s="1"/>
  <c r="F599" i="16"/>
  <c r="T599" i="16" s="1"/>
  <c r="F644" i="16"/>
  <c r="Q107" i="7" s="1"/>
  <c r="F666" i="16"/>
  <c r="F720" i="16"/>
  <c r="T720" i="16" s="1"/>
  <c r="F740" i="16"/>
  <c r="Q111" i="7" s="1"/>
  <c r="W111" i="7" s="1"/>
  <c r="F747" i="16"/>
  <c r="Q112" i="7" s="1"/>
  <c r="W112" i="7" s="1"/>
  <c r="F767" i="16"/>
  <c r="Q113" i="7" s="1"/>
  <c r="W113" i="7" s="1"/>
  <c r="F786" i="16"/>
  <c r="Q116" i="7" s="1"/>
  <c r="W116" i="7" s="1"/>
  <c r="F793" i="16"/>
  <c r="J793" i="16" s="1"/>
  <c r="G26" i="16"/>
  <c r="T26" i="16" s="1"/>
  <c r="R6" i="7"/>
  <c r="R13" i="7"/>
  <c r="R14" i="7" s="1"/>
  <c r="G43" i="16"/>
  <c r="R17" i="7" s="1"/>
  <c r="X17" i="7" s="1"/>
  <c r="G46" i="16"/>
  <c r="G47" i="16"/>
  <c r="G80" i="16"/>
  <c r="G83" i="16"/>
  <c r="G94" i="16" s="1"/>
  <c r="G101" i="16"/>
  <c r="R38" i="7" s="1"/>
  <c r="G108" i="16"/>
  <c r="R41" i="7" s="1"/>
  <c r="X41" i="7" s="1"/>
  <c r="G115" i="16"/>
  <c r="R45" i="7" s="1"/>
  <c r="X45" i="7" s="1"/>
  <c r="G118" i="16"/>
  <c r="G129" i="16"/>
  <c r="R51" i="7" s="1"/>
  <c r="G142" i="16"/>
  <c r="G149" i="16"/>
  <c r="G153" i="16"/>
  <c r="K153" i="16" s="1"/>
  <c r="V153" i="16" s="1"/>
  <c r="G168" i="16"/>
  <c r="R58" i="7" s="1"/>
  <c r="X58" i="7" s="1"/>
  <c r="G182" i="16"/>
  <c r="R61" i="7" s="1"/>
  <c r="G196" i="16"/>
  <c r="R65" i="7" s="1"/>
  <c r="G203" i="16"/>
  <c r="R66" i="7" s="1"/>
  <c r="G210" i="16"/>
  <c r="R67" i="7" s="1"/>
  <c r="X67" i="7" s="1"/>
  <c r="G217" i="16"/>
  <c r="R68" i="7" s="1"/>
  <c r="X68" i="7" s="1"/>
  <c r="G233" i="16"/>
  <c r="R83" i="7" s="1"/>
  <c r="X83" i="7" s="1"/>
  <c r="G255" i="16"/>
  <c r="G284" i="16"/>
  <c r="T284" i="16" s="1"/>
  <c r="G286" i="16"/>
  <c r="K286" i="16" s="1"/>
  <c r="V286" i="16" s="1"/>
  <c r="G287" i="16"/>
  <c r="K287" i="16" s="1"/>
  <c r="V287" i="16" s="1"/>
  <c r="G288" i="16"/>
  <c r="K288" i="16" s="1"/>
  <c r="V288" i="16" s="1"/>
  <c r="G289" i="16"/>
  <c r="K289" i="16" s="1"/>
  <c r="V289" i="16" s="1"/>
  <c r="G292" i="16"/>
  <c r="G293" i="16"/>
  <c r="G303" i="16"/>
  <c r="G304" i="16"/>
  <c r="G370" i="16"/>
  <c r="T370" i="16" s="1"/>
  <c r="G372" i="16"/>
  <c r="T372" i="16" s="1"/>
  <c r="G373" i="16"/>
  <c r="T373" i="16" s="1"/>
  <c r="G374" i="16"/>
  <c r="T374" i="16" s="1"/>
  <c r="G413" i="16"/>
  <c r="T413" i="16" s="1"/>
  <c r="G425" i="16"/>
  <c r="R96" i="7" s="1"/>
  <c r="X96" i="7" s="1"/>
  <c r="G434" i="16"/>
  <c r="R97" i="7" s="1"/>
  <c r="X97" i="7" s="1"/>
  <c r="G449" i="16"/>
  <c r="R54" i="7" s="1"/>
  <c r="R72" i="7"/>
  <c r="G473" i="16"/>
  <c r="T473" i="16" s="1"/>
  <c r="G492" i="16"/>
  <c r="R76" i="7" s="1"/>
  <c r="G499" i="16"/>
  <c r="R77" i="7" s="1"/>
  <c r="G508" i="16"/>
  <c r="R78" i="7" s="1"/>
  <c r="X78" i="7" s="1"/>
  <c r="G511" i="16"/>
  <c r="G521" i="16" s="1"/>
  <c r="G542" i="16"/>
  <c r="R102" i="7" s="1"/>
  <c r="X102" i="7" s="1"/>
  <c r="G560" i="16"/>
  <c r="R103" i="7" s="1"/>
  <c r="X103" i="7" s="1"/>
  <c r="G596" i="16"/>
  <c r="T596" i="16" s="1"/>
  <c r="G600" i="16"/>
  <c r="T600" i="16" s="1"/>
  <c r="G644" i="16"/>
  <c r="R107" i="7" s="1"/>
  <c r="X107" i="7" s="1"/>
  <c r="F20" i="19" s="1"/>
  <c r="G648" i="16"/>
  <c r="G652" i="16"/>
  <c r="G653" i="16"/>
  <c r="G655" i="16"/>
  <c r="G656" i="16"/>
  <c r="G659" i="16"/>
  <c r="G660" i="16"/>
  <c r="G661" i="16"/>
  <c r="G665" i="16"/>
  <c r="G728" i="16"/>
  <c r="G740" i="16"/>
  <c r="R111" i="7" s="1"/>
  <c r="X111" i="7" s="1"/>
  <c r="G747" i="16"/>
  <c r="R112" i="7" s="1"/>
  <c r="X112" i="7" s="1"/>
  <c r="G767" i="16"/>
  <c r="R113" i="7" s="1"/>
  <c r="X113" i="7" s="1"/>
  <c r="G786" i="16"/>
  <c r="R116" i="7" s="1"/>
  <c r="G793" i="16"/>
  <c r="R117" i="7" s="1"/>
  <c r="X117" i="7" s="1"/>
  <c r="H23" i="16"/>
  <c r="H30" i="16"/>
  <c r="H43" i="16"/>
  <c r="H58" i="16"/>
  <c r="H80" i="16"/>
  <c r="H101" i="16"/>
  <c r="H108" i="16"/>
  <c r="H115" i="16"/>
  <c r="H122" i="16"/>
  <c r="H129" i="16"/>
  <c r="H142" i="16"/>
  <c r="S52" i="7" s="1"/>
  <c r="H149" i="16"/>
  <c r="S53" i="7" s="1"/>
  <c r="H155" i="16"/>
  <c r="L155" i="16" s="1"/>
  <c r="W155" i="16" s="1"/>
  <c r="H168" i="16"/>
  <c r="H182" i="16"/>
  <c r="H196" i="16"/>
  <c r="H203" i="16"/>
  <c r="H210" i="16"/>
  <c r="H217" i="16"/>
  <c r="H233" i="16"/>
  <c r="H255" i="16"/>
  <c r="H276" i="16"/>
  <c r="L276" i="16" s="1"/>
  <c r="W276" i="16" s="1"/>
  <c r="H292" i="16"/>
  <c r="L292" i="16" s="1"/>
  <c r="W292" i="16" s="1"/>
  <c r="H425" i="16"/>
  <c r="H434" i="16"/>
  <c r="S98" i="7"/>
  <c r="Y98" i="7" s="1"/>
  <c r="H449" i="16"/>
  <c r="S54" i="7" s="1"/>
  <c r="H492" i="16"/>
  <c r="H499" i="16"/>
  <c r="H508" i="16"/>
  <c r="H535" i="16"/>
  <c r="H542" i="16"/>
  <c r="H560" i="16"/>
  <c r="S105" i="7"/>
  <c r="Y105" i="7" s="1"/>
  <c r="H644" i="16"/>
  <c r="H720" i="16"/>
  <c r="H740" i="16"/>
  <c r="H747" i="16"/>
  <c r="H767" i="16"/>
  <c r="H786" i="16"/>
  <c r="H793" i="16"/>
  <c r="B513" i="16"/>
  <c r="B514" i="16"/>
  <c r="B515" i="16"/>
  <c r="B516" i="16"/>
  <c r="B517" i="16"/>
  <c r="B518" i="16"/>
  <c r="B519" i="16"/>
  <c r="B308" i="16"/>
  <c r="B309" i="16"/>
  <c r="B310" i="16"/>
  <c r="B311" i="16"/>
  <c r="B317" i="16"/>
  <c r="B318" i="16"/>
  <c r="B172" i="16"/>
  <c r="B173" i="16"/>
  <c r="B174" i="16"/>
  <c r="B175" i="16"/>
  <c r="B176" i="16"/>
  <c r="B179" i="16"/>
  <c r="B181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612" i="16"/>
  <c r="B613" i="16"/>
  <c r="B614" i="16"/>
  <c r="B615" i="16"/>
  <c r="B616" i="16"/>
  <c r="B617" i="16"/>
  <c r="B622" i="16"/>
  <c r="B223" i="16"/>
  <c r="B224" i="16"/>
  <c r="B225" i="16"/>
  <c r="B226" i="16"/>
  <c r="B227" i="16"/>
  <c r="B228" i="16"/>
  <c r="B229" i="16"/>
  <c r="B230" i="16"/>
  <c r="B231" i="16"/>
  <c r="B232" i="16"/>
  <c r="B32" i="16"/>
  <c r="B453" i="16"/>
  <c r="B454" i="16"/>
  <c r="B455" i="16"/>
  <c r="B456" i="16"/>
  <c r="B457" i="16"/>
  <c r="B458" i="16"/>
  <c r="B459" i="16"/>
  <c r="B723" i="16"/>
  <c r="B724" i="16"/>
  <c r="B725" i="16"/>
  <c r="B726" i="16"/>
  <c r="B727" i="16"/>
  <c r="B676" i="16"/>
  <c r="B49" i="16"/>
  <c r="B50" i="16"/>
  <c r="B51" i="16"/>
  <c r="B52" i="16"/>
  <c r="B53" i="16"/>
  <c r="B54" i="16"/>
  <c r="B55" i="16"/>
  <c r="B56" i="16"/>
  <c r="B57" i="16"/>
  <c r="C6" i="17"/>
  <c r="C7" i="17" s="1"/>
  <c r="P28" i="7"/>
  <c r="S37" i="7"/>
  <c r="S95" i="7"/>
  <c r="Y95" i="7" s="1"/>
  <c r="N13" i="7"/>
  <c r="P13" i="7" s="1"/>
  <c r="N36" i="7"/>
  <c r="N35" i="7"/>
  <c r="N34" i="7"/>
  <c r="N31" i="7"/>
  <c r="N27" i="7"/>
  <c r="N26" i="7"/>
  <c r="N25" i="7"/>
  <c r="N24" i="7"/>
  <c r="N21" i="7"/>
  <c r="N38" i="7"/>
  <c r="P38" i="7" s="1"/>
  <c r="N51" i="7"/>
  <c r="P51" i="7" s="1"/>
  <c r="N52" i="7"/>
  <c r="P52" i="7" s="1"/>
  <c r="N53" i="7"/>
  <c r="V53" i="7" s="1"/>
  <c r="N54" i="7"/>
  <c r="V54" i="7" s="1"/>
  <c r="N57" i="7"/>
  <c r="N58" i="7"/>
  <c r="V58" i="7" s="1"/>
  <c r="V70" i="7"/>
  <c r="D7" i="19" s="1"/>
  <c r="V72" i="7"/>
  <c r="V73" i="7"/>
  <c r="J5" i="17"/>
  <c r="N77" i="7"/>
  <c r="P77" i="7" s="1"/>
  <c r="V78" i="7"/>
  <c r="V79" i="7"/>
  <c r="N16" i="7"/>
  <c r="H5" i="17" s="1"/>
  <c r="V83" i="7"/>
  <c r="N87" i="7"/>
  <c r="P91" i="7"/>
  <c r="N103" i="7"/>
  <c r="N119" i="7" s="1"/>
  <c r="V106" i="7"/>
  <c r="N107" i="7"/>
  <c r="V107" i="7" s="1"/>
  <c r="D20" i="19" s="1"/>
  <c r="B669" i="16"/>
  <c r="B670" i="16"/>
  <c r="B671" i="16"/>
  <c r="B672" i="16"/>
  <c r="B673" i="16"/>
  <c r="B674" i="16"/>
  <c r="B67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238" i="16"/>
  <c r="B239" i="16"/>
  <c r="B240" i="16"/>
  <c r="B241" i="16"/>
  <c r="B242" i="16"/>
  <c r="B243" i="16"/>
  <c r="B244" i="16"/>
  <c r="B245" i="16"/>
  <c r="B246" i="16"/>
  <c r="B451" i="16"/>
  <c r="A451" i="16"/>
  <c r="B720" i="16"/>
  <c r="B721" i="16"/>
  <c r="B722" i="16"/>
  <c r="B119" i="16"/>
  <c r="B120" i="16"/>
  <c r="B121" i="16"/>
  <c r="B118" i="16"/>
  <c r="B117" i="16"/>
  <c r="A117" i="16"/>
  <c r="P41" i="7"/>
  <c r="P45" i="7"/>
  <c r="B512" i="16"/>
  <c r="B520" i="16"/>
  <c r="B511" i="16"/>
  <c r="B510" i="16"/>
  <c r="A510" i="16"/>
  <c r="B64" i="16"/>
  <c r="B65" i="16"/>
  <c r="B66" i="16"/>
  <c r="B67" i="16"/>
  <c r="B68" i="16"/>
  <c r="B69" i="16"/>
  <c r="N21" i="17"/>
  <c r="O21" i="17"/>
  <c r="B751" i="16"/>
  <c r="B752" i="16"/>
  <c r="B766" i="16"/>
  <c r="B749" i="16"/>
  <c r="A749" i="16"/>
  <c r="P116" i="7"/>
  <c r="B110" i="16"/>
  <c r="B103" i="16"/>
  <c r="B112" i="16"/>
  <c r="B113" i="16"/>
  <c r="B114" i="16"/>
  <c r="B111" i="16"/>
  <c r="A110" i="16"/>
  <c r="V41" i="7"/>
  <c r="B371" i="16"/>
  <c r="B372" i="16"/>
  <c r="B599" i="16"/>
  <c r="B600" i="16"/>
  <c r="B601" i="16"/>
  <c r="B597" i="16"/>
  <c r="B596" i="16"/>
  <c r="B605" i="16"/>
  <c r="B606" i="16"/>
  <c r="B607" i="16"/>
  <c r="B608" i="16"/>
  <c r="B609" i="16"/>
  <c r="B610" i="16"/>
  <c r="B611" i="16"/>
  <c r="B602" i="16"/>
  <c r="B603" i="16"/>
  <c r="B604" i="16"/>
  <c r="B470" i="16"/>
  <c r="B471" i="16"/>
  <c r="B472" i="16"/>
  <c r="B473" i="16"/>
  <c r="B474" i="16"/>
  <c r="B657" i="16"/>
  <c r="B659" i="16"/>
  <c r="B660" i="16"/>
  <c r="B661" i="16"/>
  <c r="B662" i="16"/>
  <c r="B663" i="16"/>
  <c r="B664" i="16"/>
  <c r="B665" i="16"/>
  <c r="B666" i="16"/>
  <c r="B667" i="16"/>
  <c r="B154" i="16"/>
  <c r="B155" i="16"/>
  <c r="B156" i="16"/>
  <c r="B157" i="16"/>
  <c r="B158" i="16"/>
  <c r="B159" i="16"/>
  <c r="B160" i="16"/>
  <c r="B292" i="16"/>
  <c r="B293" i="16"/>
  <c r="B294" i="16"/>
  <c r="B295" i="16"/>
  <c r="B373" i="16"/>
  <c r="B374" i="16"/>
  <c r="B375" i="16"/>
  <c r="B376" i="16"/>
  <c r="B377" i="16"/>
  <c r="B378" i="16"/>
  <c r="B379" i="16"/>
  <c r="P95" i="7"/>
  <c r="P96" i="7"/>
  <c r="P97" i="7"/>
  <c r="P98" i="7"/>
  <c r="O19" i="17"/>
  <c r="O15" i="17"/>
  <c r="B285" i="16"/>
  <c r="B286" i="16"/>
  <c r="B287" i="16"/>
  <c r="B288" i="16"/>
  <c r="B289" i="16"/>
  <c r="B290" i="16"/>
  <c r="B291" i="16"/>
  <c r="O17" i="17"/>
  <c r="O13" i="17"/>
  <c r="AC81" i="7"/>
  <c r="B648" i="16"/>
  <c r="B649" i="16"/>
  <c r="B651" i="16"/>
  <c r="B652" i="16"/>
  <c r="B653" i="16"/>
  <c r="B654" i="16"/>
  <c r="B655" i="16"/>
  <c r="B656" i="16"/>
  <c r="B284" i="16"/>
  <c r="B275" i="16"/>
  <c r="B276" i="16"/>
  <c r="B277" i="16"/>
  <c r="B278" i="16"/>
  <c r="B279" i="16"/>
  <c r="B280" i="16"/>
  <c r="B281" i="16"/>
  <c r="B282" i="16"/>
  <c r="B283" i="16"/>
  <c r="B370" i="16"/>
  <c r="V17" i="7"/>
  <c r="B788" i="16"/>
  <c r="B742" i="16"/>
  <c r="B735" i="16"/>
  <c r="B716" i="16"/>
  <c r="B646" i="16"/>
  <c r="B639" i="16"/>
  <c r="B544" i="16"/>
  <c r="B537" i="16"/>
  <c r="B528" i="16"/>
  <c r="B501" i="16"/>
  <c r="B494" i="16"/>
  <c r="B496" i="16"/>
  <c r="B497" i="16"/>
  <c r="B498" i="16"/>
  <c r="B495" i="16"/>
  <c r="A494" i="16"/>
  <c r="B467" i="16"/>
  <c r="B487" i="16"/>
  <c r="B445" i="16"/>
  <c r="B436" i="16"/>
  <c r="B427" i="16"/>
  <c r="B420" i="16"/>
  <c r="B412" i="16"/>
  <c r="B273" i="16"/>
  <c r="B235" i="16"/>
  <c r="B219" i="16"/>
  <c r="B212" i="16"/>
  <c r="B205" i="16"/>
  <c r="B198" i="16"/>
  <c r="B191" i="16"/>
  <c r="B170" i="16"/>
  <c r="B163" i="16"/>
  <c r="B151" i="16"/>
  <c r="B144" i="16"/>
  <c r="B131" i="16"/>
  <c r="B124" i="16"/>
  <c r="B96" i="16"/>
  <c r="B82" i="16"/>
  <c r="B60" i="16"/>
  <c r="B45" i="16"/>
  <c r="B25" i="16"/>
  <c r="B4" i="16"/>
  <c r="B790" i="16"/>
  <c r="B791" i="16"/>
  <c r="B792" i="16"/>
  <c r="B789" i="16"/>
  <c r="A788" i="16"/>
  <c r="B785" i="16"/>
  <c r="B744" i="16"/>
  <c r="B745" i="16"/>
  <c r="B746" i="16"/>
  <c r="B743" i="16"/>
  <c r="A742" i="16"/>
  <c r="B738" i="16"/>
  <c r="B739" i="16"/>
  <c r="B736" i="16"/>
  <c r="A735" i="16"/>
  <c r="B719" i="16"/>
  <c r="B717" i="16"/>
  <c r="A716" i="16"/>
  <c r="B647" i="16"/>
  <c r="A646" i="16"/>
  <c r="B641" i="16"/>
  <c r="B642" i="16"/>
  <c r="B643" i="16"/>
  <c r="B640" i="16"/>
  <c r="A639" i="16"/>
  <c r="B598" i="16"/>
  <c r="B545" i="16"/>
  <c r="A544" i="16"/>
  <c r="B539" i="16"/>
  <c r="B540" i="16"/>
  <c r="B541" i="16"/>
  <c r="B538" i="16"/>
  <c r="A537" i="16"/>
  <c r="B530" i="16"/>
  <c r="B531" i="16"/>
  <c r="B529" i="16"/>
  <c r="A528" i="16"/>
  <c r="B503" i="16"/>
  <c r="B507" i="16"/>
  <c r="B502" i="16"/>
  <c r="B489" i="16"/>
  <c r="B490" i="16"/>
  <c r="B491" i="16"/>
  <c r="B488" i="16"/>
  <c r="B469" i="16"/>
  <c r="B468" i="16"/>
  <c r="A501" i="16"/>
  <c r="A487" i="16"/>
  <c r="A467" i="16"/>
  <c r="B446" i="16"/>
  <c r="B447" i="16"/>
  <c r="B448" i="16"/>
  <c r="A445" i="16"/>
  <c r="B437" i="16"/>
  <c r="B438" i="16"/>
  <c r="B442" i="16"/>
  <c r="A436" i="16"/>
  <c r="B428" i="16"/>
  <c r="A427" i="16"/>
  <c r="B422" i="16"/>
  <c r="B423" i="16"/>
  <c r="B424" i="16"/>
  <c r="B421" i="16"/>
  <c r="A420" i="16"/>
  <c r="B414" i="16"/>
  <c r="B413" i="16"/>
  <c r="A412" i="16"/>
  <c r="B274" i="16"/>
  <c r="A273" i="16"/>
  <c r="B237" i="16"/>
  <c r="B236" i="16"/>
  <c r="A235" i="16"/>
  <c r="B221" i="16"/>
  <c r="B222" i="16"/>
  <c r="B220" i="16"/>
  <c r="A219" i="16"/>
  <c r="B214" i="16"/>
  <c r="B215" i="16"/>
  <c r="B216" i="16"/>
  <c r="B213" i="16"/>
  <c r="A212" i="16"/>
  <c r="B207" i="16"/>
  <c r="B208" i="16"/>
  <c r="B209" i="16"/>
  <c r="B206" i="16"/>
  <c r="A205" i="16"/>
  <c r="B200" i="16"/>
  <c r="B201" i="16"/>
  <c r="B202" i="16"/>
  <c r="B199" i="16"/>
  <c r="B193" i="16"/>
  <c r="B194" i="16"/>
  <c r="B195" i="16"/>
  <c r="B192" i="16"/>
  <c r="A198" i="16"/>
  <c r="A191" i="16"/>
  <c r="B171" i="16"/>
  <c r="A170" i="16"/>
  <c r="B165" i="16"/>
  <c r="B166" i="16"/>
  <c r="B167" i="16"/>
  <c r="B164" i="16"/>
  <c r="A163" i="16"/>
  <c r="B153" i="16"/>
  <c r="B152" i="16"/>
  <c r="A151" i="16"/>
  <c r="B146" i="16"/>
  <c r="B147" i="16"/>
  <c r="B148" i="16"/>
  <c r="B145" i="16"/>
  <c r="B133" i="16"/>
  <c r="B134" i="16"/>
  <c r="B132" i="16"/>
  <c r="B126" i="16"/>
  <c r="B127" i="16"/>
  <c r="B128" i="16"/>
  <c r="B125" i="16"/>
  <c r="A144" i="16"/>
  <c r="A131" i="16"/>
  <c r="A124" i="16"/>
  <c r="B105" i="16"/>
  <c r="B106" i="16"/>
  <c r="B107" i="16"/>
  <c r="B104" i="16"/>
  <c r="A103" i="16"/>
  <c r="A96" i="16"/>
  <c r="B98" i="16"/>
  <c r="B99" i="16"/>
  <c r="B100" i="16"/>
  <c r="B97" i="16"/>
  <c r="B84" i="16"/>
  <c r="B83" i="16"/>
  <c r="A82" i="16"/>
  <c r="B62" i="16"/>
  <c r="B63" i="16"/>
  <c r="B61" i="16"/>
  <c r="A60" i="16"/>
  <c r="B47" i="16"/>
  <c r="B48" i="16"/>
  <c r="B46" i="16"/>
  <c r="A45" i="16"/>
  <c r="B34" i="16"/>
  <c r="B33" i="16"/>
  <c r="A32" i="16"/>
  <c r="B27" i="16"/>
  <c r="B28" i="16"/>
  <c r="B29" i="16"/>
  <c r="B26" i="16"/>
  <c r="A25" i="16"/>
  <c r="A4" i="16"/>
  <c r="P17" i="7"/>
  <c r="V16" i="7"/>
  <c r="B6" i="16"/>
  <c r="B7" i="16"/>
  <c r="B8" i="16"/>
  <c r="B5" i="16"/>
  <c r="Z126" i="7"/>
  <c r="Z120" i="7"/>
  <c r="Z56" i="7"/>
  <c r="Z50" i="7"/>
  <c r="Z40" i="7"/>
  <c r="Z19" i="7"/>
  <c r="Z15" i="7"/>
  <c r="Z12" i="7"/>
  <c r="Z71" i="7"/>
  <c r="Z60" i="7"/>
  <c r="Y126" i="7"/>
  <c r="Y120" i="7"/>
  <c r="Y100" i="7"/>
  <c r="Y82" i="7"/>
  <c r="Y71" i="7"/>
  <c r="Y60" i="7"/>
  <c r="Y56" i="7"/>
  <c r="Y50" i="7"/>
  <c r="Y40" i="7"/>
  <c r="Y19" i="7"/>
  <c r="Y15" i="7"/>
  <c r="Y12" i="7"/>
  <c r="X126" i="7"/>
  <c r="X120" i="7"/>
  <c r="X100" i="7"/>
  <c r="X82" i="7"/>
  <c r="X71" i="7"/>
  <c r="X60" i="7"/>
  <c r="X56" i="7"/>
  <c r="X50" i="7"/>
  <c r="X40" i="7"/>
  <c r="X19" i="7"/>
  <c r="X15" i="7"/>
  <c r="X12" i="7"/>
  <c r="W126" i="7"/>
  <c r="W120" i="7"/>
  <c r="W100" i="7"/>
  <c r="W82" i="7"/>
  <c r="W71" i="7"/>
  <c r="W60" i="7"/>
  <c r="W56" i="7"/>
  <c r="W50" i="7"/>
  <c r="W40" i="7"/>
  <c r="W19" i="7"/>
  <c r="W15" i="7"/>
  <c r="W12" i="7"/>
  <c r="V117" i="7"/>
  <c r="V116" i="7"/>
  <c r="V110" i="7"/>
  <c r="V108" i="7"/>
  <c r="V102" i="7"/>
  <c r="V101" i="7"/>
  <c r="V98" i="7"/>
  <c r="D21" i="19" s="1"/>
  <c r="V97" i="7"/>
  <c r="V96" i="7"/>
  <c r="V95" i="7"/>
  <c r="D16" i="19" s="1"/>
  <c r="V84" i="7"/>
  <c r="V67" i="7"/>
  <c r="V6" i="7"/>
  <c r="D4" i="19" s="1"/>
  <c r="N134" i="7"/>
  <c r="P117" i="7"/>
  <c r="P110" i="7"/>
  <c r="P108" i="7"/>
  <c r="P101" i="7"/>
  <c r="P100" i="7"/>
  <c r="Z100" i="7"/>
  <c r="P84" i="7"/>
  <c r="Z82" i="7"/>
  <c r="P67" i="7"/>
  <c r="V112" i="7"/>
  <c r="V20" i="7"/>
  <c r="P20" i="7"/>
  <c r="V28" i="7"/>
  <c r="V66" i="7"/>
  <c r="P66" i="7"/>
  <c r="V111" i="7"/>
  <c r="P111" i="7"/>
  <c r="V61" i="7"/>
  <c r="P61" i="7"/>
  <c r="V68" i="7"/>
  <c r="P68" i="7"/>
  <c r="V65" i="7"/>
  <c r="P65" i="7"/>
  <c r="AC119" i="7"/>
  <c r="AC99" i="7"/>
  <c r="AC70" i="7"/>
  <c r="AC59" i="7"/>
  <c r="AC55" i="7"/>
  <c r="AC39" i="7"/>
  <c r="AC11" i="7"/>
  <c r="R53" i="7" l="1"/>
  <c r="X53" i="7" s="1"/>
  <c r="Q54" i="7"/>
  <c r="W54" i="7" s="1"/>
  <c r="R52" i="7"/>
  <c r="X52" i="7" s="1"/>
  <c r="X72" i="7"/>
  <c r="V412" i="16"/>
  <c r="U501" i="16"/>
  <c r="W117" i="16"/>
  <c r="W25" i="16"/>
  <c r="W45" i="16"/>
  <c r="W103" i="16"/>
  <c r="U212" i="16"/>
  <c r="U528" i="16"/>
  <c r="U451" i="16"/>
  <c r="W191" i="16"/>
  <c r="V235" i="16"/>
  <c r="U487" i="16"/>
  <c r="U544" i="16"/>
  <c r="W646" i="16"/>
  <c r="W131" i="16"/>
  <c r="W198" i="16"/>
  <c r="W144" i="16"/>
  <c r="V170" i="16"/>
  <c r="U716" i="16"/>
  <c r="U110" i="16"/>
  <c r="V467" i="16"/>
  <c r="U639" i="16"/>
  <c r="V494" i="16"/>
  <c r="U510" i="16"/>
  <c r="T661" i="16"/>
  <c r="K661" i="16"/>
  <c r="V661" i="16" s="1"/>
  <c r="T655" i="16"/>
  <c r="K655" i="16"/>
  <c r="V655" i="16" s="1"/>
  <c r="K303" i="16"/>
  <c r="V303" i="16" s="1"/>
  <c r="T303" i="16"/>
  <c r="T511" i="16"/>
  <c r="J294" i="16"/>
  <c r="U294" i="16" s="1"/>
  <c r="T294" i="16"/>
  <c r="J288" i="16"/>
  <c r="U288" i="16" s="1"/>
  <c r="T288" i="16"/>
  <c r="T237" i="16"/>
  <c r="J237" i="16"/>
  <c r="U237" i="16" s="1"/>
  <c r="J62" i="16"/>
  <c r="U62" i="16" s="1"/>
  <c r="T62" i="16"/>
  <c r="J47" i="16"/>
  <c r="U47" i="16" s="1"/>
  <c r="T47" i="16"/>
  <c r="T5" i="16"/>
  <c r="F9" i="16"/>
  <c r="Q6" i="7" s="1"/>
  <c r="W6" i="7" s="1"/>
  <c r="T660" i="16"/>
  <c r="K660" i="16"/>
  <c r="V660" i="16" s="1"/>
  <c r="T653" i="16"/>
  <c r="K653" i="16"/>
  <c r="V653" i="16" s="1"/>
  <c r="K293" i="16"/>
  <c r="V293" i="16" s="1"/>
  <c r="T293" i="16"/>
  <c r="J306" i="16"/>
  <c r="U306" i="16" s="1"/>
  <c r="T306" i="16"/>
  <c r="J291" i="16"/>
  <c r="U291" i="16" s="1"/>
  <c r="T291" i="16"/>
  <c r="J287" i="16"/>
  <c r="U287" i="16" s="1"/>
  <c r="T287" i="16"/>
  <c r="J153" i="16"/>
  <c r="U153" i="16" s="1"/>
  <c r="T153" i="16"/>
  <c r="T118" i="16"/>
  <c r="T83" i="16"/>
  <c r="T46" i="16"/>
  <c r="T659" i="16"/>
  <c r="K659" i="16"/>
  <c r="V659" i="16" s="1"/>
  <c r="T652" i="16"/>
  <c r="K652" i="16"/>
  <c r="V652" i="16" s="1"/>
  <c r="K292" i="16"/>
  <c r="V292" i="16" s="1"/>
  <c r="T292" i="16"/>
  <c r="K47" i="16"/>
  <c r="V47" i="16" s="1"/>
  <c r="J297" i="16"/>
  <c r="U297" i="16" s="1"/>
  <c r="T297" i="16"/>
  <c r="J290" i="16"/>
  <c r="U290" i="16" s="1"/>
  <c r="T290" i="16"/>
  <c r="T286" i="16"/>
  <c r="T174" i="16"/>
  <c r="J174" i="16"/>
  <c r="U174" i="16" s="1"/>
  <c r="J64" i="16"/>
  <c r="U64" i="16" s="1"/>
  <c r="J50" i="16"/>
  <c r="U50" i="16" s="1"/>
  <c r="T50" i="16"/>
  <c r="T672" i="16"/>
  <c r="K672" i="16"/>
  <c r="V672" i="16" s="1"/>
  <c r="D13" i="19"/>
  <c r="T665" i="16"/>
  <c r="K665" i="16"/>
  <c r="V665" i="16" s="1"/>
  <c r="T656" i="16"/>
  <c r="K656" i="16"/>
  <c r="V656" i="16" s="1"/>
  <c r="T648" i="16"/>
  <c r="K648" i="16"/>
  <c r="V648" i="16" s="1"/>
  <c r="K304" i="16"/>
  <c r="V304" i="16" s="1"/>
  <c r="T304" i="16"/>
  <c r="J666" i="16"/>
  <c r="U666" i="16" s="1"/>
  <c r="T666" i="16"/>
  <c r="J295" i="16"/>
  <c r="U295" i="16" s="1"/>
  <c r="T295" i="16"/>
  <c r="J289" i="16"/>
  <c r="U289" i="16" s="1"/>
  <c r="T289" i="16"/>
  <c r="J239" i="16"/>
  <c r="T239" i="16"/>
  <c r="J172" i="16"/>
  <c r="U172" i="16" s="1"/>
  <c r="T172" i="16"/>
  <c r="T63" i="16"/>
  <c r="J63" i="16"/>
  <c r="U63" i="16" s="1"/>
  <c r="T48" i="16"/>
  <c r="J48" i="16"/>
  <c r="U48" i="16" s="1"/>
  <c r="J84" i="16"/>
  <c r="U84" i="16" s="1"/>
  <c r="T673" i="16"/>
  <c r="K673" i="16"/>
  <c r="V673" i="16" s="1"/>
  <c r="Q117" i="7"/>
  <c r="G637" i="16"/>
  <c r="K637" i="16" s="1"/>
  <c r="F637" i="16"/>
  <c r="Q106" i="7" s="1"/>
  <c r="W106" i="7" s="1"/>
  <c r="K284" i="16"/>
  <c r="V284" i="16" s="1"/>
  <c r="F255" i="16"/>
  <c r="J286" i="16"/>
  <c r="U286" i="16" s="1"/>
  <c r="F354" i="16"/>
  <c r="Q87" i="7" s="1"/>
  <c r="W87" i="7" s="1"/>
  <c r="J156" i="16"/>
  <c r="U156" i="16" s="1"/>
  <c r="J155" i="16"/>
  <c r="U155" i="16" s="1"/>
  <c r="J154" i="16"/>
  <c r="U154" i="16" s="1"/>
  <c r="G418" i="16"/>
  <c r="R95" i="7" s="1"/>
  <c r="X95" i="7" s="1"/>
  <c r="K370" i="16"/>
  <c r="V370" i="16" s="1"/>
  <c r="F168" i="16"/>
  <c r="Q58" i="7" s="1"/>
  <c r="W58" i="7" s="1"/>
  <c r="F122" i="16"/>
  <c r="Q48" i="7" s="1"/>
  <c r="W48" i="7" s="1"/>
  <c r="K374" i="16"/>
  <c r="V374" i="16" s="1"/>
  <c r="J378" i="16"/>
  <c r="U378" i="16" s="1"/>
  <c r="G535" i="16"/>
  <c r="R101" i="7" s="1"/>
  <c r="X101" i="7" s="1"/>
  <c r="K373" i="16"/>
  <c r="V373" i="16" s="1"/>
  <c r="G30" i="16"/>
  <c r="R16" i="7" s="1"/>
  <c r="X16" i="7" s="1"/>
  <c r="X143" i="7" s="1"/>
  <c r="J375" i="16"/>
  <c r="U375" i="16" s="1"/>
  <c r="K372" i="16"/>
  <c r="V372" i="16" s="1"/>
  <c r="J371" i="16"/>
  <c r="U371" i="16" s="1"/>
  <c r="H354" i="16"/>
  <c r="P87" i="7"/>
  <c r="N99" i="7"/>
  <c r="N124" i="7" s="1"/>
  <c r="N125" i="7"/>
  <c r="D12" i="19"/>
  <c r="V51" i="7"/>
  <c r="V87" i="7"/>
  <c r="D14" i="19" s="1"/>
  <c r="F18" i="19"/>
  <c r="E18" i="19"/>
  <c r="I276" i="16"/>
  <c r="F17" i="19"/>
  <c r="G21" i="19"/>
  <c r="F12" i="19"/>
  <c r="E12" i="19"/>
  <c r="E21" i="19"/>
  <c r="F129" i="16"/>
  <c r="Q51" i="7" s="1"/>
  <c r="W51" i="7" s="1"/>
  <c r="I125" i="16"/>
  <c r="J5" i="16"/>
  <c r="F728" i="16"/>
  <c r="Q110" i="7" s="1"/>
  <c r="W110" i="7" s="1"/>
  <c r="G354" i="16"/>
  <c r="R87" i="7" s="1"/>
  <c r="X87" i="7" s="1"/>
  <c r="H465" i="16"/>
  <c r="H728" i="16"/>
  <c r="P107" i="7"/>
  <c r="P54" i="7"/>
  <c r="P106" i="7"/>
  <c r="V77" i="7"/>
  <c r="D17" i="19"/>
  <c r="B15" i="7"/>
  <c r="X61" i="7"/>
  <c r="R70" i="7"/>
  <c r="X70" i="7" s="1"/>
  <c r="F7" i="19" s="1"/>
  <c r="S76" i="7"/>
  <c r="Y76" i="7" s="1"/>
  <c r="S66" i="7"/>
  <c r="Y66" i="7" s="1"/>
  <c r="S13" i="7"/>
  <c r="Y13" i="7" s="1"/>
  <c r="S111" i="7"/>
  <c r="Y111" i="7" s="1"/>
  <c r="S79" i="7"/>
  <c r="Y79" i="7" s="1"/>
  <c r="S73" i="7"/>
  <c r="Y73" i="7" s="1"/>
  <c r="S96" i="7"/>
  <c r="Y96" i="7" s="1"/>
  <c r="S83" i="7"/>
  <c r="Y83" i="7" s="1"/>
  <c r="S65" i="7"/>
  <c r="T65" i="7" s="1"/>
  <c r="Z65" i="7" s="1"/>
  <c r="Y53" i="7"/>
  <c r="S45" i="7"/>
  <c r="Y45" i="7" s="1"/>
  <c r="S6" i="7"/>
  <c r="S11" i="7" s="1"/>
  <c r="S122" i="7" s="1"/>
  <c r="S113" i="7"/>
  <c r="Y113" i="7" s="1"/>
  <c r="S107" i="7"/>
  <c r="Y107" i="7" s="1"/>
  <c r="G20" i="19" s="1"/>
  <c r="S102" i="7"/>
  <c r="Y102" i="7" s="1"/>
  <c r="S77" i="7"/>
  <c r="Y77" i="7" s="1"/>
  <c r="S58" i="7"/>
  <c r="Y58" i="7" s="1"/>
  <c r="S51" i="7"/>
  <c r="S16" i="7"/>
  <c r="Y16" i="7" s="1"/>
  <c r="S78" i="7"/>
  <c r="Y78" i="7" s="1"/>
  <c r="Y54" i="7"/>
  <c r="S68" i="7"/>
  <c r="Y68" i="7" s="1"/>
  <c r="S61" i="7"/>
  <c r="Y52" i="7"/>
  <c r="S17" i="7"/>
  <c r="Y17" i="7" s="1"/>
  <c r="S101" i="7"/>
  <c r="Y101" i="7" s="1"/>
  <c r="G16" i="19" s="1"/>
  <c r="S103" i="7"/>
  <c r="Y103" i="7" s="1"/>
  <c r="S97" i="7"/>
  <c r="Y97" i="7" s="1"/>
  <c r="X6" i="7"/>
  <c r="R11" i="7"/>
  <c r="R122" i="7" s="1"/>
  <c r="J791" i="16"/>
  <c r="U791" i="16" s="1"/>
  <c r="K792" i="16"/>
  <c r="V792" i="16" s="1"/>
  <c r="L783" i="16"/>
  <c r="W783" i="16" s="1"/>
  <c r="J785" i="16"/>
  <c r="U785" i="16" s="1"/>
  <c r="K771" i="16"/>
  <c r="V771" i="16" s="1"/>
  <c r="L772" i="16"/>
  <c r="W772" i="16" s="1"/>
  <c r="J745" i="16"/>
  <c r="U745" i="16" s="1"/>
  <c r="K746" i="16"/>
  <c r="V746" i="16" s="1"/>
  <c r="L737" i="16"/>
  <c r="W737" i="16" s="1"/>
  <c r="J739" i="16"/>
  <c r="U739" i="16" s="1"/>
  <c r="K718" i="16"/>
  <c r="V718" i="16" s="1"/>
  <c r="L719" i="16"/>
  <c r="W719" i="16" s="1"/>
  <c r="J721" i="16"/>
  <c r="U721" i="16" s="1"/>
  <c r="K722" i="16"/>
  <c r="V722" i="16" s="1"/>
  <c r="K723" i="16"/>
  <c r="V723" i="16" s="1"/>
  <c r="J725" i="16"/>
  <c r="U725" i="16" s="1"/>
  <c r="K726" i="16"/>
  <c r="V726" i="16" s="1"/>
  <c r="L727" i="16"/>
  <c r="W727" i="16" s="1"/>
  <c r="K790" i="16"/>
  <c r="V790" i="16" s="1"/>
  <c r="J792" i="16"/>
  <c r="U792" i="16" s="1"/>
  <c r="J784" i="16"/>
  <c r="U784" i="16" s="1"/>
  <c r="L785" i="16"/>
  <c r="W785" i="16" s="1"/>
  <c r="K772" i="16"/>
  <c r="V772" i="16" s="1"/>
  <c r="L744" i="16"/>
  <c r="W744" i="16" s="1"/>
  <c r="L746" i="16"/>
  <c r="W746" i="16" s="1"/>
  <c r="K738" i="16"/>
  <c r="V738" i="16" s="1"/>
  <c r="J718" i="16"/>
  <c r="U718" i="16" s="1"/>
  <c r="J720" i="16"/>
  <c r="U720" i="16" s="1"/>
  <c r="L721" i="16"/>
  <c r="W721" i="16" s="1"/>
  <c r="L724" i="16"/>
  <c r="W724" i="16" s="1"/>
  <c r="L726" i="16"/>
  <c r="W726" i="16" s="1"/>
  <c r="L641" i="16"/>
  <c r="W641" i="16" s="1"/>
  <c r="J643" i="16"/>
  <c r="U643" i="16" s="1"/>
  <c r="K596" i="16"/>
  <c r="V596" i="16" s="1"/>
  <c r="L597" i="16"/>
  <c r="W597" i="16" s="1"/>
  <c r="J599" i="16"/>
  <c r="U599" i="16" s="1"/>
  <c r="K600" i="16"/>
  <c r="V600" i="16" s="1"/>
  <c r="L601" i="16"/>
  <c r="W601" i="16" s="1"/>
  <c r="J603" i="16"/>
  <c r="U603" i="16" s="1"/>
  <c r="K604" i="16"/>
  <c r="V604" i="16" s="1"/>
  <c r="L605" i="16"/>
  <c r="W605" i="16" s="1"/>
  <c r="J607" i="16"/>
  <c r="U607" i="16" s="1"/>
  <c r="K608" i="16"/>
  <c r="V608" i="16" s="1"/>
  <c r="L609" i="16"/>
  <c r="W609" i="16" s="1"/>
  <c r="K611" i="16"/>
  <c r="V611" i="16" s="1"/>
  <c r="L612" i="16"/>
  <c r="W612" i="16" s="1"/>
  <c r="J614" i="16"/>
  <c r="U614" i="16" s="1"/>
  <c r="K615" i="16"/>
  <c r="V615" i="16" s="1"/>
  <c r="L583" i="16"/>
  <c r="W583" i="16" s="1"/>
  <c r="J585" i="16"/>
  <c r="U585" i="16" s="1"/>
  <c r="K586" i="16"/>
  <c r="V586" i="16" s="1"/>
  <c r="L587" i="16"/>
  <c r="W587" i="16" s="1"/>
  <c r="J589" i="16"/>
  <c r="U589" i="16" s="1"/>
  <c r="K590" i="16"/>
  <c r="V590" i="16" s="1"/>
  <c r="L591" i="16"/>
  <c r="W591" i="16" s="1"/>
  <c r="J564" i="16"/>
  <c r="U564" i="16" s="1"/>
  <c r="K565" i="16"/>
  <c r="V565" i="16" s="1"/>
  <c r="L566" i="16"/>
  <c r="W566" i="16" s="1"/>
  <c r="J568" i="16"/>
  <c r="U568" i="16" s="1"/>
  <c r="K569" i="16"/>
  <c r="V569" i="16" s="1"/>
  <c r="L570" i="16"/>
  <c r="W570" i="16" s="1"/>
  <c r="J572" i="16"/>
  <c r="U572" i="16" s="1"/>
  <c r="K573" i="16"/>
  <c r="V573" i="16" s="1"/>
  <c r="L574" i="16"/>
  <c r="W574" i="16" s="1"/>
  <c r="J576" i="16"/>
  <c r="U576" i="16" s="1"/>
  <c r="K577" i="16"/>
  <c r="V577" i="16" s="1"/>
  <c r="J539" i="16"/>
  <c r="U539" i="16" s="1"/>
  <c r="K540" i="16"/>
  <c r="V540" i="16" s="1"/>
  <c r="L541" i="16"/>
  <c r="W541" i="16" s="1"/>
  <c r="J531" i="16"/>
  <c r="U531" i="16" s="1"/>
  <c r="L512" i="16"/>
  <c r="W512" i="16" s="1"/>
  <c r="J514" i="16"/>
  <c r="U514" i="16" s="1"/>
  <c r="K515" i="16"/>
  <c r="V515" i="16" s="1"/>
  <c r="L516" i="16"/>
  <c r="W516" i="16" s="1"/>
  <c r="J518" i="16"/>
  <c r="U518" i="16" s="1"/>
  <c r="K519" i="16"/>
  <c r="V519" i="16" s="1"/>
  <c r="L520" i="16"/>
  <c r="W520" i="16" s="1"/>
  <c r="L496" i="16"/>
  <c r="W496" i="16" s="1"/>
  <c r="J498" i="16"/>
  <c r="U498" i="16" s="1"/>
  <c r="K489" i="16"/>
  <c r="V489" i="16" s="1"/>
  <c r="L490" i="16"/>
  <c r="W490" i="16" s="1"/>
  <c r="J469" i="16"/>
  <c r="U469" i="16" s="1"/>
  <c r="K470" i="16"/>
  <c r="V470" i="16" s="1"/>
  <c r="L471" i="16"/>
  <c r="W471" i="16" s="1"/>
  <c r="J473" i="16"/>
  <c r="U473" i="16" s="1"/>
  <c r="L474" i="16"/>
  <c r="W474" i="16" s="1"/>
  <c r="K476" i="16"/>
  <c r="L477" i="16"/>
  <c r="W477" i="16" s="1"/>
  <c r="J479" i="16"/>
  <c r="U479" i="16" s="1"/>
  <c r="K480" i="16"/>
  <c r="L481" i="16"/>
  <c r="W481" i="16" s="1"/>
  <c r="J483" i="16"/>
  <c r="U483" i="16" s="1"/>
  <c r="K484" i="16"/>
  <c r="V484" i="16" s="1"/>
  <c r="L452" i="16"/>
  <c r="W452" i="16" s="1"/>
  <c r="J454" i="16"/>
  <c r="U454" i="16" s="1"/>
  <c r="K455" i="16"/>
  <c r="L456" i="16"/>
  <c r="W456" i="16" s="1"/>
  <c r="J458" i="16"/>
  <c r="U458" i="16" s="1"/>
  <c r="K459" i="16"/>
  <c r="V459" i="16" s="1"/>
  <c r="L437" i="16"/>
  <c r="W437" i="16" s="1"/>
  <c r="L790" i="16"/>
  <c r="W790" i="16" s="1"/>
  <c r="J783" i="16"/>
  <c r="U783" i="16" s="1"/>
  <c r="K785" i="16"/>
  <c r="V785" i="16" s="1"/>
  <c r="K744" i="16"/>
  <c r="V744" i="16" s="1"/>
  <c r="J737" i="16"/>
  <c r="U737" i="16" s="1"/>
  <c r="K739" i="16"/>
  <c r="V739" i="16" s="1"/>
  <c r="K719" i="16"/>
  <c r="V719" i="16" s="1"/>
  <c r="J722" i="16"/>
  <c r="U722" i="16" s="1"/>
  <c r="J724" i="16"/>
  <c r="U724" i="16" s="1"/>
  <c r="J726" i="16"/>
  <c r="U726" i="16" s="1"/>
  <c r="J641" i="16"/>
  <c r="U641" i="16" s="1"/>
  <c r="L642" i="16"/>
  <c r="W642" i="16" s="1"/>
  <c r="L596" i="16"/>
  <c r="W596" i="16" s="1"/>
  <c r="K598" i="16"/>
  <c r="V598" i="16" s="1"/>
  <c r="J600" i="16"/>
  <c r="U600" i="16" s="1"/>
  <c r="J602" i="16"/>
  <c r="U602" i="16" s="1"/>
  <c r="L603" i="16"/>
  <c r="W603" i="16" s="1"/>
  <c r="K605" i="16"/>
  <c r="V605" i="16" s="1"/>
  <c r="K607" i="16"/>
  <c r="V607" i="16" s="1"/>
  <c r="J609" i="16"/>
  <c r="U609" i="16" s="1"/>
  <c r="L610" i="16"/>
  <c r="W610" i="16" s="1"/>
  <c r="L611" i="16"/>
  <c r="W611" i="16" s="1"/>
  <c r="K613" i="16"/>
  <c r="V613" i="16" s="1"/>
  <c r="J615" i="16"/>
  <c r="U615" i="16" s="1"/>
  <c r="K583" i="16"/>
  <c r="V583" i="16" s="1"/>
  <c r="K585" i="16"/>
  <c r="V585" i="16" s="1"/>
  <c r="J587" i="16"/>
  <c r="U587" i="16" s="1"/>
  <c r="L588" i="16"/>
  <c r="W588" i="16" s="1"/>
  <c r="L590" i="16"/>
  <c r="W590" i="16" s="1"/>
  <c r="K592" i="16"/>
  <c r="V592" i="16" s="1"/>
  <c r="J565" i="16"/>
  <c r="U565" i="16" s="1"/>
  <c r="J567" i="16"/>
  <c r="U567" i="16" s="1"/>
  <c r="L568" i="16"/>
  <c r="W568" i="16" s="1"/>
  <c r="K570" i="16"/>
  <c r="V570" i="16" s="1"/>
  <c r="K572" i="16"/>
  <c r="V572" i="16" s="1"/>
  <c r="J574" i="16"/>
  <c r="U574" i="16" s="1"/>
  <c r="L575" i="16"/>
  <c r="W575" i="16" s="1"/>
  <c r="L577" i="16"/>
  <c r="W577" i="16" s="1"/>
  <c r="L540" i="16"/>
  <c r="W540" i="16" s="1"/>
  <c r="K530" i="16"/>
  <c r="V530" i="16" s="1"/>
  <c r="J513" i="16"/>
  <c r="U513" i="16" s="1"/>
  <c r="L514" i="16"/>
  <c r="W514" i="16" s="1"/>
  <c r="K516" i="16"/>
  <c r="V516" i="16" s="1"/>
  <c r="K518" i="16"/>
  <c r="V518" i="16" s="1"/>
  <c r="J520" i="16"/>
  <c r="U520" i="16" s="1"/>
  <c r="L503" i="16"/>
  <c r="W503" i="16" s="1"/>
  <c r="K497" i="16"/>
  <c r="V497" i="16" s="1"/>
  <c r="J489" i="16"/>
  <c r="U489" i="16" s="1"/>
  <c r="J491" i="16"/>
  <c r="U491" i="16" s="1"/>
  <c r="L469" i="16"/>
  <c r="W469" i="16" s="1"/>
  <c r="K471" i="16"/>
  <c r="V471" i="16" s="1"/>
  <c r="K473" i="16"/>
  <c r="V473" i="16" s="1"/>
  <c r="J474" i="16"/>
  <c r="U474" i="16" s="1"/>
  <c r="L475" i="16"/>
  <c r="L476" i="16"/>
  <c r="K478" i="16"/>
  <c r="J480" i="16"/>
  <c r="J482" i="16"/>
  <c r="U482" i="16" s="1"/>
  <c r="L483" i="16"/>
  <c r="W483" i="16" s="1"/>
  <c r="K452" i="16"/>
  <c r="V452" i="16" s="1"/>
  <c r="K454" i="16"/>
  <c r="V454" i="16" s="1"/>
  <c r="J456" i="16"/>
  <c r="U456" i="16" s="1"/>
  <c r="L457" i="16"/>
  <c r="W457" i="16" s="1"/>
  <c r="L459" i="16"/>
  <c r="W459" i="16" s="1"/>
  <c r="K446" i="16"/>
  <c r="V446" i="16" s="1"/>
  <c r="L171" i="16"/>
  <c r="W171" i="16" s="1"/>
  <c r="K791" i="16"/>
  <c r="V791" i="16" s="1"/>
  <c r="K783" i="16"/>
  <c r="V783" i="16" s="1"/>
  <c r="J771" i="16"/>
  <c r="U771" i="16" s="1"/>
  <c r="K745" i="16"/>
  <c r="V745" i="16" s="1"/>
  <c r="K737" i="16"/>
  <c r="V737" i="16" s="1"/>
  <c r="L739" i="16"/>
  <c r="W739" i="16" s="1"/>
  <c r="K720" i="16"/>
  <c r="V720" i="16" s="1"/>
  <c r="L722" i="16"/>
  <c r="W722" i="16" s="1"/>
  <c r="K724" i="16"/>
  <c r="V724" i="16" s="1"/>
  <c r="J727" i="16"/>
  <c r="U727" i="16" s="1"/>
  <c r="J790" i="16"/>
  <c r="U790" i="16" s="1"/>
  <c r="L784" i="16"/>
  <c r="W784" i="16" s="1"/>
  <c r="J746" i="16"/>
  <c r="U746" i="16" s="1"/>
  <c r="J719" i="16"/>
  <c r="U719" i="16" s="1"/>
  <c r="L723" i="16"/>
  <c r="W723" i="16" s="1"/>
  <c r="K643" i="16"/>
  <c r="V643" i="16" s="1"/>
  <c r="K597" i="16"/>
  <c r="V597" i="16" s="1"/>
  <c r="L599" i="16"/>
  <c r="W599" i="16" s="1"/>
  <c r="K602" i="16"/>
  <c r="V602" i="16" s="1"/>
  <c r="L604" i="16"/>
  <c r="W604" i="16" s="1"/>
  <c r="L606" i="16"/>
  <c r="W606" i="16" s="1"/>
  <c r="K609" i="16"/>
  <c r="V609" i="16" s="1"/>
  <c r="J613" i="16"/>
  <c r="U613" i="16" s="1"/>
  <c r="L615" i="16"/>
  <c r="W615" i="16" s="1"/>
  <c r="J583" i="16"/>
  <c r="U583" i="16" s="1"/>
  <c r="L585" i="16"/>
  <c r="W585" i="16" s="1"/>
  <c r="J588" i="16"/>
  <c r="U588" i="16" s="1"/>
  <c r="J590" i="16"/>
  <c r="U590" i="16" s="1"/>
  <c r="L592" i="16"/>
  <c r="W592" i="16" s="1"/>
  <c r="J566" i="16"/>
  <c r="U566" i="16" s="1"/>
  <c r="K568" i="16"/>
  <c r="V568" i="16" s="1"/>
  <c r="J571" i="16"/>
  <c r="U571" i="16" s="1"/>
  <c r="J573" i="16"/>
  <c r="U573" i="16" s="1"/>
  <c r="K575" i="16"/>
  <c r="V575" i="16" s="1"/>
  <c r="K539" i="16"/>
  <c r="V539" i="16" s="1"/>
  <c r="K541" i="16"/>
  <c r="V541" i="16" s="1"/>
  <c r="L531" i="16"/>
  <c r="W531" i="16" s="1"/>
  <c r="K513" i="16"/>
  <c r="V513" i="16" s="1"/>
  <c r="L515" i="16"/>
  <c r="W515" i="16" s="1"/>
  <c r="L517" i="16"/>
  <c r="W517" i="16" s="1"/>
  <c r="K520" i="16"/>
  <c r="V520" i="16" s="1"/>
  <c r="J497" i="16"/>
  <c r="U497" i="16" s="1"/>
  <c r="L489" i="16"/>
  <c r="W489" i="16" s="1"/>
  <c r="L491" i="16"/>
  <c r="W491" i="16" s="1"/>
  <c r="J471" i="16"/>
  <c r="U471" i="16" s="1"/>
  <c r="L473" i="16"/>
  <c r="W473" i="16" s="1"/>
  <c r="J475" i="16"/>
  <c r="U475" i="16" s="1"/>
  <c r="J476" i="16"/>
  <c r="U476" i="16" s="1"/>
  <c r="L478" i="16"/>
  <c r="W478" i="16" s="1"/>
  <c r="J481" i="16"/>
  <c r="U481" i="16" s="1"/>
  <c r="K483" i="16"/>
  <c r="V483" i="16" s="1"/>
  <c r="J453" i="16"/>
  <c r="U453" i="16" s="1"/>
  <c r="J455" i="16"/>
  <c r="K457" i="16"/>
  <c r="V457" i="16" s="1"/>
  <c r="K437" i="16"/>
  <c r="V437" i="16" s="1"/>
  <c r="J171" i="16"/>
  <c r="U171" i="16" s="1"/>
  <c r="L791" i="16"/>
  <c r="W791" i="16" s="1"/>
  <c r="L771" i="16"/>
  <c r="W771" i="16" s="1"/>
  <c r="J738" i="16"/>
  <c r="U738" i="16" s="1"/>
  <c r="L720" i="16"/>
  <c r="W720" i="16" s="1"/>
  <c r="K725" i="16"/>
  <c r="V725" i="16" s="1"/>
  <c r="K641" i="16"/>
  <c r="V641" i="16" s="1"/>
  <c r="L643" i="16"/>
  <c r="W643" i="16" s="1"/>
  <c r="J598" i="16"/>
  <c r="U598" i="16" s="1"/>
  <c r="L600" i="16"/>
  <c r="W600" i="16" s="1"/>
  <c r="L602" i="16"/>
  <c r="W602" i="16" s="1"/>
  <c r="J605" i="16"/>
  <c r="U605" i="16" s="1"/>
  <c r="L607" i="16"/>
  <c r="W607" i="16" s="1"/>
  <c r="J610" i="16"/>
  <c r="U610" i="16" s="1"/>
  <c r="J611" i="16"/>
  <c r="U611" i="16" s="1"/>
  <c r="L613" i="16"/>
  <c r="W613" i="16" s="1"/>
  <c r="J584" i="16"/>
  <c r="U584" i="16" s="1"/>
  <c r="J586" i="16"/>
  <c r="U586" i="16" s="1"/>
  <c r="K588" i="16"/>
  <c r="V588" i="16" s="1"/>
  <c r="J591" i="16"/>
  <c r="U591" i="16" s="1"/>
  <c r="K564" i="16"/>
  <c r="V564" i="16" s="1"/>
  <c r="K566" i="16"/>
  <c r="V566" i="16" s="1"/>
  <c r="J569" i="16"/>
  <c r="U569" i="16" s="1"/>
  <c r="K571" i="16"/>
  <c r="V571" i="16" s="1"/>
  <c r="L573" i="16"/>
  <c r="W573" i="16" s="1"/>
  <c r="K576" i="16"/>
  <c r="V576" i="16" s="1"/>
  <c r="L539" i="16"/>
  <c r="W539" i="16" s="1"/>
  <c r="J530" i="16"/>
  <c r="U530" i="16" s="1"/>
  <c r="L513" i="16"/>
  <c r="W513" i="16" s="1"/>
  <c r="J516" i="16"/>
  <c r="U516" i="16" s="1"/>
  <c r="L518" i="16"/>
  <c r="W518" i="16" s="1"/>
  <c r="J503" i="16"/>
  <c r="U503" i="16" s="1"/>
  <c r="L497" i="16"/>
  <c r="W497" i="16" s="1"/>
  <c r="J490" i="16"/>
  <c r="U490" i="16" s="1"/>
  <c r="K469" i="16"/>
  <c r="V469" i="16" s="1"/>
  <c r="J472" i="16"/>
  <c r="U472" i="16" s="1"/>
  <c r="K475" i="16"/>
  <c r="V475" i="16" s="1"/>
  <c r="J477" i="16"/>
  <c r="U477" i="16" s="1"/>
  <c r="K479" i="16"/>
  <c r="V479" i="16" s="1"/>
  <c r="K481" i="16"/>
  <c r="V481" i="16" s="1"/>
  <c r="J484" i="16"/>
  <c r="U484" i="16" s="1"/>
  <c r="K453" i="16"/>
  <c r="L455" i="16"/>
  <c r="W455" i="16" s="1"/>
  <c r="K458" i="16"/>
  <c r="V458" i="16" s="1"/>
  <c r="K171" i="16"/>
  <c r="L792" i="16"/>
  <c r="W792" i="16" s="1"/>
  <c r="J772" i="16"/>
  <c r="U772" i="16" s="1"/>
  <c r="J744" i="16"/>
  <c r="U744" i="16" s="1"/>
  <c r="L738" i="16"/>
  <c r="W738" i="16" s="1"/>
  <c r="K721" i="16"/>
  <c r="V721" i="16" s="1"/>
  <c r="L725" i="16"/>
  <c r="W725" i="16" s="1"/>
  <c r="J642" i="16"/>
  <c r="U642" i="16" s="1"/>
  <c r="J596" i="16"/>
  <c r="U596" i="16" s="1"/>
  <c r="L598" i="16"/>
  <c r="W598" i="16" s="1"/>
  <c r="J601" i="16"/>
  <c r="U601" i="16" s="1"/>
  <c r="K603" i="16"/>
  <c r="V603" i="16" s="1"/>
  <c r="J606" i="16"/>
  <c r="U606" i="16" s="1"/>
  <c r="J608" i="16"/>
  <c r="U608" i="16" s="1"/>
  <c r="K610" i="16"/>
  <c r="V610" i="16" s="1"/>
  <c r="J612" i="16"/>
  <c r="U612" i="16" s="1"/>
  <c r="K614" i="16"/>
  <c r="V614" i="16" s="1"/>
  <c r="K584" i="16"/>
  <c r="V584" i="16" s="1"/>
  <c r="L586" i="16"/>
  <c r="W586" i="16" s="1"/>
  <c r="K589" i="16"/>
  <c r="V589" i="16" s="1"/>
  <c r="K591" i="16"/>
  <c r="V591" i="16" s="1"/>
  <c r="L564" i="16"/>
  <c r="W564" i="16" s="1"/>
  <c r="K567" i="16"/>
  <c r="V567" i="16" s="1"/>
  <c r="L569" i="16"/>
  <c r="W569" i="16" s="1"/>
  <c r="L571" i="16"/>
  <c r="W571" i="16" s="1"/>
  <c r="K574" i="16"/>
  <c r="V574" i="16" s="1"/>
  <c r="L576" i="16"/>
  <c r="W576" i="16" s="1"/>
  <c r="J540" i="16"/>
  <c r="U540" i="16" s="1"/>
  <c r="L530" i="16"/>
  <c r="W530" i="16" s="1"/>
  <c r="J512" i="16"/>
  <c r="U512" i="16" s="1"/>
  <c r="K514" i="16"/>
  <c r="V514" i="16" s="1"/>
  <c r="J517" i="16"/>
  <c r="U517" i="16" s="1"/>
  <c r="J519" i="16"/>
  <c r="U519" i="16" s="1"/>
  <c r="K503" i="16"/>
  <c r="V503" i="16" s="1"/>
  <c r="J496" i="16"/>
  <c r="U496" i="16" s="1"/>
  <c r="K498" i="16"/>
  <c r="V498" i="16" s="1"/>
  <c r="K490" i="16"/>
  <c r="V490" i="16" s="1"/>
  <c r="J470" i="16"/>
  <c r="U470" i="16" s="1"/>
  <c r="K472" i="16"/>
  <c r="V472" i="16" s="1"/>
  <c r="K477" i="16"/>
  <c r="V477" i="16" s="1"/>
  <c r="L479" i="16"/>
  <c r="W479" i="16" s="1"/>
  <c r="K482" i="16"/>
  <c r="V482" i="16" s="1"/>
  <c r="L484" i="16"/>
  <c r="W484" i="16" s="1"/>
  <c r="L453" i="16"/>
  <c r="W453" i="16" s="1"/>
  <c r="K456" i="16"/>
  <c r="V456" i="16" s="1"/>
  <c r="L458" i="16"/>
  <c r="W458" i="16" s="1"/>
  <c r="J446" i="16"/>
  <c r="U446" i="16" s="1"/>
  <c r="K784" i="16"/>
  <c r="V784" i="16" s="1"/>
  <c r="L745" i="16"/>
  <c r="W745" i="16" s="1"/>
  <c r="L718" i="16"/>
  <c r="W718" i="16" s="1"/>
  <c r="J723" i="16"/>
  <c r="U723" i="16" s="1"/>
  <c r="K727" i="16"/>
  <c r="V727" i="16" s="1"/>
  <c r="K642" i="16"/>
  <c r="V642" i="16" s="1"/>
  <c r="J597" i="16"/>
  <c r="U597" i="16" s="1"/>
  <c r="K599" i="16"/>
  <c r="V599" i="16" s="1"/>
  <c r="K601" i="16"/>
  <c r="V601" i="16" s="1"/>
  <c r="J604" i="16"/>
  <c r="U604" i="16" s="1"/>
  <c r="K606" i="16"/>
  <c r="V606" i="16" s="1"/>
  <c r="L608" i="16"/>
  <c r="W608" i="16" s="1"/>
  <c r="K612" i="16"/>
  <c r="V612" i="16" s="1"/>
  <c r="L614" i="16"/>
  <c r="W614" i="16" s="1"/>
  <c r="L584" i="16"/>
  <c r="W584" i="16" s="1"/>
  <c r="K587" i="16"/>
  <c r="V587" i="16" s="1"/>
  <c r="L589" i="16"/>
  <c r="W589" i="16" s="1"/>
  <c r="J592" i="16"/>
  <c r="U592" i="16" s="1"/>
  <c r="L565" i="16"/>
  <c r="W565" i="16" s="1"/>
  <c r="L567" i="16"/>
  <c r="W567" i="16" s="1"/>
  <c r="J570" i="16"/>
  <c r="U570" i="16" s="1"/>
  <c r="L572" i="16"/>
  <c r="W572" i="16" s="1"/>
  <c r="J575" i="16"/>
  <c r="U575" i="16" s="1"/>
  <c r="J577" i="16"/>
  <c r="U577" i="16" s="1"/>
  <c r="K512" i="16"/>
  <c r="V512" i="16" s="1"/>
  <c r="L470" i="16"/>
  <c r="W470" i="16" s="1"/>
  <c r="J478" i="16"/>
  <c r="L454" i="16"/>
  <c r="W454" i="16" s="1"/>
  <c r="J437" i="16"/>
  <c r="U437" i="16" s="1"/>
  <c r="J515" i="16"/>
  <c r="U515" i="16" s="1"/>
  <c r="K496" i="16"/>
  <c r="V496" i="16" s="1"/>
  <c r="L472" i="16"/>
  <c r="W472" i="16" s="1"/>
  <c r="L480" i="16"/>
  <c r="W480" i="16" s="1"/>
  <c r="J457" i="16"/>
  <c r="U457" i="16" s="1"/>
  <c r="J541" i="16"/>
  <c r="U541" i="16" s="1"/>
  <c r="K517" i="16"/>
  <c r="V517" i="16" s="1"/>
  <c r="L498" i="16"/>
  <c r="W498" i="16" s="1"/>
  <c r="K474" i="16"/>
  <c r="V474" i="16" s="1"/>
  <c r="L482" i="16"/>
  <c r="W482" i="16" s="1"/>
  <c r="J459" i="16"/>
  <c r="U459" i="16" s="1"/>
  <c r="K531" i="16"/>
  <c r="V531" i="16" s="1"/>
  <c r="L519" i="16"/>
  <c r="W519" i="16" s="1"/>
  <c r="K491" i="16"/>
  <c r="V491" i="16" s="1"/>
  <c r="J452" i="16"/>
  <c r="U452" i="16" s="1"/>
  <c r="L446" i="16"/>
  <c r="W446" i="16" s="1"/>
  <c r="J770" i="16"/>
  <c r="U770" i="16" s="1"/>
  <c r="J769" i="16"/>
  <c r="U769" i="16" s="1"/>
  <c r="K770" i="16"/>
  <c r="V770" i="16" s="1"/>
  <c r="K769" i="16"/>
  <c r="V769" i="16" s="1"/>
  <c r="J778" i="16"/>
  <c r="L770" i="16"/>
  <c r="W770" i="16" s="1"/>
  <c r="L769" i="16"/>
  <c r="W769" i="16" s="1"/>
  <c r="K778" i="16"/>
  <c r="L778" i="16"/>
  <c r="J781" i="16"/>
  <c r="U781" i="16" s="1"/>
  <c r="J782" i="16"/>
  <c r="U782" i="16" s="1"/>
  <c r="K781" i="16"/>
  <c r="V781" i="16" s="1"/>
  <c r="K782" i="16"/>
  <c r="V782" i="16" s="1"/>
  <c r="L781" i="16"/>
  <c r="W781" i="16" s="1"/>
  <c r="L782" i="16"/>
  <c r="W782" i="16" s="1"/>
  <c r="K563" i="16"/>
  <c r="V563" i="16" s="1"/>
  <c r="L562" i="16"/>
  <c r="W562" i="16" s="1"/>
  <c r="K581" i="16"/>
  <c r="V581" i="16" s="1"/>
  <c r="J582" i="16"/>
  <c r="U582" i="16" s="1"/>
  <c r="K595" i="16"/>
  <c r="V595" i="16" s="1"/>
  <c r="K578" i="16"/>
  <c r="K562" i="16"/>
  <c r="V562" i="16" s="1"/>
  <c r="L581" i="16"/>
  <c r="W581" i="16" s="1"/>
  <c r="K582" i="16"/>
  <c r="V582" i="16" s="1"/>
  <c r="L595" i="16"/>
  <c r="W595" i="16" s="1"/>
  <c r="J562" i="16"/>
  <c r="U562" i="16" s="1"/>
  <c r="L582" i="16"/>
  <c r="W582" i="16" s="1"/>
  <c r="J581" i="16"/>
  <c r="U581" i="16" s="1"/>
  <c r="L563" i="16"/>
  <c r="W563" i="16" s="1"/>
  <c r="J595" i="16"/>
  <c r="U595" i="16" s="1"/>
  <c r="J563" i="16"/>
  <c r="U563" i="16" s="1"/>
  <c r="J593" i="16"/>
  <c r="L593" i="16"/>
  <c r="J578" i="16"/>
  <c r="K593" i="16"/>
  <c r="L578" i="16"/>
  <c r="J789" i="16"/>
  <c r="U789" i="16" s="1"/>
  <c r="J750" i="16"/>
  <c r="U750" i="16" s="1"/>
  <c r="J743" i="16"/>
  <c r="U743" i="16" s="1"/>
  <c r="J736" i="16"/>
  <c r="U736" i="16" s="1"/>
  <c r="J717" i="16"/>
  <c r="L647" i="16"/>
  <c r="W647" i="16" s="1"/>
  <c r="L789" i="16"/>
  <c r="W789" i="16" s="1"/>
  <c r="L736" i="16"/>
  <c r="W736" i="16" s="1"/>
  <c r="K717" i="16"/>
  <c r="V717" i="16" s="1"/>
  <c r="L529" i="16"/>
  <c r="W529" i="16" s="1"/>
  <c r="L511" i="16"/>
  <c r="W511" i="16" s="1"/>
  <c r="J488" i="16"/>
  <c r="U488" i="16" s="1"/>
  <c r="J468" i="16"/>
  <c r="U468" i="16" s="1"/>
  <c r="J413" i="16"/>
  <c r="U413" i="16" s="1"/>
  <c r="K274" i="16"/>
  <c r="V274" i="16" s="1"/>
  <c r="L750" i="16"/>
  <c r="W750" i="16" s="1"/>
  <c r="L717" i="16"/>
  <c r="K647" i="16"/>
  <c r="V647" i="16" s="1"/>
  <c r="J545" i="16"/>
  <c r="U545" i="16" s="1"/>
  <c r="K511" i="16"/>
  <c r="V511" i="16" s="1"/>
  <c r="L468" i="16"/>
  <c r="K236" i="16"/>
  <c r="V236" i="16" s="1"/>
  <c r="K736" i="16"/>
  <c r="K545" i="16"/>
  <c r="V545" i="16" s="1"/>
  <c r="K789" i="16"/>
  <c r="V789" i="16" s="1"/>
  <c r="K743" i="16"/>
  <c r="V743" i="16" s="1"/>
  <c r="L545" i="16"/>
  <c r="W545" i="16" s="1"/>
  <c r="J529" i="16"/>
  <c r="U529" i="16" s="1"/>
  <c r="K488" i="16"/>
  <c r="V488" i="16" s="1"/>
  <c r="K413" i="16"/>
  <c r="V413" i="16" s="1"/>
  <c r="J274" i="16"/>
  <c r="U274" i="16" s="1"/>
  <c r="J236" i="16"/>
  <c r="U236" i="16" s="1"/>
  <c r="K750" i="16"/>
  <c r="V750" i="16" s="1"/>
  <c r="L743" i="16"/>
  <c r="W743" i="16" s="1"/>
  <c r="J647" i="16"/>
  <c r="U647" i="16" s="1"/>
  <c r="K529" i="16"/>
  <c r="V529" i="16" s="1"/>
  <c r="J511" i="16"/>
  <c r="U511" i="16" s="1"/>
  <c r="L488" i="16"/>
  <c r="W488" i="16" s="1"/>
  <c r="K468" i="16"/>
  <c r="V468" i="16" s="1"/>
  <c r="L413" i="16"/>
  <c r="W413" i="16" s="1"/>
  <c r="L274" i="16"/>
  <c r="W274" i="16" s="1"/>
  <c r="L236" i="16"/>
  <c r="W236" i="16" s="1"/>
  <c r="F94" i="16"/>
  <c r="J94" i="16" s="1"/>
  <c r="R110" i="7"/>
  <c r="X110" i="7" s="1"/>
  <c r="V25" i="7"/>
  <c r="P25" i="7"/>
  <c r="V32" i="7"/>
  <c r="P32" i="7"/>
  <c r="P74" i="7"/>
  <c r="V74" i="7"/>
  <c r="N39" i="7"/>
  <c r="V91" i="7"/>
  <c r="V37" i="7"/>
  <c r="P103" i="7"/>
  <c r="N14" i="7"/>
  <c r="P14" i="7" s="1"/>
  <c r="P26" i="7"/>
  <c r="V26" i="7"/>
  <c r="P34" i="7"/>
  <c r="V34" i="7"/>
  <c r="P75" i="7"/>
  <c r="V75" i="7"/>
  <c r="N143" i="7"/>
  <c r="N18" i="7"/>
  <c r="N123" i="7" s="1"/>
  <c r="V21" i="7"/>
  <c r="P21" i="7"/>
  <c r="P27" i="7"/>
  <c r="V27" i="7"/>
  <c r="P35" i="7"/>
  <c r="V35" i="7"/>
  <c r="P76" i="7"/>
  <c r="X14" i="7"/>
  <c r="N133" i="7"/>
  <c r="N59" i="7"/>
  <c r="N55" i="7"/>
  <c r="V55" i="7" s="1"/>
  <c r="D6" i="19" s="1"/>
  <c r="P24" i="7"/>
  <c r="V24" i="7"/>
  <c r="P31" i="7"/>
  <c r="V31" i="7"/>
  <c r="V36" i="7"/>
  <c r="P36" i="7"/>
  <c r="P78" i="7"/>
  <c r="P37" i="7"/>
  <c r="P39" i="7" s="1"/>
  <c r="V76" i="7"/>
  <c r="N142" i="7"/>
  <c r="P53" i="7"/>
  <c r="P16" i="7"/>
  <c r="F5" i="17"/>
  <c r="E5" i="17"/>
  <c r="D5" i="17"/>
  <c r="I5" i="17"/>
  <c r="N130" i="7"/>
  <c r="N136" i="7"/>
  <c r="N132" i="7"/>
  <c r="P83" i="7"/>
  <c r="P99" i="7" s="1"/>
  <c r="P124" i="7" s="1"/>
  <c r="P73" i="7"/>
  <c r="N140" i="7"/>
  <c r="P58" i="7"/>
  <c r="V103" i="7"/>
  <c r="D18" i="19" s="1"/>
  <c r="P57" i="7"/>
  <c r="N135" i="7"/>
  <c r="V52" i="7"/>
  <c r="V13" i="7"/>
  <c r="P79" i="7"/>
  <c r="G5" i="17"/>
  <c r="V57" i="7"/>
  <c r="P72" i="7"/>
  <c r="V38" i="7"/>
  <c r="J144" i="16"/>
  <c r="U144" i="16" s="1"/>
  <c r="J124" i="16"/>
  <c r="U124" i="16" s="1"/>
  <c r="L145" i="16"/>
  <c r="W145" i="16" s="1"/>
  <c r="L61" i="16"/>
  <c r="K205" i="16"/>
  <c r="V205" i="16" s="1"/>
  <c r="K12" i="16"/>
  <c r="V12" i="16" s="1"/>
  <c r="L11" i="16"/>
  <c r="W11" i="16" s="1"/>
  <c r="K18" i="16"/>
  <c r="V18" i="16" s="1"/>
  <c r="K19" i="16"/>
  <c r="V19" i="16" s="1"/>
  <c r="L16" i="16"/>
  <c r="K11" i="16"/>
  <c r="V11" i="16" s="1"/>
  <c r="L18" i="16"/>
  <c r="W18" i="16" s="1"/>
  <c r="L19" i="16"/>
  <c r="W19" i="16" s="1"/>
  <c r="K16" i="16"/>
  <c r="J11" i="16"/>
  <c r="U11" i="16" s="1"/>
  <c r="L12" i="16"/>
  <c r="W12" i="16" s="1"/>
  <c r="J18" i="16"/>
  <c r="U18" i="16" s="1"/>
  <c r="J19" i="16"/>
  <c r="U19" i="16" s="1"/>
  <c r="J12" i="16"/>
  <c r="J16" i="16"/>
  <c r="L108" i="16"/>
  <c r="L445" i="16"/>
  <c r="W445" i="16" s="1"/>
  <c r="L199" i="16"/>
  <c r="W199" i="16" s="1"/>
  <c r="K502" i="16"/>
  <c r="V502" i="16" s="1"/>
  <c r="K131" i="16"/>
  <c r="V131" i="16" s="1"/>
  <c r="J434" i="16"/>
  <c r="J412" i="16"/>
  <c r="U412" i="16" s="1"/>
  <c r="J61" i="16"/>
  <c r="L640" i="16"/>
  <c r="W640" i="16" s="1"/>
  <c r="G161" i="16"/>
  <c r="R57" i="7" s="1"/>
  <c r="X57" i="7" s="1"/>
  <c r="G58" i="16"/>
  <c r="R20" i="7" s="1"/>
  <c r="X20" i="7" s="1"/>
  <c r="L129" i="16"/>
  <c r="S20" i="7"/>
  <c r="Y20" i="7" s="1"/>
  <c r="L793" i="16"/>
  <c r="L510" i="16"/>
  <c r="W510" i="16" s="1"/>
  <c r="L412" i="16"/>
  <c r="W412" i="16" s="1"/>
  <c r="L213" i="16"/>
  <c r="W213" i="16" s="1"/>
  <c r="L142" i="16"/>
  <c r="L96" i="16"/>
  <c r="W96" i="16" s="1"/>
  <c r="L25" i="16"/>
  <c r="K544" i="16"/>
  <c r="V544" i="16" s="1"/>
  <c r="K443" i="16"/>
  <c r="K420" i="16"/>
  <c r="V420" i="16" s="1"/>
  <c r="K104" i="16"/>
  <c r="V104" i="16" s="1"/>
  <c r="L786" i="16"/>
  <c r="L747" i="16"/>
  <c r="L191" i="16"/>
  <c r="L83" i="16"/>
  <c r="W83" i="16" s="1"/>
  <c r="L45" i="16"/>
  <c r="K788" i="16"/>
  <c r="V788" i="16" s="1"/>
  <c r="J96" i="16"/>
  <c r="U96" i="16" s="1"/>
  <c r="J191" i="16"/>
  <c r="U191" i="16" s="1"/>
  <c r="K46" i="16"/>
  <c r="K96" i="16"/>
  <c r="V96" i="16" s="1"/>
  <c r="K192" i="16"/>
  <c r="V192" i="16" s="1"/>
  <c r="K206" i="16"/>
  <c r="V206" i="16" s="1"/>
  <c r="L9" i="16"/>
  <c r="L205" i="16"/>
  <c r="W205" i="16" s="1"/>
  <c r="L467" i="16"/>
  <c r="W467" i="16" s="1"/>
  <c r="J421" i="16"/>
  <c r="U421" i="16" s="1"/>
  <c r="J788" i="16"/>
  <c r="U788" i="16" s="1"/>
  <c r="K233" i="16"/>
  <c r="L43" i="16"/>
  <c r="L125" i="16"/>
  <c r="W125" i="16" s="1"/>
  <c r="L196" i="16"/>
  <c r="L421" i="16"/>
  <c r="W421" i="16" s="1"/>
  <c r="L436" i="16"/>
  <c r="W436" i="16" s="1"/>
  <c r="L487" i="16"/>
  <c r="W487" i="16" s="1"/>
  <c r="L492" i="16"/>
  <c r="L501" i="16"/>
  <c r="W501" i="16" s="1"/>
  <c r="L508" i="16"/>
  <c r="L646" i="16"/>
  <c r="L716" i="16"/>
  <c r="W716" i="16" s="1"/>
  <c r="L537" i="16"/>
  <c r="W537" i="16" s="1"/>
  <c r="L443" i="16"/>
  <c r="L122" i="16"/>
  <c r="K495" i="16"/>
  <c r="V495" i="16" s="1"/>
  <c r="K451" i="16"/>
  <c r="V451" i="16" s="1"/>
  <c r="K412" i="16"/>
  <c r="K213" i="16"/>
  <c r="V213" i="16" s="1"/>
  <c r="J501" i="16"/>
  <c r="L749" i="16"/>
  <c r="W749" i="16" s="1"/>
  <c r="L742" i="16"/>
  <c r="W742" i="16" s="1"/>
  <c r="L420" i="16"/>
  <c r="W420" i="16" s="1"/>
  <c r="L255" i="16"/>
  <c r="L206" i="16"/>
  <c r="W206" i="16" s="1"/>
  <c r="L117" i="16"/>
  <c r="L30" i="16"/>
  <c r="K528" i="16"/>
  <c r="V528" i="16" s="1"/>
  <c r="K255" i="16"/>
  <c r="K212" i="16"/>
  <c r="V212" i="16" s="1"/>
  <c r="K118" i="16"/>
  <c r="V118" i="16" s="1"/>
  <c r="K32" i="16"/>
  <c r="V32" i="16" s="1"/>
  <c r="J786" i="16"/>
  <c r="J108" i="16"/>
  <c r="J26" i="16"/>
  <c r="U26" i="16" s="1"/>
  <c r="L637" i="16"/>
  <c r="L210" i="16"/>
  <c r="J535" i="16"/>
  <c r="L101" i="16"/>
  <c r="L80" i="16"/>
  <c r="J149" i="16"/>
  <c r="F80" i="16"/>
  <c r="Q28" i="7" s="1"/>
  <c r="R84" i="7"/>
  <c r="X84" i="7" s="1"/>
  <c r="S67" i="7"/>
  <c r="Y67" i="7" s="1"/>
  <c r="W53" i="7"/>
  <c r="S117" i="7"/>
  <c r="Y117" i="7" s="1"/>
  <c r="L410" i="16"/>
  <c r="S112" i="7"/>
  <c r="Y112" i="7" s="1"/>
  <c r="Q16" i="7"/>
  <c r="W16" i="7" s="1"/>
  <c r="L233" i="16"/>
  <c r="G122" i="16"/>
  <c r="R48" i="7" s="1"/>
  <c r="X48" i="7" s="1"/>
  <c r="J196" i="16"/>
  <c r="F485" i="16"/>
  <c r="Q73" i="7" s="1"/>
  <c r="W73" i="7" s="1"/>
  <c r="G714" i="16"/>
  <c r="K714" i="16" s="1"/>
  <c r="S106" i="7"/>
  <c r="Y106" i="7" s="1"/>
  <c r="R98" i="7"/>
  <c r="X98" i="7" s="1"/>
  <c r="F410" i="16"/>
  <c r="Q91" i="7" s="1"/>
  <c r="W91" i="7" s="1"/>
  <c r="F182" i="16"/>
  <c r="Q61" i="7" s="1"/>
  <c r="Q70" i="7" s="1"/>
  <c r="R105" i="7"/>
  <c r="T105" i="7" s="1"/>
  <c r="Z105" i="7" s="1"/>
  <c r="S41" i="7"/>
  <c r="Y41" i="7" s="1"/>
  <c r="H161" i="16"/>
  <c r="F161" i="16"/>
  <c r="Q57" i="7" s="1"/>
  <c r="W57" i="7" s="1"/>
  <c r="H714" i="16"/>
  <c r="G410" i="16"/>
  <c r="R91" i="7" s="1"/>
  <c r="X91" i="7" s="1"/>
  <c r="F714" i="16"/>
  <c r="Q108" i="7" s="1"/>
  <c r="W108" i="7" s="1"/>
  <c r="J644" i="16"/>
  <c r="F521" i="16"/>
  <c r="J521" i="16" s="1"/>
  <c r="F58" i="16"/>
  <c r="Q20" i="7" s="1"/>
  <c r="W20" i="7" s="1"/>
  <c r="G485" i="16"/>
  <c r="R73" i="7" s="1"/>
  <c r="X73" i="7" s="1"/>
  <c r="Q101" i="7"/>
  <c r="W101" i="7" s="1"/>
  <c r="S116" i="7"/>
  <c r="Y116" i="7" s="1"/>
  <c r="S48" i="7"/>
  <c r="Y48" i="7" s="1"/>
  <c r="S38" i="7"/>
  <c r="Y38" i="7" s="1"/>
  <c r="L740" i="16"/>
  <c r="L535" i="16"/>
  <c r="L528" i="16"/>
  <c r="W528" i="16" s="1"/>
  <c r="L425" i="16"/>
  <c r="L217" i="16"/>
  <c r="L170" i="16"/>
  <c r="W170" i="16" s="1"/>
  <c r="L118" i="16"/>
  <c r="W118" i="16" s="1"/>
  <c r="L111" i="16"/>
  <c r="W111" i="16" s="1"/>
  <c r="L97" i="16"/>
  <c r="W97" i="16" s="1"/>
  <c r="L104" i="16"/>
  <c r="W104" i="16" s="1"/>
  <c r="K786" i="16"/>
  <c r="K508" i="16"/>
  <c r="K501" i="16"/>
  <c r="V501" i="16" s="1"/>
  <c r="K494" i="16"/>
  <c r="K487" i="16"/>
  <c r="V487" i="16" s="1"/>
  <c r="K434" i="16"/>
  <c r="K196" i="16"/>
  <c r="K132" i="16"/>
  <c r="K117" i="16"/>
  <c r="V117" i="16" s="1"/>
  <c r="K60" i="16"/>
  <c r="V60" i="16" s="1"/>
  <c r="J716" i="16"/>
  <c r="J640" i="16"/>
  <c r="U640" i="16" s="1"/>
  <c r="J418" i="16"/>
  <c r="J198" i="16"/>
  <c r="U198" i="16" s="1"/>
  <c r="J83" i="16"/>
  <c r="U83" i="16" s="1"/>
  <c r="J203" i="16"/>
  <c r="K4" i="16"/>
  <c r="V4" i="16" s="1"/>
  <c r="K23" i="16"/>
  <c r="K83" i="16"/>
  <c r="V83" i="16" s="1"/>
  <c r="K108" i="16"/>
  <c r="K129" i="16"/>
  <c r="K144" i="16"/>
  <c r="V144" i="16" s="1"/>
  <c r="J45" i="16"/>
  <c r="U45" i="16" s="1"/>
  <c r="J115" i="16"/>
  <c r="J217" i="16"/>
  <c r="J425" i="16"/>
  <c r="J436" i="16"/>
  <c r="U436" i="16" s="1"/>
  <c r="J487" i="16"/>
  <c r="J495" i="16"/>
  <c r="U495" i="16" s="1"/>
  <c r="J538" i="16"/>
  <c r="U538" i="16" s="1"/>
  <c r="K101" i="16"/>
  <c r="K163" i="16"/>
  <c r="V163" i="16" s="1"/>
  <c r="K191" i="16"/>
  <c r="V191" i="16" s="1"/>
  <c r="K217" i="16"/>
  <c r="K449" i="16"/>
  <c r="K465" i="16"/>
  <c r="K639" i="16"/>
  <c r="V639" i="16" s="1"/>
  <c r="K742" i="16"/>
  <c r="V742" i="16" s="1"/>
  <c r="K747" i="16"/>
  <c r="K767" i="16"/>
  <c r="L46" i="16"/>
  <c r="L60" i="16"/>
  <c r="W60" i="16" s="1"/>
  <c r="L144" i="16"/>
  <c r="L151" i="16"/>
  <c r="W151" i="16" s="1"/>
  <c r="L273" i="16"/>
  <c r="W273" i="16" s="1"/>
  <c r="L560" i="16"/>
  <c r="L639" i="16"/>
  <c r="W639" i="16" s="1"/>
  <c r="L788" i="16"/>
  <c r="W788" i="16" s="1"/>
  <c r="L767" i="16"/>
  <c r="L735" i="16"/>
  <c r="W735" i="16" s="1"/>
  <c r="L644" i="16"/>
  <c r="L544" i="16"/>
  <c r="W544" i="16" s="1"/>
  <c r="L538" i="16"/>
  <c r="W538" i="16" s="1"/>
  <c r="L521" i="16"/>
  <c r="L499" i="16"/>
  <c r="L495" i="16"/>
  <c r="W495" i="16" s="1"/>
  <c r="L451" i="16"/>
  <c r="W451" i="16" s="1"/>
  <c r="L434" i="16"/>
  <c r="L235" i="16"/>
  <c r="W235" i="16" s="1"/>
  <c r="L219" i="16"/>
  <c r="W219" i="16" s="1"/>
  <c r="L198" i="16"/>
  <c r="L168" i="16"/>
  <c r="L164" i="16"/>
  <c r="L131" i="16"/>
  <c r="L110" i="16"/>
  <c r="W110" i="16" s="1"/>
  <c r="L32" i="16"/>
  <c r="W32" i="16" s="1"/>
  <c r="L4" i="16"/>
  <c r="W4" i="16" s="1"/>
  <c r="L26" i="16"/>
  <c r="L152" i="16"/>
  <c r="K735" i="16"/>
  <c r="V735" i="16" s="1"/>
  <c r="K646" i="16"/>
  <c r="V646" i="16" s="1"/>
  <c r="K640" i="16"/>
  <c r="V640" i="16" s="1"/>
  <c r="K542" i="16"/>
  <c r="K538" i="16"/>
  <c r="V538" i="16" s="1"/>
  <c r="K492" i="16"/>
  <c r="K467" i="16"/>
  <c r="K445" i="16"/>
  <c r="V445" i="16" s="1"/>
  <c r="K425" i="16"/>
  <c r="K421" i="16"/>
  <c r="V421" i="16" s="1"/>
  <c r="K220" i="16"/>
  <c r="V220" i="16" s="1"/>
  <c r="K203" i="16"/>
  <c r="K168" i="16"/>
  <c r="K164" i="16"/>
  <c r="V164" i="16" s="1"/>
  <c r="K103" i="16"/>
  <c r="V103" i="16" s="1"/>
  <c r="K199" i="16"/>
  <c r="V199" i="16" s="1"/>
  <c r="J767" i="16"/>
  <c r="J747" i="16"/>
  <c r="J742" i="16"/>
  <c r="U742" i="16" s="1"/>
  <c r="J544" i="16"/>
  <c r="J537" i="16"/>
  <c r="U537" i="16" s="1"/>
  <c r="J467" i="16"/>
  <c r="U467" i="16" s="1"/>
  <c r="J451" i="16"/>
  <c r="J445" i="16"/>
  <c r="U445" i="16" s="1"/>
  <c r="J219" i="16"/>
  <c r="U219" i="16" s="1"/>
  <c r="J212" i="16"/>
  <c r="J163" i="16"/>
  <c r="U163" i="16" s="1"/>
  <c r="J132" i="16"/>
  <c r="J103" i="16"/>
  <c r="U103" i="16" s="1"/>
  <c r="J4" i="16"/>
  <c r="U4" i="16" s="1"/>
  <c r="J152" i="16"/>
  <c r="U152" i="16" s="1"/>
  <c r="J23" i="16"/>
  <c r="J33" i="16"/>
  <c r="J46" i="16"/>
  <c r="J82" i="16"/>
  <c r="U82" i="16" s="1"/>
  <c r="J101" i="16"/>
  <c r="J111" i="16"/>
  <c r="U111" i="16" s="1"/>
  <c r="J118" i="16"/>
  <c r="U118" i="16" s="1"/>
  <c r="J125" i="16"/>
  <c r="U125" i="16" s="1"/>
  <c r="J142" i="16"/>
  <c r="J151" i="16"/>
  <c r="U151" i="16" s="1"/>
  <c r="J192" i="16"/>
  <c r="U192" i="16" s="1"/>
  <c r="J205" i="16"/>
  <c r="U205" i="16" s="1"/>
  <c r="J213" i="16"/>
  <c r="U213" i="16" s="1"/>
  <c r="J104" i="16"/>
  <c r="U104" i="16" s="1"/>
  <c r="J32" i="16"/>
  <c r="U32" i="16" s="1"/>
  <c r="J60" i="16"/>
  <c r="U60" i="16" s="1"/>
  <c r="J110" i="16"/>
  <c r="J131" i="16"/>
  <c r="U131" i="16" s="1"/>
  <c r="J206" i="16"/>
  <c r="U206" i="16" s="1"/>
  <c r="J210" i="16"/>
  <c r="J220" i="16"/>
  <c r="U220" i="16" s="1"/>
  <c r="J235" i="16"/>
  <c r="U235" i="16" s="1"/>
  <c r="J420" i="16"/>
  <c r="U420" i="16" s="1"/>
  <c r="J449" i="16"/>
  <c r="J492" i="16"/>
  <c r="J499" i="16"/>
  <c r="J508" i="16"/>
  <c r="J542" i="16"/>
  <c r="J646" i="16"/>
  <c r="U646" i="16" s="1"/>
  <c r="J740" i="16"/>
  <c r="J749" i="16"/>
  <c r="U749" i="16" s="1"/>
  <c r="K152" i="16"/>
  <c r="V152" i="16" s="1"/>
  <c r="K9" i="16"/>
  <c r="K25" i="16"/>
  <c r="V25" i="16" s="1"/>
  <c r="K43" i="16"/>
  <c r="K97" i="16"/>
  <c r="V97" i="16" s="1"/>
  <c r="K110" i="16"/>
  <c r="V110" i="16" s="1"/>
  <c r="K125" i="16"/>
  <c r="V125" i="16" s="1"/>
  <c r="K142" i="16"/>
  <c r="K151" i="16"/>
  <c r="V151" i="16" s="1"/>
  <c r="J199" i="16"/>
  <c r="U199" i="16" s="1"/>
  <c r="J25" i="16"/>
  <c r="U25" i="16" s="1"/>
  <c r="J43" i="16"/>
  <c r="J97" i="16"/>
  <c r="U97" i="16" s="1"/>
  <c r="J117" i="16"/>
  <c r="U117" i="16" s="1"/>
  <c r="J145" i="16"/>
  <c r="U145" i="16" s="1"/>
  <c r="J164" i="16"/>
  <c r="U164" i="16" s="1"/>
  <c r="J170" i="16"/>
  <c r="U170" i="16" s="1"/>
  <c r="J233" i="16"/>
  <c r="J273" i="16"/>
  <c r="U273" i="16" s="1"/>
  <c r="J427" i="16"/>
  <c r="U427" i="16" s="1"/>
  <c r="J443" i="16"/>
  <c r="J465" i="16"/>
  <c r="J494" i="16"/>
  <c r="U494" i="16" s="1"/>
  <c r="J502" i="16"/>
  <c r="U502" i="16" s="1"/>
  <c r="J510" i="16"/>
  <c r="J528" i="16"/>
  <c r="J560" i="16"/>
  <c r="J639" i="16"/>
  <c r="J735" i="16"/>
  <c r="U735" i="16" s="1"/>
  <c r="K26" i="16"/>
  <c r="V26" i="16" s="1"/>
  <c r="K33" i="16"/>
  <c r="V33" i="16" s="1"/>
  <c r="K45" i="16"/>
  <c r="V45" i="16" s="1"/>
  <c r="K61" i="16"/>
  <c r="K82" i="16"/>
  <c r="V82" i="16" s="1"/>
  <c r="K94" i="16"/>
  <c r="K111" i="16"/>
  <c r="V111" i="16" s="1"/>
  <c r="K115" i="16"/>
  <c r="K124" i="16"/>
  <c r="V124" i="16" s="1"/>
  <c r="K145" i="16"/>
  <c r="V145" i="16" s="1"/>
  <c r="K149" i="16"/>
  <c r="K170" i="16"/>
  <c r="K182" i="16"/>
  <c r="K198" i="16"/>
  <c r="V198" i="16" s="1"/>
  <c r="K210" i="16"/>
  <c r="K219" i="16"/>
  <c r="V219" i="16" s="1"/>
  <c r="K235" i="16"/>
  <c r="K273" i="16"/>
  <c r="V273" i="16" s="1"/>
  <c r="K427" i="16"/>
  <c r="V427" i="16" s="1"/>
  <c r="K436" i="16"/>
  <c r="V436" i="16" s="1"/>
  <c r="K499" i="16"/>
  <c r="K510" i="16"/>
  <c r="V510" i="16" s="1"/>
  <c r="K537" i="16"/>
  <c r="V537" i="16" s="1"/>
  <c r="K560" i="16"/>
  <c r="K644" i="16"/>
  <c r="K716" i="16"/>
  <c r="V716" i="16" s="1"/>
  <c r="K740" i="16"/>
  <c r="K749" i="16"/>
  <c r="V749" i="16" s="1"/>
  <c r="K793" i="16"/>
  <c r="L23" i="16"/>
  <c r="L33" i="16"/>
  <c r="L58" i="16"/>
  <c r="L82" i="16"/>
  <c r="W82" i="16" s="1"/>
  <c r="L94" i="16"/>
  <c r="L103" i="16"/>
  <c r="L115" i="16"/>
  <c r="L124" i="16"/>
  <c r="W124" i="16" s="1"/>
  <c r="L132" i="16"/>
  <c r="W132" i="16" s="1"/>
  <c r="L149" i="16"/>
  <c r="L163" i="16"/>
  <c r="W163" i="16" s="1"/>
  <c r="L192" i="16"/>
  <c r="W192" i="16" s="1"/>
  <c r="L203" i="16"/>
  <c r="L212" i="16"/>
  <c r="W212" i="16" s="1"/>
  <c r="L220" i="16"/>
  <c r="W220" i="16" s="1"/>
  <c r="L418" i="16"/>
  <c r="L427" i="16"/>
  <c r="W427" i="16" s="1"/>
  <c r="L449" i="16"/>
  <c r="L485" i="16"/>
  <c r="L494" i="16"/>
  <c r="W494" i="16" s="1"/>
  <c r="L502" i="16"/>
  <c r="W502" i="16" s="1"/>
  <c r="L542" i="16"/>
  <c r="K521" i="16"/>
  <c r="K80" i="16"/>
  <c r="L182" i="16"/>
  <c r="R37" i="7"/>
  <c r="X37" i="7" s="1"/>
  <c r="S28" i="7"/>
  <c r="R28" i="7"/>
  <c r="X28" i="7" s="1"/>
  <c r="X66" i="7"/>
  <c r="X38" i="7"/>
  <c r="X54" i="7"/>
  <c r="X13" i="7"/>
  <c r="R79" i="7"/>
  <c r="X79" i="7" s="1"/>
  <c r="S84" i="7"/>
  <c r="Y84" i="7" s="1"/>
  <c r="Y37" i="7"/>
  <c r="W95" i="7"/>
  <c r="X76" i="7"/>
  <c r="W67" i="7"/>
  <c r="X51" i="7"/>
  <c r="R55" i="7"/>
  <c r="W17" i="7"/>
  <c r="X77" i="7"/>
  <c r="X65" i="7"/>
  <c r="Q14" i="7"/>
  <c r="W117" i="7"/>
  <c r="W96" i="7"/>
  <c r="E17" i="19" s="1"/>
  <c r="X116" i="7"/>
  <c r="W52" i="7"/>
  <c r="W72" i="7"/>
  <c r="W107" i="7"/>
  <c r="E20" i="19" s="1"/>
  <c r="W475" i="16" l="1"/>
  <c r="H17" i="17"/>
  <c r="U132" i="16"/>
  <c r="K9" i="17"/>
  <c r="W152" i="16"/>
  <c r="D17" i="17"/>
  <c r="W46" i="16"/>
  <c r="G17" i="17"/>
  <c r="V46" i="16"/>
  <c r="E13" i="17"/>
  <c r="U33" i="16"/>
  <c r="I9" i="17"/>
  <c r="V171" i="16"/>
  <c r="G13" i="17"/>
  <c r="U5" i="16"/>
  <c r="G9" i="17"/>
  <c r="W26" i="16"/>
  <c r="E17" i="17"/>
  <c r="V132" i="16"/>
  <c r="K13" i="17"/>
  <c r="U61" i="16"/>
  <c r="D9" i="17"/>
  <c r="V478" i="16"/>
  <c r="L13" i="17"/>
  <c r="V455" i="16"/>
  <c r="H13" i="17"/>
  <c r="U239" i="16"/>
  <c r="F9" i="17"/>
  <c r="W468" i="16"/>
  <c r="L17" i="17"/>
  <c r="V61" i="16"/>
  <c r="D13" i="17"/>
  <c r="W61" i="16"/>
  <c r="F17" i="17"/>
  <c r="W33" i="16"/>
  <c r="I17" i="17"/>
  <c r="U46" i="16"/>
  <c r="E9" i="17"/>
  <c r="W164" i="16"/>
  <c r="J17" i="17"/>
  <c r="U12" i="16"/>
  <c r="J9" i="17"/>
  <c r="U478" i="16"/>
  <c r="L9" i="17"/>
  <c r="V453" i="16"/>
  <c r="F13" i="17"/>
  <c r="U455" i="16"/>
  <c r="H9" i="17"/>
  <c r="W476" i="16"/>
  <c r="M17" i="17"/>
  <c r="R81" i="7"/>
  <c r="X81" i="7" s="1"/>
  <c r="F10" i="19" s="1"/>
  <c r="V476" i="16"/>
  <c r="J13" i="17"/>
  <c r="U480" i="16"/>
  <c r="M9" i="17"/>
  <c r="V480" i="16"/>
  <c r="M13" i="17"/>
  <c r="K17" i="17"/>
  <c r="W717" i="16"/>
  <c r="U717" i="16"/>
  <c r="C9" i="17"/>
  <c r="V736" i="16"/>
  <c r="I13" i="17"/>
  <c r="X55" i="7"/>
  <c r="F6" i="19" s="1"/>
  <c r="G12" i="19"/>
  <c r="I12" i="19" s="1"/>
  <c r="J12" i="19" s="1"/>
  <c r="F16" i="19"/>
  <c r="J122" i="16"/>
  <c r="K30" i="16"/>
  <c r="R18" i="7"/>
  <c r="R123" i="7" s="1"/>
  <c r="K535" i="16"/>
  <c r="Q49" i="7"/>
  <c r="W49" i="7" s="1"/>
  <c r="E3" i="19" s="1"/>
  <c r="J168" i="16"/>
  <c r="T95" i="7"/>
  <c r="Z95" i="7" s="1"/>
  <c r="K418" i="16"/>
  <c r="E14" i="19"/>
  <c r="P18" i="7"/>
  <c r="P123" i="7" s="1"/>
  <c r="P55" i="7"/>
  <c r="X144" i="7"/>
  <c r="F4" i="19"/>
  <c r="W144" i="7"/>
  <c r="E4" i="19"/>
  <c r="E16" i="19"/>
  <c r="G13" i="19"/>
  <c r="E15" i="19"/>
  <c r="G18" i="19"/>
  <c r="I18" i="19" s="1"/>
  <c r="J18" i="19" s="1"/>
  <c r="G17" i="19"/>
  <c r="I17" i="19" s="1"/>
  <c r="J17" i="19" s="1"/>
  <c r="F13" i="19"/>
  <c r="C18" i="17"/>
  <c r="J129" i="16"/>
  <c r="T51" i="7"/>
  <c r="Z51" i="7" s="1"/>
  <c r="Q11" i="7"/>
  <c r="Q122" i="7" s="1"/>
  <c r="J9" i="16"/>
  <c r="S72" i="7"/>
  <c r="S110" i="7"/>
  <c r="Y110" i="7" s="1"/>
  <c r="L728" i="16"/>
  <c r="L465" i="16"/>
  <c r="Q84" i="7"/>
  <c r="W84" i="7" s="1"/>
  <c r="E13" i="19" s="1"/>
  <c r="Y51" i="7"/>
  <c r="T111" i="7"/>
  <c r="Z111" i="7" s="1"/>
  <c r="Y11" i="7"/>
  <c r="Y122" i="7" s="1"/>
  <c r="T6" i="7"/>
  <c r="T11" i="7" s="1"/>
  <c r="T122" i="7" s="1"/>
  <c r="T68" i="7"/>
  <c r="Z68" i="7" s="1"/>
  <c r="T78" i="7"/>
  <c r="Z78" i="7" s="1"/>
  <c r="T66" i="7"/>
  <c r="Z66" i="7" s="1"/>
  <c r="V14" i="7"/>
  <c r="N121" i="7"/>
  <c r="T107" i="7"/>
  <c r="Z107" i="7" s="1"/>
  <c r="T52" i="7"/>
  <c r="Z52" i="7" s="1"/>
  <c r="T77" i="7"/>
  <c r="Z77" i="7" s="1"/>
  <c r="Y6" i="7"/>
  <c r="V39" i="7"/>
  <c r="D9" i="19" s="1"/>
  <c r="T103" i="7"/>
  <c r="Z103" i="7" s="1"/>
  <c r="T58" i="7"/>
  <c r="Z58" i="7" s="1"/>
  <c r="V99" i="7"/>
  <c r="V124" i="7" s="1"/>
  <c r="D15" i="19"/>
  <c r="D27" i="19" s="1"/>
  <c r="T97" i="7"/>
  <c r="Z97" i="7" s="1"/>
  <c r="Y143" i="7"/>
  <c r="T13" i="7"/>
  <c r="Z13" i="7" s="1"/>
  <c r="T45" i="7"/>
  <c r="Z45" i="7" s="1"/>
  <c r="Y65" i="7"/>
  <c r="T54" i="7"/>
  <c r="Z54" i="7" s="1"/>
  <c r="S18" i="7"/>
  <c r="S123" i="7" s="1"/>
  <c r="S55" i="7"/>
  <c r="Y61" i="7"/>
  <c r="S70" i="7"/>
  <c r="Y70" i="7" s="1"/>
  <c r="G7" i="19" s="1"/>
  <c r="T17" i="7"/>
  <c r="Z17" i="7" s="1"/>
  <c r="T113" i="7"/>
  <c r="Z113" i="7" s="1"/>
  <c r="T102" i="7"/>
  <c r="Z102" i="7" s="1"/>
  <c r="T76" i="7"/>
  <c r="Z76" i="7" s="1"/>
  <c r="T96" i="7"/>
  <c r="Z96" i="7" s="1"/>
  <c r="S14" i="7"/>
  <c r="Y14" i="7" s="1"/>
  <c r="T61" i="7"/>
  <c r="Z61" i="7" s="1"/>
  <c r="S87" i="7"/>
  <c r="Y87" i="7" s="1"/>
  <c r="L161" i="16"/>
  <c r="K161" i="16"/>
  <c r="J637" i="16"/>
  <c r="S108" i="7"/>
  <c r="Y108" i="7" s="1"/>
  <c r="T83" i="7"/>
  <c r="Z83" i="7" s="1"/>
  <c r="H20" i="19"/>
  <c r="I20" i="19"/>
  <c r="J20" i="19" s="1"/>
  <c r="Q79" i="7"/>
  <c r="W79" i="7" s="1"/>
  <c r="K122" i="16"/>
  <c r="Q37" i="7"/>
  <c r="W37" i="7" s="1"/>
  <c r="W142" i="7" s="1"/>
  <c r="J410" i="16"/>
  <c r="J58" i="16"/>
  <c r="K728" i="16"/>
  <c r="J728" i="16"/>
  <c r="R108" i="7"/>
  <c r="X108" i="7" s="1"/>
  <c r="F14" i="19" s="1"/>
  <c r="S57" i="7"/>
  <c r="Y57" i="7" s="1"/>
  <c r="Y142" i="7" s="1"/>
  <c r="K58" i="16"/>
  <c r="V18" i="7"/>
  <c r="D6" i="17"/>
  <c r="D7" i="17" s="1"/>
  <c r="P119" i="7"/>
  <c r="P125" i="7" s="1"/>
  <c r="V119" i="7"/>
  <c r="V125" i="7" s="1"/>
  <c r="V81" i="7"/>
  <c r="D10" i="19" s="1"/>
  <c r="P81" i="7"/>
  <c r="V59" i="7"/>
  <c r="D8" i="19" s="1"/>
  <c r="P59" i="7"/>
  <c r="X105" i="7"/>
  <c r="F21" i="19" s="1"/>
  <c r="R59" i="7"/>
  <c r="X59" i="7" s="1"/>
  <c r="F8" i="19" s="1"/>
  <c r="T67" i="7"/>
  <c r="Z67" i="7" s="1"/>
  <c r="Q59" i="7"/>
  <c r="W59" i="7" s="1"/>
  <c r="E8" i="19" s="1"/>
  <c r="T101" i="7"/>
  <c r="Z101" i="7" s="1"/>
  <c r="T38" i="7"/>
  <c r="Z38" i="7" s="1"/>
  <c r="Q55" i="7"/>
  <c r="R49" i="7"/>
  <c r="X49" i="7" s="1"/>
  <c r="F3" i="19" s="1"/>
  <c r="Q18" i="7"/>
  <c r="Q123" i="7" s="1"/>
  <c r="T20" i="7"/>
  <c r="T53" i="7"/>
  <c r="Z53" i="7" s="1"/>
  <c r="J714" i="16"/>
  <c r="R106" i="7"/>
  <c r="X106" i="7" s="1"/>
  <c r="F15" i="19" s="1"/>
  <c r="Q119" i="7"/>
  <c r="Q125" i="7" s="1"/>
  <c r="T98" i="7"/>
  <c r="Z98" i="7" s="1"/>
  <c r="T16" i="7"/>
  <c r="L354" i="16"/>
  <c r="K354" i="16"/>
  <c r="J354" i="16"/>
  <c r="J80" i="16"/>
  <c r="S39" i="7"/>
  <c r="W143" i="7"/>
  <c r="S91" i="7"/>
  <c r="Y91" i="7" s="1"/>
  <c r="G15" i="19" s="1"/>
  <c r="R39" i="7"/>
  <c r="T117" i="7"/>
  <c r="Z117" i="7" s="1"/>
  <c r="T112" i="7"/>
  <c r="Z112" i="7" s="1"/>
  <c r="T41" i="7"/>
  <c r="Z41" i="7" s="1"/>
  <c r="S49" i="7"/>
  <c r="Y49" i="7" s="1"/>
  <c r="G3" i="19" s="1"/>
  <c r="J182" i="16"/>
  <c r="W70" i="7"/>
  <c r="E7" i="19" s="1"/>
  <c r="L714" i="16"/>
  <c r="W61" i="7"/>
  <c r="K410" i="16"/>
  <c r="J255" i="16"/>
  <c r="J161" i="16"/>
  <c r="J485" i="16"/>
  <c r="T73" i="7"/>
  <c r="Z73" i="7" s="1"/>
  <c r="K485" i="16"/>
  <c r="T116" i="7"/>
  <c r="Z116" i="7" s="1"/>
  <c r="X99" i="7"/>
  <c r="X124" i="7" s="1"/>
  <c r="C13" i="17"/>
  <c r="X39" i="7"/>
  <c r="F9" i="19" s="1"/>
  <c r="X142" i="7"/>
  <c r="Y28" i="7"/>
  <c r="Y39" i="7" s="1"/>
  <c r="G9" i="19" s="1"/>
  <c r="X140" i="7"/>
  <c r="T28" i="7"/>
  <c r="Z28" i="7" s="1"/>
  <c r="W28" i="7"/>
  <c r="X141" i="7"/>
  <c r="R99" i="7"/>
  <c r="R124" i="7" s="1"/>
  <c r="X11" i="7"/>
  <c r="W14" i="7"/>
  <c r="Y72" i="7" l="1"/>
  <c r="S81" i="7"/>
  <c r="Y81" i="7" s="1"/>
  <c r="G10" i="19" s="1"/>
  <c r="Q81" i="7"/>
  <c r="W81" i="7" s="1"/>
  <c r="R121" i="7"/>
  <c r="Y55" i="7"/>
  <c r="G6" i="19" s="1"/>
  <c r="H12" i="19"/>
  <c r="H16" i="19"/>
  <c r="X18" i="7"/>
  <c r="X123" i="7" s="1"/>
  <c r="G14" i="19"/>
  <c r="H14" i="19" s="1"/>
  <c r="Y144" i="7"/>
  <c r="G4" i="19"/>
  <c r="H4" i="19" s="1"/>
  <c r="W11" i="7"/>
  <c r="T72" i="7"/>
  <c r="T110" i="7"/>
  <c r="Z110" i="7" s="1"/>
  <c r="T84" i="7"/>
  <c r="Z84" i="7" s="1"/>
  <c r="Q99" i="7"/>
  <c r="Q124" i="7" s="1"/>
  <c r="H13" i="19"/>
  <c r="W99" i="7"/>
  <c r="W124" i="7" s="1"/>
  <c r="Z6" i="7"/>
  <c r="Z144" i="7" s="1"/>
  <c r="H17" i="19"/>
  <c r="Y141" i="7"/>
  <c r="V123" i="7"/>
  <c r="D5" i="19"/>
  <c r="T18" i="7"/>
  <c r="T123" i="7" s="1"/>
  <c r="Y18" i="7"/>
  <c r="Y123" i="7" s="1"/>
  <c r="H18" i="19"/>
  <c r="T55" i="7"/>
  <c r="Z55" i="7" s="1"/>
  <c r="T14" i="7"/>
  <c r="Z14" i="7" s="1"/>
  <c r="T87" i="7"/>
  <c r="Z87" i="7" s="1"/>
  <c r="S119" i="7"/>
  <c r="S125" i="7" s="1"/>
  <c r="Q17" i="17"/>
  <c r="Z20" i="7"/>
  <c r="Q13" i="17"/>
  <c r="Q9" i="17"/>
  <c r="I16" i="19"/>
  <c r="J16" i="19" s="1"/>
  <c r="F27" i="19"/>
  <c r="X122" i="7"/>
  <c r="H7" i="19"/>
  <c r="I7" i="19"/>
  <c r="J7" i="19" s="1"/>
  <c r="H21" i="19"/>
  <c r="I21" i="19"/>
  <c r="J21" i="19" s="1"/>
  <c r="Y99" i="7"/>
  <c r="Y124" i="7" s="1"/>
  <c r="T79" i="7"/>
  <c r="Z79" i="7" s="1"/>
  <c r="W141" i="7"/>
  <c r="S59" i="7"/>
  <c r="Y59" i="7" s="1"/>
  <c r="E6" i="17"/>
  <c r="F6" i="17" s="1"/>
  <c r="Q39" i="7"/>
  <c r="T37" i="7"/>
  <c r="Z37" i="7" s="1"/>
  <c r="W39" i="7"/>
  <c r="E9" i="19" s="1"/>
  <c r="T91" i="7"/>
  <c r="Z91" i="7" s="1"/>
  <c r="T106" i="7"/>
  <c r="Z106" i="7" s="1"/>
  <c r="T108" i="7"/>
  <c r="Z108" i="7" s="1"/>
  <c r="T57" i="7"/>
  <c r="Z57" i="7" s="1"/>
  <c r="X121" i="7"/>
  <c r="W119" i="7"/>
  <c r="W125" i="7" s="1"/>
  <c r="C14" i="17"/>
  <c r="C15" i="17" s="1"/>
  <c r="D18" i="17"/>
  <c r="D19" i="17" s="1"/>
  <c r="C10" i="17"/>
  <c r="D10" i="17" s="1"/>
  <c r="W18" i="7"/>
  <c r="W55" i="7"/>
  <c r="E6" i="19" s="1"/>
  <c r="R119" i="7"/>
  <c r="R125" i="7" s="1"/>
  <c r="Z16" i="7"/>
  <c r="Z143" i="7" s="1"/>
  <c r="S99" i="7"/>
  <c r="S124" i="7" s="1"/>
  <c r="T70" i="7"/>
  <c r="Z70" i="7" s="1"/>
  <c r="Y140" i="7"/>
  <c r="W140" i="7"/>
  <c r="Z11" i="7"/>
  <c r="Z122" i="7" s="1"/>
  <c r="Z72" i="7" l="1"/>
  <c r="T81" i="7"/>
  <c r="Z81" i="7" s="1"/>
  <c r="R127" i="7"/>
  <c r="X127" i="7" s="1"/>
  <c r="S121" i="7"/>
  <c r="S127" i="7" s="1"/>
  <c r="Y127" i="7" s="1"/>
  <c r="Y146" i="7" s="1"/>
  <c r="Q121" i="7"/>
  <c r="Q127" i="7" s="1"/>
  <c r="W127" i="7" s="1"/>
  <c r="F5" i="19"/>
  <c r="F29" i="19" s="1"/>
  <c r="I4" i="19"/>
  <c r="W122" i="7"/>
  <c r="E27" i="19"/>
  <c r="Z140" i="7"/>
  <c r="I13" i="19"/>
  <c r="J13" i="19" s="1"/>
  <c r="Z99" i="7"/>
  <c r="Z124" i="7" s="1"/>
  <c r="Z18" i="7"/>
  <c r="Z123" i="7" s="1"/>
  <c r="G27" i="19"/>
  <c r="G5" i="19"/>
  <c r="I14" i="19"/>
  <c r="J14" i="19" s="1"/>
  <c r="Y119" i="7"/>
  <c r="Y125" i="7" s="1"/>
  <c r="H3" i="19"/>
  <c r="E10" i="19"/>
  <c r="H10" i="19" s="1"/>
  <c r="T39" i="7"/>
  <c r="Z39" i="7"/>
  <c r="E7" i="17"/>
  <c r="H15" i="19"/>
  <c r="H27" i="19" s="1"/>
  <c r="H6" i="19"/>
  <c r="I6" i="19"/>
  <c r="J6" i="19" s="1"/>
  <c r="W123" i="7"/>
  <c r="E5" i="19"/>
  <c r="Y121" i="7"/>
  <c r="G8" i="19"/>
  <c r="I15" i="19"/>
  <c r="J15" i="19" s="1"/>
  <c r="H9" i="19"/>
  <c r="I9" i="19"/>
  <c r="J9" i="19" s="1"/>
  <c r="T59" i="7"/>
  <c r="Z59" i="7" s="1"/>
  <c r="W121" i="7"/>
  <c r="Z142" i="7"/>
  <c r="T99" i="7"/>
  <c r="T124" i="7" s="1"/>
  <c r="D14" i="17"/>
  <c r="E14" i="17" s="1"/>
  <c r="C21" i="17"/>
  <c r="C11" i="17"/>
  <c r="E18" i="17"/>
  <c r="E19" i="17" s="1"/>
  <c r="T119" i="7"/>
  <c r="T125" i="7" s="1"/>
  <c r="X119" i="7"/>
  <c r="X125" i="7" s="1"/>
  <c r="G6" i="17"/>
  <c r="F7" i="17"/>
  <c r="E10" i="17"/>
  <c r="D11" i="17"/>
  <c r="F24" i="19" l="1"/>
  <c r="I27" i="19"/>
  <c r="J27" i="19" s="1"/>
  <c r="G29" i="19"/>
  <c r="I10" i="19"/>
  <c r="J10" i="19" s="1"/>
  <c r="I5" i="19"/>
  <c r="E29" i="19"/>
  <c r="E24" i="19"/>
  <c r="H5" i="19"/>
  <c r="H8" i="19"/>
  <c r="I8" i="19"/>
  <c r="J8" i="19" s="1"/>
  <c r="G24" i="19"/>
  <c r="D21" i="17"/>
  <c r="D15" i="17"/>
  <c r="Z119" i="7"/>
  <c r="Z125" i="7" s="1"/>
  <c r="F18" i="17"/>
  <c r="G18" i="17" s="1"/>
  <c r="H18" i="17" s="1"/>
  <c r="I18" i="17" s="1"/>
  <c r="J18" i="17" s="1"/>
  <c r="F14" i="17"/>
  <c r="E15" i="17"/>
  <c r="H6" i="17"/>
  <c r="G7" i="17"/>
  <c r="F10" i="17"/>
  <c r="E11" i="17"/>
  <c r="E21" i="17"/>
  <c r="H29" i="19" l="1"/>
  <c r="J5" i="19"/>
  <c r="J19" i="17"/>
  <c r="K18" i="17"/>
  <c r="L18" i="17" s="1"/>
  <c r="H24" i="19"/>
  <c r="I19" i="17"/>
  <c r="G19" i="17"/>
  <c r="F21" i="17"/>
  <c r="F19" i="17"/>
  <c r="F15" i="17"/>
  <c r="G14" i="17"/>
  <c r="H7" i="17"/>
  <c r="I6" i="17"/>
  <c r="I7" i="17" s="1"/>
  <c r="F11" i="17"/>
  <c r="G10" i="17"/>
  <c r="H19" i="17"/>
  <c r="L19" i="17" l="1"/>
  <c r="M18" i="17"/>
  <c r="K19" i="17"/>
  <c r="G15" i="17"/>
  <c r="H14" i="17"/>
  <c r="J6" i="17"/>
  <c r="H10" i="17"/>
  <c r="I10" i="17" s="1"/>
  <c r="J10" i="17" s="1"/>
  <c r="K10" i="17" s="1"/>
  <c r="L10" i="17" s="1"/>
  <c r="M10" i="17" s="1"/>
  <c r="G11" i="17"/>
  <c r="G21" i="17"/>
  <c r="L11" i="17" l="1"/>
  <c r="M11" i="17"/>
  <c r="M19" i="17"/>
  <c r="K11" i="17"/>
  <c r="J11" i="17"/>
  <c r="H15" i="17"/>
  <c r="I14" i="17"/>
  <c r="I11" i="17"/>
  <c r="J7" i="17"/>
  <c r="H11" i="17"/>
  <c r="H21" i="17"/>
  <c r="I15" i="17" l="1"/>
  <c r="J14" i="17"/>
  <c r="K14" i="17" s="1"/>
  <c r="L14" i="17" s="1"/>
  <c r="M14" i="17" s="1"/>
  <c r="M15" i="17" s="1"/>
  <c r="I21" i="17"/>
  <c r="M21" i="17" l="1"/>
  <c r="L15" i="17"/>
  <c r="L21" i="17"/>
  <c r="K15" i="17"/>
  <c r="K21" i="17"/>
  <c r="J15" i="17"/>
  <c r="J21" i="17"/>
  <c r="N141" i="7" l="1"/>
  <c r="N145" i="7" s="1"/>
  <c r="N131" i="7"/>
  <c r="N139" i="7" s="1"/>
  <c r="P49" i="7"/>
  <c r="P121" i="7" s="1"/>
  <c r="P127" i="7" s="1"/>
  <c r="P48" i="7"/>
  <c r="T48" i="7" s="1"/>
  <c r="K5" i="17"/>
  <c r="Q5" i="17" s="1"/>
  <c r="Q21" i="17" s="1"/>
  <c r="D22" i="17" l="1"/>
  <c r="V49" i="7"/>
  <c r="D3" i="19" s="1"/>
  <c r="D24" i="19" s="1"/>
  <c r="N127" i="7"/>
  <c r="V127" i="7" s="1"/>
  <c r="K6" i="17"/>
  <c r="T49" i="7"/>
  <c r="T121" i="7" s="1"/>
  <c r="T127" i="7" s="1"/>
  <c r="Z127" i="7" s="1"/>
  <c r="Z48" i="7"/>
  <c r="Z141" i="7" s="1"/>
  <c r="V121" i="7" l="1"/>
  <c r="K7" i="17"/>
  <c r="L22" i="17"/>
  <c r="I22" i="17"/>
  <c r="H22" i="17"/>
  <c r="M22" i="17"/>
  <c r="G22" i="17"/>
  <c r="F22" i="17"/>
  <c r="E22" i="17"/>
  <c r="N22" i="17"/>
  <c r="R9" i="17"/>
  <c r="C22" i="17"/>
  <c r="R17" i="17"/>
  <c r="Z49" i="7"/>
  <c r="Z121" i="7" s="1"/>
  <c r="R13" i="17"/>
  <c r="J22" i="17"/>
  <c r="O22" i="17"/>
  <c r="K22" i="17"/>
  <c r="X128" i="7"/>
  <c r="Y128" i="7"/>
  <c r="W128" i="7"/>
  <c r="Z128" i="7"/>
  <c r="W129" i="7"/>
  <c r="L6" i="17"/>
  <c r="L7" i="17" s="1"/>
  <c r="D29" i="19" l="1"/>
  <c r="I3" i="19"/>
  <c r="M6" i="17"/>
  <c r="N6" i="17" s="1"/>
  <c r="I24" i="19" l="1"/>
  <c r="J24" i="19" s="1"/>
  <c r="J3" i="19"/>
  <c r="I29" i="19"/>
  <c r="J29" i="19" s="1"/>
  <c r="M7" i="17"/>
  <c r="N7" i="17"/>
  <c r="O6" i="17"/>
  <c r="O7" i="17" l="1"/>
  <c r="C23" i="17"/>
  <c r="E23" i="17"/>
  <c r="D23" i="17"/>
  <c r="F23" i="17"/>
  <c r="G23" i="17"/>
  <c r="H23" i="17"/>
  <c r="I23" i="17"/>
  <c r="L23" i="17"/>
  <c r="J23" i="17"/>
  <c r="K23" i="17"/>
  <c r="M23" i="17"/>
</calcChain>
</file>

<file path=xl/comments1.xml><?xml version="1.0" encoding="utf-8"?>
<comments xmlns="http://schemas.openxmlformats.org/spreadsheetml/2006/main">
  <authors>
    <author>Author</author>
  </authors>
  <commentList>
    <comment ref="N73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as per email Tarryn Glabrenner on 23.07.2018 reduce 17,900 + 8,600 (Total 245,800 for 3 MPS Hub + 2x3 weeks support from Germany)</t>
        </r>
      </text>
    </comment>
    <comment ref="N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Relocate All budget to Legatrix</t>
        </r>
      </text>
    </comment>
    <comment ref="N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Tambahan dari Green/Black Belt 28590</t>
        </r>
      </text>
    </comment>
    <comment ref="N87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as shown in TM1 (PK)
reallcation from V223 (200 TEUR)
Product Invest 750 TEUR
Product related structure 568 TEUR
Roller Test Upgrade 352 TEUR</t>
        </r>
      </text>
    </comment>
    <comment ref="P87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as shown in TM1 (PK)
reallcation from V223 (200 TEUR)</t>
        </r>
      </text>
    </comment>
    <comment ref="V87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as shown in TM1 (PK)
reallcation from V223 (200 TEUR)</t>
        </r>
      </text>
    </comment>
    <comment ref="N107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based on TM1 (feedback GS)</t>
        </r>
      </text>
    </comment>
    <comment ref="P107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based on TM1 (feedback GS)</t>
        </r>
      </text>
    </comment>
    <comment ref="V107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based on TM1 (feedback GS)</t>
        </r>
      </text>
    </comment>
    <comment ref="N111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based on TM1 (feedback GS)</t>
        </r>
      </text>
    </comment>
    <comment ref="P111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based on TM1 (feedback GS)</t>
        </r>
      </text>
    </comment>
    <comment ref="V111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based on TM1 (feedback GS)</t>
        </r>
      </text>
    </comment>
    <comment ref="N112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as shown in TM1 (MV)</t>
        </r>
      </text>
    </comment>
    <comment ref="P112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as shown in TM1 (MV)</t>
        </r>
      </text>
    </comment>
    <comment ref="V112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as shown in TM1 (MV)</t>
        </r>
      </text>
    </comment>
  </commentList>
</comments>
</file>

<file path=xl/sharedStrings.xml><?xml version="1.0" encoding="utf-8"?>
<sst xmlns="http://schemas.openxmlformats.org/spreadsheetml/2006/main" count="2402" uniqueCount="937">
  <si>
    <t>GENERAL-HR for Wanaherang</t>
  </si>
  <si>
    <t>GENERAL - IT Wanaherang</t>
  </si>
  <si>
    <t>GENERAL-Maintenance Wanaherang</t>
  </si>
  <si>
    <t>PC-Quality</t>
  </si>
  <si>
    <t>PC-Logistics</t>
  </si>
  <si>
    <t xml:space="preserve">PC-Assembly Line </t>
  </si>
  <si>
    <t xml:space="preserve">PC - Engineering </t>
  </si>
  <si>
    <t>All Department</t>
  </si>
  <si>
    <t>Location</t>
  </si>
  <si>
    <t>Cost Center End USER</t>
  </si>
  <si>
    <t>Description</t>
  </si>
  <si>
    <t>Wanaherang</t>
  </si>
  <si>
    <t>240B</t>
  </si>
  <si>
    <t>Office Furniture (EMI)</t>
  </si>
  <si>
    <t>Production</t>
  </si>
  <si>
    <t>1550-ITM</t>
  </si>
  <si>
    <t>Maintenance Wanaherang</t>
  </si>
  <si>
    <t>520B</t>
  </si>
  <si>
    <t>020B</t>
  </si>
  <si>
    <t xml:space="preserve">Central QM Requirement </t>
  </si>
  <si>
    <t>Best Practice / Benchmarking</t>
  </si>
  <si>
    <t>023B</t>
  </si>
  <si>
    <t>Environment facility to fulfill regulation, RKL-RPL (Wanaherang Plant)</t>
  </si>
  <si>
    <t>031B</t>
  </si>
  <si>
    <t>Best Practice - one time cost</t>
  </si>
  <si>
    <t>550B</t>
  </si>
  <si>
    <t xml:space="preserve">Supporting activities (TA/TE-allocation) by MO/PCNP </t>
  </si>
  <si>
    <t>X1</t>
  </si>
  <si>
    <t>Z6</t>
  </si>
  <si>
    <t>Grand Total Funding</t>
  </si>
  <si>
    <t>B</t>
  </si>
  <si>
    <t>A</t>
  </si>
  <si>
    <t>Classification W-Project</t>
  </si>
  <si>
    <t>W3</t>
  </si>
  <si>
    <t>W7</t>
  </si>
  <si>
    <t>W2</t>
  </si>
  <si>
    <t>General Facility</t>
  </si>
  <si>
    <t>GENERAL FACILTY</t>
  </si>
  <si>
    <t>W6</t>
  </si>
  <si>
    <t>W1</t>
  </si>
  <si>
    <t>600B</t>
  </si>
  <si>
    <t>Green Belt / Black Belt Qualification and Training Program</t>
  </si>
  <si>
    <t>PRIO</t>
  </si>
  <si>
    <t>No.</t>
  </si>
  <si>
    <t>Group</t>
  </si>
  <si>
    <t>PIC</t>
  </si>
  <si>
    <t>Year</t>
  </si>
  <si>
    <t>Order No.</t>
  </si>
  <si>
    <t>Yonny</t>
  </si>
  <si>
    <t>Don</t>
  </si>
  <si>
    <t>TD_PC</t>
  </si>
  <si>
    <t>Bob</t>
  </si>
  <si>
    <t>EGK</t>
  </si>
  <si>
    <t>Ruli</t>
  </si>
  <si>
    <t>Adhi</t>
  </si>
  <si>
    <t>Sasongko</t>
  </si>
  <si>
    <t>Product</t>
  </si>
  <si>
    <t>X167 - GLS</t>
  </si>
  <si>
    <t>M264 - Engine</t>
  </si>
  <si>
    <t>X253 - GLC</t>
  </si>
  <si>
    <t>Total Investment Product</t>
  </si>
  <si>
    <t>Total One Time Cost Related to Product</t>
  </si>
  <si>
    <t>Total HR</t>
  </si>
  <si>
    <t>Total IT</t>
  </si>
  <si>
    <t>Order Number</t>
  </si>
  <si>
    <t>PR No.</t>
  </si>
  <si>
    <t>PO NO.</t>
  </si>
  <si>
    <t>PR</t>
  </si>
  <si>
    <t>PO</t>
  </si>
  <si>
    <t>Invoice</t>
  </si>
  <si>
    <t>Issue Date</t>
  </si>
  <si>
    <t>ETA Request</t>
  </si>
  <si>
    <t>Invoice Date</t>
  </si>
  <si>
    <t>OFFICE RENOVATION</t>
  </si>
  <si>
    <t>Ari/Rumaji</t>
  </si>
  <si>
    <t>Hadi</t>
  </si>
  <si>
    <t>Tatik</t>
  </si>
  <si>
    <t>Wahyu</t>
  </si>
  <si>
    <t>Investment Product</t>
  </si>
  <si>
    <t>V177 - A Class</t>
  </si>
  <si>
    <t>W213 - E Class</t>
  </si>
  <si>
    <t>V222 - S Class</t>
  </si>
  <si>
    <t>W213 - Alteration</t>
  </si>
  <si>
    <t>V222 - Alteration</t>
  </si>
  <si>
    <t>W205 - Alteration</t>
  </si>
  <si>
    <t>X253 - TA MoPf</t>
  </si>
  <si>
    <t>M264 - TA Engine</t>
  </si>
  <si>
    <t>H247 - TE</t>
  </si>
  <si>
    <t>V177 - TE</t>
  </si>
  <si>
    <t>V223 - TE</t>
  </si>
  <si>
    <t>One Time Cost Related to Product</t>
  </si>
  <si>
    <t>Total TD - PC</t>
  </si>
  <si>
    <t>HRM</t>
  </si>
  <si>
    <t>EGK_QM</t>
  </si>
  <si>
    <t>Ari Abri</t>
  </si>
  <si>
    <t>`</t>
  </si>
  <si>
    <t>PR
(IDR)</t>
  </si>
  <si>
    <t>PO
(IDR)</t>
  </si>
  <si>
    <t>Actual
(IDR)</t>
  </si>
  <si>
    <t>Remaining
(IDR)</t>
  </si>
  <si>
    <t>PR
(EUR)</t>
  </si>
  <si>
    <t>PO
(EUR)</t>
  </si>
  <si>
    <t>Actual
(EUR)</t>
  </si>
  <si>
    <t>Remaining
(EUR)</t>
  </si>
  <si>
    <t>Plan PR</t>
  </si>
  <si>
    <t>CGMM2019X167</t>
  </si>
  <si>
    <t>CGMM2019V167</t>
  </si>
  <si>
    <t>CGMM2019M264</t>
  </si>
  <si>
    <t>CGMMLOG19001</t>
  </si>
  <si>
    <t>CGMMLOG19002</t>
  </si>
  <si>
    <t>CGMM2019V177</t>
  </si>
  <si>
    <t>CGMM2019W213</t>
  </si>
  <si>
    <t>CGMM2019V222</t>
  </si>
  <si>
    <t>CGMM2019W205</t>
  </si>
  <si>
    <t>CGMM2019X253</t>
  </si>
  <si>
    <t>EGMM0019W213</t>
  </si>
  <si>
    <t>EGMM0019V222</t>
  </si>
  <si>
    <t>EGMM0019W205</t>
  </si>
  <si>
    <t>EGMM0019X253</t>
  </si>
  <si>
    <t>EGMM0019M264</t>
  </si>
  <si>
    <t>EGMM0019H247</t>
  </si>
  <si>
    <t>EGMM0019V167</t>
  </si>
  <si>
    <t>EGMM0019V177</t>
  </si>
  <si>
    <t>EGMM0019V223</t>
  </si>
  <si>
    <t>Invesment FTR 2019</t>
  </si>
  <si>
    <t>V167 - GLE</t>
  </si>
  <si>
    <t>CGMMPRD19001</t>
  </si>
  <si>
    <t>EGMMEPC19001</t>
  </si>
  <si>
    <t>EGMMEPC19002</t>
  </si>
  <si>
    <t>CGMMQPC19001</t>
  </si>
  <si>
    <t>CGMMQPC19002</t>
  </si>
  <si>
    <t>EGMMQPC19001</t>
  </si>
  <si>
    <t>CGMMQPC19003</t>
  </si>
  <si>
    <t>CGMMMTW19000</t>
  </si>
  <si>
    <t>X167 - TE</t>
  </si>
  <si>
    <t>X167 - TA</t>
  </si>
  <si>
    <t>FTR 2019
(2019 IDR)</t>
  </si>
  <si>
    <t>FTR 2019
(2019 EUR)</t>
  </si>
  <si>
    <t>CGMMHRM19001</t>
  </si>
  <si>
    <t>CGMMITM19001</t>
  </si>
  <si>
    <t>CGMMMTW19002</t>
  </si>
  <si>
    <t>CGMMMTW19001</t>
  </si>
  <si>
    <t>CGMMMTW19003</t>
  </si>
  <si>
    <t>CGMMMTW19004</t>
  </si>
  <si>
    <t>CGMMITM19002</t>
  </si>
  <si>
    <t>CGMMMTW19005</t>
  </si>
  <si>
    <t>CGMMPRD19002</t>
  </si>
  <si>
    <t>CGMMPRD19003</t>
  </si>
  <si>
    <t>CGMMPRD19004</t>
  </si>
  <si>
    <t>CGMMPRD19000</t>
  </si>
  <si>
    <t>Invoice
(EUR)</t>
  </si>
  <si>
    <t>EAS Issuer</t>
  </si>
  <si>
    <t>Desktop Software, Printer, Telecommunication, Data Center</t>
  </si>
  <si>
    <t>Renew Thin Client for TIDS, Renew UPS</t>
  </si>
  <si>
    <t>Replacement/Upgrading/Improvement of Plant Infrastructure Facility, WWTP Facility &amp; Infrastructure, Roof/Clading/Steel Structure/Wall/Floor for Building, Cleaning Equipment Facility, fences around the factory for safety and security, Fuel Station Facility</t>
  </si>
  <si>
    <t>Replacement/Upgrading/Overhaule/Additional Genset , Water Management Facility (Absorption/Clean Water), Compressed Air Main Distribution, Mercury or Non LED Lamp to the LED Lamp, Maintenance Equipment, Maintenance Tools, Air Condition Facility,  Carbon Neutral(include Air Circulation Equipment)</t>
  </si>
  <si>
    <t>Replacement/Upgrading/Improvement Technical Safety &amp; Health, Fire Hydrant/Fire Extinguiser Facility</t>
  </si>
  <si>
    <t>Tools &amp; Equipment Quality, Quality Tools PC ( SCS Digital Torques )</t>
  </si>
  <si>
    <t>Towing Electric, Towing Gasoline</t>
  </si>
  <si>
    <t>Forklift Diesel, Hand Held Barcode</t>
  </si>
  <si>
    <t>Softener Water Treatment, Deutronic, Renewal Helium Tank</t>
  </si>
  <si>
    <t>Improvement &amp; Renewal Tools at APC-1 Trimming 01 (Cordless Screwdriver, EC Screwdriver, Digital Torque Wrench)</t>
  </si>
  <si>
    <t>Improvement &amp; Renewal Tools at APC-2 Trimming 02  (Cordless Screwdriver, EC Screwdriver, Digital Torque Wrench)</t>
  </si>
  <si>
    <t>Improvement &amp; Renewal Tools at Rectification and Testing Line (Cordless Screwdriver, EC Screwdriver, Digital Torque Wrench)</t>
  </si>
  <si>
    <t>Improvement &amp; Renewal Tools at Engine Assy and Power Train (Cordless Screwdriver, EC Screwdriver, Digital Torque Wrench)</t>
  </si>
  <si>
    <t>Yulia/Saptomo</t>
  </si>
  <si>
    <t>Automatic Sealing Machine for Engine M264</t>
  </si>
  <si>
    <t>Yulia/Oktoria</t>
  </si>
  <si>
    <t>KK-V167000011 Roof assembly tools V167</t>
  </si>
  <si>
    <t xml:space="preserve">1118GLE300 </t>
  </si>
  <si>
    <t xml:space="preserve">1118GLE301  </t>
  </si>
  <si>
    <t>Yulia/Woro</t>
  </si>
  <si>
    <t xml:space="preserve">New Marriage Station Equipment </t>
  </si>
  <si>
    <t>Additional Frame and Carrier for V167</t>
  </si>
  <si>
    <t>Dedy/Triyatna</t>
  </si>
  <si>
    <t xml:space="preserve">SERVER: Dell EMC XC640ENT XC CORE </t>
  </si>
  <si>
    <t>Agus/Don</t>
  </si>
  <si>
    <t>Jeri/Marwan</t>
  </si>
  <si>
    <t>Ardi/Wahyu</t>
  </si>
  <si>
    <t xml:space="preserve">A1676700100 Windshiled MPC </t>
  </si>
  <si>
    <t xml:space="preserve">1018GLE303 </t>
  </si>
  <si>
    <t>Yulia/Ferino</t>
  </si>
  <si>
    <t>Yulia/Ruli</t>
  </si>
  <si>
    <t>Woro</t>
  </si>
  <si>
    <t>Recondition Motor Compress Air</t>
  </si>
  <si>
    <t>Jeri/M. Harris</t>
  </si>
  <si>
    <t>EGMMENG19001</t>
  </si>
  <si>
    <t>EGMMENG19002</t>
  </si>
  <si>
    <t>Softener Water Treatment</t>
  </si>
  <si>
    <t>Deutronic</t>
  </si>
  <si>
    <t>Renewal Helium Tank</t>
  </si>
  <si>
    <t>Tatik/ Wahyu/ Sasongko</t>
  </si>
  <si>
    <t>MPS Q1 - Pranav</t>
  </si>
  <si>
    <t>W205 - C Class</t>
  </si>
  <si>
    <t>Yulia/Justinus</t>
  </si>
  <si>
    <t>Dedy/Yasnil</t>
  </si>
  <si>
    <t>Hanging structure for EC-tool APEX</t>
  </si>
  <si>
    <t>Looping Hanger Project</t>
  </si>
  <si>
    <t>Yulia/Daniel</t>
  </si>
  <si>
    <t>Yulia</t>
  </si>
  <si>
    <t>Recondition Domestic Disposal Vehicle</t>
  </si>
  <si>
    <t>Jeri/Giyatno</t>
  </si>
  <si>
    <t>Rental car in February</t>
  </si>
  <si>
    <t>330119C350</t>
  </si>
  <si>
    <t>Yulia/Johannes</t>
  </si>
  <si>
    <t>One Time Cost for Preparation CKD Scheme</t>
  </si>
  <si>
    <t xml:space="preserve">ESD Installation and Coating </t>
  </si>
  <si>
    <t xml:space="preserve">Rain Water Storage Tank </t>
  </si>
  <si>
    <t>Aerator Motor Waste Water Domestic &amp; Industrial</t>
  </si>
  <si>
    <t xml:space="preserve">Refurbish Open Drainage </t>
  </si>
  <si>
    <t>Replacement Wall/Roof/Gutter</t>
  </si>
  <si>
    <t>Recondition &amp; reinforce Fence</t>
  </si>
  <si>
    <t>Recondition  Industrial Waste pond</t>
  </si>
  <si>
    <t>Water Management</t>
  </si>
  <si>
    <t>Carbon Neutral</t>
  </si>
  <si>
    <t>Refurbish Cooling Tower Production Compressor &amp; Pump</t>
  </si>
  <si>
    <t>Fuel Tank B.8</t>
  </si>
  <si>
    <t xml:space="preserve">Refurbish Electrical  Panel </t>
  </si>
  <si>
    <t>Domestic Waste Transport (Vehicle Refurbish)</t>
  </si>
  <si>
    <t>Refurbish Pump system, Guest toilet gate 2 and Driver room</t>
  </si>
  <si>
    <t xml:space="preserve">Capacitor Bank Power House </t>
  </si>
  <si>
    <t>Plan PR Cumm</t>
  </si>
  <si>
    <t>PR Cumm</t>
  </si>
  <si>
    <t>PO Cumm</t>
  </si>
  <si>
    <t>Invoice Cumm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</si>
  <si>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</si>
  <si>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</si>
  <si>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</si>
  <si>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</si>
  <si>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</si>
  <si>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</si>
  <si>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</si>
  <si>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</si>
  <si>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</si>
  <si>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</si>
  <si>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</si>
  <si>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</si>
  <si>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New Marriage Station, Special Tools, etc</t>
  </si>
  <si>
    <t>Pilot Line, Standard Tools, etc</t>
  </si>
  <si>
    <t>Special Tools, ETB Adaptation</t>
  </si>
  <si>
    <t>CGMMENG19001</t>
  </si>
  <si>
    <t>Statutory - Legatrix Application</t>
  </si>
  <si>
    <t>Install Rain Water Tank</t>
  </si>
  <si>
    <t>Jeri/Arief Dipo</t>
  </si>
  <si>
    <t>Yulia/Ashari</t>
  </si>
  <si>
    <t xml:space="preserve">Emergency switch for Andon Monitor </t>
  </si>
  <si>
    <t>Edge marking tape for fixed position</t>
  </si>
  <si>
    <t xml:space="preserve">330119C850 </t>
  </si>
  <si>
    <t>Yulia/Irma</t>
  </si>
  <si>
    <t>Yulia/Anwar</t>
  </si>
  <si>
    <t>Install Bracket Hang Lamp Q- Gate Line 1 Bld 8</t>
  </si>
  <si>
    <t>Toyota Forklift Diesel 3 Ton for Unloading Containers LOG-PLG Dept.</t>
  </si>
  <si>
    <t>Consumption Material To Make Half Big Trolley &amp; Half Flat Trolley</t>
  </si>
  <si>
    <t>Consumption Wheel To Make Half Big Trolley  &amp; Half Flat Trolley</t>
  </si>
  <si>
    <t>Towing For Half Big Trolley  &amp; Half Flat Trolley</t>
  </si>
  <si>
    <t>Material Paint For Flat Trolley</t>
  </si>
  <si>
    <t>Printer label for tools identification</t>
  </si>
  <si>
    <t>Long Term BEMI VX167</t>
  </si>
  <si>
    <t>Long Term BEMI VX167 Part 3</t>
  </si>
  <si>
    <t>BEMI VX167 Part 9</t>
  </si>
  <si>
    <t>Master Body V167</t>
  </si>
  <si>
    <t>Normal body V167</t>
  </si>
  <si>
    <t>Roller Tester Upgrading Equipment</t>
  </si>
  <si>
    <t>Gripper Manipulator Cockpit V167 RHD Version</t>
  </si>
  <si>
    <t>BEMI VX167 Part 11</t>
  </si>
  <si>
    <t>Add. EAS BEMI VX167 Part3</t>
  </si>
  <si>
    <t>ToolsNet8 Analysis</t>
  </si>
  <si>
    <t>Cabin Adapter for V167</t>
  </si>
  <si>
    <t>Tool Ingersoll Rand MI-QXN5AT80PS08 (Mint Akku screw driver with electronic clutch)</t>
  </si>
  <si>
    <t>New SA Chassis for V167 Project</t>
  </si>
  <si>
    <t>BEMI V167 Part 13</t>
  </si>
  <si>
    <t>Scissor Lift 3000 KG</t>
  </si>
  <si>
    <t>Special Tools for Assembly Engine M264 Part2</t>
  </si>
  <si>
    <t>Special Tool for Engine Assy M264 Part 3 (APEX EC-Tool)</t>
  </si>
  <si>
    <t>Master Engine for M264</t>
  </si>
  <si>
    <t>Purchase Flat Trolley &amp; Big Trolley For LOG-PLG Dept. (Replacement PR 2100011525)</t>
  </si>
  <si>
    <t>Camshaft additional Tools M264</t>
  </si>
  <si>
    <t>Order Template Sticker for W213</t>
  </si>
  <si>
    <t>Technical Assistance Agreement for MPS Project - Mr. Pranav Jain MBIndia</t>
  </si>
  <si>
    <t>Frame Poster Visual Management</t>
  </si>
  <si>
    <t>Retron Bag for handling lithium Ion Battery</t>
  </si>
  <si>
    <t>Spray Gun SATA UBE for Rework Rear Axle</t>
  </si>
  <si>
    <t>Dummy Intercooler Rigging Parts ETB M264</t>
  </si>
  <si>
    <t>Flight ticket, Travel Insurance and Hotel for Mr. Johannes Pehang to Austria in February 2019</t>
  </si>
  <si>
    <t>Flight ticket, Travel Insurance and Hotel for Mr. Ahmad Saeful Anwar to Austria in February 2019</t>
  </si>
  <si>
    <t>Sample Parts for automatic sealing machine</t>
  </si>
  <si>
    <t>Working Permit Task Force SOP Engine Assembly M264</t>
  </si>
  <si>
    <t>TA SOP Engine Assembly M264-C Class</t>
  </si>
  <si>
    <t>Sample Part V167 Part 2</t>
  </si>
  <si>
    <t>BEMI VX167 Part 8</t>
  </si>
  <si>
    <t>Sample Part V167</t>
  </si>
  <si>
    <t>Pilot Line Tools V167 (Part 1)</t>
  </si>
  <si>
    <t>Pilot Line Tools V167 (Part 3)</t>
  </si>
  <si>
    <t>BEMI VX167 Part 10</t>
  </si>
  <si>
    <t>BEMI VX167 Part 12</t>
  </si>
  <si>
    <t>Single Visit Visa (VK 211) for Planning Visit V167</t>
  </si>
  <si>
    <t>Standard Gauges V167</t>
  </si>
  <si>
    <t>Special Socket for Marriage</t>
  </si>
  <si>
    <t>Special Gauges V167</t>
  </si>
  <si>
    <t>Slipper Wrench for V167</t>
  </si>
  <si>
    <t>Working Permit Task Force New Marriage - Mr. Kurt Dengler</t>
  </si>
  <si>
    <t>Standard Tools, Equipment Part 1</t>
  </si>
  <si>
    <t>Standard Tools, Equipment Contingency</t>
  </si>
  <si>
    <t>EGMM0019X167</t>
  </si>
  <si>
    <t>X167</t>
  </si>
  <si>
    <t>F601002798028 Adapter Plate</t>
  </si>
  <si>
    <t>F361130347463 Press-in tool for engine</t>
  </si>
  <si>
    <t>Digital Torque Wrench for V167</t>
  </si>
  <si>
    <t>Additional Cabin Hanger for V167</t>
  </si>
  <si>
    <t>CGMMMTW19006</t>
  </si>
  <si>
    <t>Renovation Office - Praying Room</t>
  </si>
  <si>
    <t>Renovation Office Building 04</t>
  </si>
  <si>
    <t>Design Services for Building 4 &amp; Annex Building (Mushola)</t>
  </si>
  <si>
    <t>PMO &amp; Design</t>
  </si>
  <si>
    <t>Construction Building 04</t>
  </si>
  <si>
    <t>Building 4 Training Center &amp; Facility</t>
  </si>
  <si>
    <t>Musholla</t>
  </si>
  <si>
    <t>Installation of Legatrix application</t>
  </si>
  <si>
    <t>Yulia/Ludi</t>
  </si>
  <si>
    <t>SPTC620x Compressor Sparmax</t>
  </si>
  <si>
    <t>Ardi</t>
  </si>
  <si>
    <t>Replacement Transparant Roof &amp; wall</t>
  </si>
  <si>
    <t>Refurbish Factory Border Fence</t>
  </si>
  <si>
    <t>Recondition Mitsubishi L300</t>
  </si>
  <si>
    <t>Portable high stand for station 11 (refer EAS 2100011551)</t>
  </si>
  <si>
    <t>EGMMTE19X167</t>
  </si>
  <si>
    <t>EGMMLA19V167</t>
  </si>
  <si>
    <t>EGMMTA19X167</t>
  </si>
  <si>
    <t>Purchase Towing Electric for LOG-PLG Dept</t>
  </si>
  <si>
    <t>Recondition Industrial Waste Water Pond</t>
  </si>
  <si>
    <t>Refurbish Deep Well</t>
  </si>
  <si>
    <t>Special Tools X167</t>
  </si>
  <si>
    <t>CGMMENG19002</t>
  </si>
  <si>
    <t>Best Practice &amp; MPS Activities</t>
  </si>
  <si>
    <t xml:space="preserve">KK-X167000001 Roof assembly tools - X167 </t>
  </si>
  <si>
    <t>Andon Monitor LED TV</t>
  </si>
  <si>
    <t>PM Services for Building 4 &amp; Mushola</t>
  </si>
  <si>
    <t>Agus/Yonny</t>
  </si>
  <si>
    <t>SW16 Socket 1/2 6KT 38mm</t>
  </si>
  <si>
    <t>Working Permit</t>
  </si>
  <si>
    <t>Optimized tool for inserting Piston M264</t>
  </si>
  <si>
    <t>Refurbishment Toilet and Driver waiting</t>
  </si>
  <si>
    <t>CGMMMTW19007</t>
  </si>
  <si>
    <t>Star Logo</t>
  </si>
  <si>
    <t>Diane/Rene</t>
  </si>
  <si>
    <t>STAR LOGO</t>
  </si>
  <si>
    <t>Standard Tools (Torque Wrench) for SOP V167</t>
  </si>
  <si>
    <t>Adapter Socket for Pilot Line 2</t>
  </si>
  <si>
    <t>Custom Ruling CKD Painted body &amp; import license &amp; study</t>
  </si>
  <si>
    <t>Yulia/Heni</t>
  </si>
  <si>
    <t>BR-99990900-317 Engraving machine model</t>
  </si>
  <si>
    <t xml:space="preserve">MB-Y980010044365 Door striker jig front </t>
  </si>
  <si>
    <t>BHT 1300 Barcode Scanner</t>
  </si>
  <si>
    <t>Master Engine knocked down</t>
  </si>
  <si>
    <t>A264 010 73 03 ZB OTTO ENGINE</t>
  </si>
  <si>
    <t xml:space="preserve">Calibration Roller Tester Passenger Car </t>
  </si>
  <si>
    <t xml:space="preserve">MB-F5949354 Counter holder brake busher </t>
  </si>
  <si>
    <t xml:space="preserve">Add Column Free Standing &amp; Foundation M </t>
  </si>
  <si>
    <t xml:space="preserve">HK-52453107 Extension 3/8" 75mm Masch </t>
  </si>
  <si>
    <t>Y917040043091 Protection center console</t>
  </si>
  <si>
    <t xml:space="preserve">KR-6050149 F2-Trendsetting jig </t>
  </si>
  <si>
    <t xml:space="preserve">Ingo Scmid: RPTKA, IMTA, Vitas, Kitas+Me </t>
  </si>
  <si>
    <t>AE Industry Working Permit</t>
  </si>
  <si>
    <t>Roller Test Working Permit</t>
  </si>
  <si>
    <t>FTR 2019
(2019 EUR)-reduction</t>
  </si>
  <si>
    <t>Jeri/Johannes</t>
  </si>
  <si>
    <t>Electric Panel for New Machine M264</t>
  </si>
  <si>
    <t>Z19-00127 SM100+ | DC motor | Mild steel</t>
  </si>
  <si>
    <t>JURA COFFEE MAKER E 8 for Finance Depart</t>
  </si>
  <si>
    <t>Aerator Motor Waste Water Domestic &amp; Ind</t>
  </si>
  <si>
    <t xml:space="preserve">GS-Stand Battery charger, Deutronic </t>
  </si>
  <si>
    <t>4500134701</t>
  </si>
  <si>
    <t>Handling equipment for new marriage conc</t>
  </si>
  <si>
    <t>4500134729</t>
  </si>
  <si>
    <t>SQL Server Std 2016 SINGL-OLP NL</t>
  </si>
  <si>
    <t>CFPUKS2SIWY 2 Ports square faceplate 45</t>
  </si>
  <si>
    <t>4500134732</t>
  </si>
  <si>
    <t>8431127340 Battery Tools BCP BL-12L-I06</t>
  </si>
  <si>
    <t>4500134751</t>
  </si>
  <si>
    <t>Lifter fuel tank</t>
  </si>
  <si>
    <t>4500134752</t>
  </si>
  <si>
    <t>Electrical sealer gun milwaukee</t>
  </si>
  <si>
    <t>Translation for working permit</t>
  </si>
  <si>
    <t>4500134718</t>
  </si>
  <si>
    <t>Install New Emergency Button, Sirene &amp; R</t>
  </si>
  <si>
    <t>7500000721</t>
  </si>
  <si>
    <t>Kajohnkiat Naluang: RPTKA, IMTA, Vitas,</t>
  </si>
  <si>
    <t>7500000727</t>
  </si>
  <si>
    <t>Marina Mueller:RPTKA, IMTA, Vitas, Kitas</t>
  </si>
  <si>
    <t xml:space="preserve">Certification of Lifter Cap 2200 Kg </t>
  </si>
  <si>
    <t>Jeri/Triyatna</t>
  </si>
  <si>
    <t>Hotel for Mr. Nileshkumar to Bangkok</t>
  </si>
  <si>
    <t>4500134597</t>
  </si>
  <si>
    <t>4500134728</t>
  </si>
  <si>
    <t xml:space="preserve">T-shirt for A-team </t>
  </si>
  <si>
    <t>Flight ticket to India - Ashari</t>
  </si>
  <si>
    <t>Flight ticket to India for  Ashari Zuhdi</t>
  </si>
  <si>
    <t>Kiosk encl. with monitor 24"</t>
  </si>
  <si>
    <t>Visual Info Frame A4</t>
  </si>
  <si>
    <t>PUC6C04BU-C Copper Cable, Cat 6, 4-Pair</t>
  </si>
  <si>
    <t>Additional Rain Water Tank Pipe Installation</t>
  </si>
  <si>
    <t>New Install Channel For Pipes Bld 03</t>
  </si>
  <si>
    <t>Cockpit Sub Assembly BP-F5949177 Bplan A</t>
  </si>
  <si>
    <t>ASD Positioning Jigs on the vehicle KK-V</t>
  </si>
  <si>
    <t>Rivet Gun Gesipa Firebird, Battery Power</t>
  </si>
  <si>
    <t>Drive Shaft P000874_t1000-800-2-CV15-t70</t>
  </si>
  <si>
    <t>310319C378</t>
  </si>
  <si>
    <t>Car Rental in April</t>
  </si>
  <si>
    <t>4500134659</t>
  </si>
  <si>
    <t>A 0039899820 Silicon/Loctite 5970 color black</t>
  </si>
  <si>
    <t>7500000684</t>
  </si>
  <si>
    <t>Diet coca cola 330ml + Water mineral 600ml</t>
  </si>
  <si>
    <t xml:space="preserve">Polo T-shirt for SOP Engine M264 </t>
  </si>
  <si>
    <t>HK-56092010 Brush 9mm</t>
  </si>
  <si>
    <t xml:space="preserve">Rental Car for SOP Engine M264 </t>
  </si>
  <si>
    <t>F31586200158250005 Rachet Insert Tool 3/</t>
  </si>
  <si>
    <t xml:space="preserve">F315862005HZ026005 Torque Wrench 2-12 Nm </t>
  </si>
  <si>
    <t>Socket Legran kaki5</t>
  </si>
  <si>
    <t>Add. cost for driver sprinter + operation</t>
  </si>
  <si>
    <t>Certification of Hanger EC tool (for Engineering)</t>
  </si>
  <si>
    <t>Fluke 713.30 &amp; Hand Pump Ametek Pneumatik</t>
  </si>
  <si>
    <t>2nd Installment Technical Engineering Agreement</t>
  </si>
  <si>
    <t xml:space="preserve">Driver Sprinter for Transportation </t>
  </si>
  <si>
    <t>Battery set with cover battery BT-130L-C</t>
  </si>
  <si>
    <t>Try Cable 50x100x3000mm</t>
  </si>
  <si>
    <t xml:space="preserve">30419C350  </t>
  </si>
  <si>
    <t>A0078173620  Information label airbag</t>
  </si>
  <si>
    <t xml:space="preserve">F580001041671 Wiper arm rear door X253 </t>
  </si>
  <si>
    <t xml:space="preserve">8431127360 BCP BL-6L-I06 </t>
  </si>
  <si>
    <t>Reconstruction Tool Suspension &amp;  Modification</t>
  </si>
  <si>
    <t>BR-99990999-322167 Adaptation Plate FIN</t>
  </si>
  <si>
    <t>4500134767</t>
  </si>
  <si>
    <t>98TZ0817Z00M-S Porty</t>
  </si>
  <si>
    <t>Easy Mover AE700B</t>
  </si>
  <si>
    <t>Visit Austria - Rusnali</t>
  </si>
  <si>
    <t>Bekti/Rusnali</t>
  </si>
  <si>
    <t>ESD Epoxy Protection Floor Bld 08</t>
  </si>
  <si>
    <t>Material Cost for Hydrant Pump System</t>
  </si>
  <si>
    <t>4500134792</t>
  </si>
  <si>
    <t>PC Cabin Hanger</t>
  </si>
  <si>
    <t>4500134815</t>
  </si>
  <si>
    <t>4500134830</t>
  </si>
  <si>
    <t>Relayering ESD Epoxy Floor Mechincal Lin</t>
  </si>
  <si>
    <t>GRK40006000 Polishing 3" 450 PL</t>
  </si>
  <si>
    <t>GRK200803000 Gesipa GBM 95</t>
  </si>
  <si>
    <t xml:space="preserve">Control Box, Completely with : Ethernet </t>
  </si>
  <si>
    <t>Whiteboard Standing double face magnetic</t>
  </si>
  <si>
    <t xml:space="preserve">New installation of Lightning Protector </t>
  </si>
  <si>
    <t>Replacement Capacitor Bank and ACB At Bl</t>
  </si>
  <si>
    <t>SDP Panel Overhaul (3 Units) Bld 08</t>
  </si>
  <si>
    <t>Add work Refurbishment  Toilet and Drive</t>
  </si>
  <si>
    <t>330419810</t>
  </si>
  <si>
    <t>HK-52430240 SW24 Socket 1/2" 38mm Masch</t>
  </si>
  <si>
    <t>7500000739</t>
  </si>
  <si>
    <t>Approval Telex Single Visit Visa (VK211)</t>
  </si>
  <si>
    <t>7500000760</t>
  </si>
  <si>
    <t>File Holder transparant 8040</t>
  </si>
  <si>
    <t>5500011543</t>
  </si>
  <si>
    <t>1738 Handglove knitted white</t>
  </si>
  <si>
    <t>Flight ticket to German</t>
  </si>
  <si>
    <t>7500000742</t>
  </si>
  <si>
    <t>Obtaining VITAS C-321 Approval for Mr. Dishant S.</t>
  </si>
  <si>
    <t>Yulia/irma</t>
  </si>
  <si>
    <t>Add. costs for T-Shirt</t>
  </si>
  <si>
    <t>330818802</t>
  </si>
  <si>
    <t>Portable HIgh Stand</t>
  </si>
  <si>
    <t>330419808</t>
  </si>
  <si>
    <t>4500134687</t>
  </si>
  <si>
    <t>4500134840</t>
  </si>
  <si>
    <t>Standard Trolley Flow Rack Small Bins</t>
  </si>
  <si>
    <t>Replacement Clean Water Pipe</t>
  </si>
  <si>
    <t xml:space="preserve">Refurbish Pump System &amp; Pump Room (Gate </t>
  </si>
  <si>
    <t xml:space="preserve">Recondition Industrial waste water pond </t>
  </si>
  <si>
    <t xml:space="preserve">Gazebo </t>
  </si>
  <si>
    <t>Maintenance Mitsubishi L300</t>
  </si>
  <si>
    <t>Services Cost for Hydrant Pump System</t>
  </si>
  <si>
    <t>CGMM2018X167</t>
  </si>
  <si>
    <t>VemaLOG Software / Hardware &amp; Implementation</t>
  </si>
  <si>
    <t>FLIGHT TICKET CGK-AUH-MUC-AUH-BOM ON 02.07.2019 -</t>
  </si>
  <si>
    <t>TRAVEL INSURANCE MR.NILESH</t>
  </si>
  <si>
    <t>Touch screen LCD Module of SCS for Screw Audit</t>
  </si>
  <si>
    <t>Triyanto / Bekti</t>
  </si>
  <si>
    <t>Tensor Hold and Drive for Toolcenter 2.0</t>
  </si>
  <si>
    <t>Stand tool cart</t>
  </si>
  <si>
    <t>Modification Tool Suspension &amp; Lamp Bld</t>
  </si>
  <si>
    <t>Cabin Adapter V167</t>
  </si>
  <si>
    <t>Scanner Devices</t>
  </si>
  <si>
    <t>iPhone 8 - 64 GB</t>
  </si>
  <si>
    <t>Fery/Don</t>
  </si>
  <si>
    <t>Hang on part tools for V167</t>
  </si>
  <si>
    <t>Plier for cable strap</t>
  </si>
  <si>
    <t>Rear Adapter for sub-frame S-Class</t>
  </si>
  <si>
    <t>ETB Adaptation M264 Build.09A</t>
  </si>
  <si>
    <t>Hotel &amp; flight ticket for Ms. Woro to Kuala Lumpur from 19 to  23 Aug 2019</t>
  </si>
  <si>
    <t>Add. Cost for flight ticket to munich for Mr. Nileshkumar due to change in departure schedule</t>
  </si>
  <si>
    <t>Measuring Tools Engineering Process</t>
  </si>
  <si>
    <t>HV-ID2287J Roller Device W205</t>
  </si>
  <si>
    <t>Yulia/Fachmi</t>
  </si>
  <si>
    <t>Tools for X253 MOPF ( based on TI 677 )</t>
  </si>
  <si>
    <t>Gauge of GLC Class facelift</t>
  </si>
  <si>
    <t>Bekti/Anton</t>
  </si>
  <si>
    <t>1st Installment TE Aggreement</t>
  </si>
  <si>
    <t>Press in Device for Puffer Trunk Lid F36</t>
  </si>
  <si>
    <t>2nd Installment TE Agreement X167</t>
  </si>
  <si>
    <t>1st Installment TE Agreement H247</t>
  </si>
  <si>
    <t xml:space="preserve">CGMMHRM19002 </t>
  </si>
  <si>
    <t>General Facility for Wanaherang Plant</t>
  </si>
  <si>
    <t>Office Build. 4 &amp; Annex 2019</t>
  </si>
  <si>
    <t>Interior Design Fee</t>
  </si>
  <si>
    <t>Project Management Cost</t>
  </si>
  <si>
    <t>Mixture Tank 1000 liter</t>
  </si>
  <si>
    <t>Installation ESD Grounding Pit Mech Line</t>
  </si>
  <si>
    <t>New Spot Car Wash Annex Bld.8</t>
  </si>
  <si>
    <t>Order Brake Pusher</t>
  </si>
  <si>
    <t>Filling Head Brake Filling Machine 4-valve</t>
  </si>
  <si>
    <t>Battery Manipulator</t>
  </si>
  <si>
    <t>Order Equipment for V167 in Wheel Alignment</t>
  </si>
  <si>
    <t>Jeri/Akhmad</t>
  </si>
  <si>
    <t>Yulia/Yustinus</t>
  </si>
  <si>
    <t>Installation component looping hanger</t>
  </si>
  <si>
    <t>New Two Post Lift for Trim Line 1</t>
  </si>
  <si>
    <t>Paint Danalac &amp; Thinner</t>
  </si>
  <si>
    <t>Hook Electric</t>
  </si>
  <si>
    <t>Jeri</t>
  </si>
  <si>
    <t>4211542485 A485-Multi Charger 18/36V</t>
  </si>
  <si>
    <t>Bemi Part : Baut, DynaBolt, Sling, Bearing</t>
  </si>
  <si>
    <t>Refurbish Lifter bld 08</t>
  </si>
  <si>
    <t>Additional Work of Pit Lifter Bld 08</t>
  </si>
  <si>
    <t>HV-ID10929 Adjustment tool for light of inner mirror V167</t>
  </si>
  <si>
    <t>Plant Supplies</t>
  </si>
  <si>
    <t>IT</t>
  </si>
  <si>
    <t>Basus Budget (W7 + Others)</t>
  </si>
  <si>
    <t>Rationalization Projects</t>
  </si>
  <si>
    <t>Replacement Projects</t>
  </si>
  <si>
    <t>Total Plant</t>
  </si>
  <si>
    <t>Yulia.Daniel</t>
  </si>
  <si>
    <t>0.602.494.006 Charger battery Bosch Li-i</t>
  </si>
  <si>
    <t>Others expeses, No PO Number Feb 19</t>
  </si>
  <si>
    <t>Others expeses, No PO Number Mar 19</t>
  </si>
  <si>
    <t>Others expeses, No PO Number Apr 19</t>
  </si>
  <si>
    <t>Others expeses, No PO Number May 19</t>
  </si>
  <si>
    <t>Others expeses, No PO Number Jun 19</t>
  </si>
  <si>
    <t>0519GLE351</t>
  </si>
  <si>
    <t>N000000006590 MC:HXRD Screw MBN 10143-M8</t>
  </si>
  <si>
    <t>Square Pipe 60x40x2,8mm</t>
  </si>
  <si>
    <t>W206 - TE</t>
  </si>
  <si>
    <t>EGMMLA19X167</t>
  </si>
  <si>
    <t>0519GLE350</t>
  </si>
  <si>
    <t xml:space="preserve">Cable </t>
  </si>
  <si>
    <t>Yulia/Azhari</t>
  </si>
  <si>
    <t>Others with no PO</t>
  </si>
  <si>
    <t>Engine Helium Leak Tester</t>
  </si>
  <si>
    <t>Jeri/Pehang</t>
  </si>
  <si>
    <t>Budget</t>
  </si>
  <si>
    <t>Actual</t>
  </si>
  <si>
    <t>Remaining</t>
  </si>
  <si>
    <t>Office</t>
  </si>
  <si>
    <t>Quality</t>
  </si>
  <si>
    <t>Logistics</t>
  </si>
  <si>
    <t>EMI</t>
  </si>
  <si>
    <t>Engineering</t>
  </si>
  <si>
    <t>V177</t>
  </si>
  <si>
    <t>V167</t>
  </si>
  <si>
    <t>M264</t>
  </si>
  <si>
    <t>W213</t>
  </si>
  <si>
    <t>V222</t>
  </si>
  <si>
    <t>W205</t>
  </si>
  <si>
    <t>X253</t>
  </si>
  <si>
    <t>W206</t>
  </si>
  <si>
    <t>OP 2019</t>
  </si>
  <si>
    <t>EUR</t>
  </si>
  <si>
    <t>H247</t>
  </si>
  <si>
    <t>Total</t>
  </si>
  <si>
    <t>Standard Tool for W213</t>
  </si>
  <si>
    <t>X Road Network &amp; Control Button Part</t>
  </si>
  <si>
    <t>Yulia/Desi</t>
  </si>
  <si>
    <t>MBI Whiteboard double face magnetic, frame A4 &amp; Title Sticker</t>
  </si>
  <si>
    <t>X-Road Personal Computer Component Parts</t>
  </si>
  <si>
    <t>UPS Distribution for SA. Chasis</t>
  </si>
  <si>
    <t>Stand Still System Roller Test Part</t>
  </si>
  <si>
    <t>CKD Painted Body Importation Analysis &amp; Study</t>
  </si>
  <si>
    <t>Yulia/Adhi</t>
  </si>
  <si>
    <t>Special Gauges for HOP V167</t>
  </si>
  <si>
    <t>3 units iPhone 8 - 64GB</t>
  </si>
  <si>
    <t>1 unit iPhone 8 - 64GB</t>
  </si>
  <si>
    <t>Logitech Mouse &amp; Keyboard &amp; Seagate Expansion Ext. Harddrive</t>
  </si>
  <si>
    <t>ID &amp; MEP Contractor Services for Building 4</t>
  </si>
  <si>
    <t>LED TV politron Xcel 32"</t>
  </si>
  <si>
    <t>Network Renewal Building 8 +/- 200 points</t>
  </si>
  <si>
    <t>Replace &amp; Repair Rolling Doors Bld 07A 2</t>
  </si>
  <si>
    <t>Refurbish Factory Door Entrance Gate 2</t>
  </si>
  <si>
    <t>1 day Levelling Service</t>
  </si>
  <si>
    <t>TA Mr. Pranav Jain - MPS Project 02</t>
  </si>
  <si>
    <t>330519S807</t>
  </si>
  <si>
    <t>Due Day</t>
  </si>
  <si>
    <t>Yulia/Desitia</t>
  </si>
  <si>
    <t>Refurbish Cooling Tower &amp; Water Pump Circulation</t>
  </si>
  <si>
    <t>BEMI V177 Part 6</t>
  </si>
  <si>
    <t>Tool Trolley Assistant with Assortment</t>
  </si>
  <si>
    <t>Ardi/Mukti</t>
  </si>
  <si>
    <t>Additional Hydrant Pillar Installation</t>
  </si>
  <si>
    <t>DP 50% - ETB Adaptation M264 Build.09A</t>
  </si>
  <si>
    <t>A2649000600 TEST ECU M264 Customs Tarif 4 C730-C378</t>
  </si>
  <si>
    <t>Utilization</t>
  </si>
  <si>
    <t>Plant</t>
  </si>
  <si>
    <t>Replacement Clean Water Pipe Phase 2</t>
  </si>
  <si>
    <t>Replacement &amp; Recondition AC Non Inverter</t>
  </si>
  <si>
    <t>Install Bronjong / Turap Penahan Fondas (Slope Re-inforcement for Fence</t>
  </si>
  <si>
    <t>Refurbishment Generator Set Bld. 8</t>
  </si>
  <si>
    <t>Trolley of Engine for V167</t>
  </si>
  <si>
    <t>Trolley of Exhaust for V167</t>
  </si>
  <si>
    <t>Standard tools for X253 MOPF</t>
  </si>
  <si>
    <t>Trolley Transfer of Cockpit V167</t>
  </si>
  <si>
    <t>Standard tool for X67</t>
  </si>
  <si>
    <t>Special Tools &amp; Equipment for M264</t>
  </si>
  <si>
    <t>Special Tools for W213</t>
  </si>
  <si>
    <t>Hand Gloves for Local Training V167</t>
  </si>
  <si>
    <t>Storage Adapter Hanger</t>
  </si>
  <si>
    <t>Engraving Pen</t>
  </si>
  <si>
    <t>Pneumatic Part</t>
  </si>
  <si>
    <t>Car Distance Sensor for Shower Test</t>
  </si>
  <si>
    <t>Standard tools for W205 (part 2)</t>
  </si>
  <si>
    <t>Standard tools for V222</t>
  </si>
  <si>
    <t>Access Doors for MBIna</t>
  </si>
  <si>
    <t>ECU &amp; CPC for M264 Update 1.5L to 2.0L</t>
  </si>
  <si>
    <t>Standard Trolley Flow Rack Small Bins &amp; Combine</t>
  </si>
  <si>
    <t>Gripper 48V Battery for W213</t>
  </si>
  <si>
    <t>Others expeses, No PO Number Jul 19</t>
  </si>
  <si>
    <t>330519C806</t>
  </si>
  <si>
    <t>Roller Device - HV-ID2287J - W205</t>
  </si>
  <si>
    <t>Bracket Wiper</t>
  </si>
  <si>
    <t xml:space="preserve"> </t>
  </si>
  <si>
    <t>One time cost</t>
  </si>
  <si>
    <t>Rear Adapter for sub-frame S-Class to EGMM0019V222</t>
  </si>
  <si>
    <t>Special tools &amp; Equipment for M264 part 2</t>
  </si>
  <si>
    <t>Spart part Hoist Bld 09A</t>
  </si>
  <si>
    <t>Concept Lighting of SA Chasis at Bld. 08</t>
  </si>
  <si>
    <t>Engine Wash Machine Contigency Part</t>
  </si>
  <si>
    <t>Contigency MHE &amp; Part Hoist Bld. 09</t>
  </si>
  <si>
    <t>CGMMLA19X167</t>
  </si>
  <si>
    <t>SCS Torque Audit for Torque Audit</t>
  </si>
  <si>
    <t>PM Services for Building 4 Period Sep - Nov 19</t>
  </si>
  <si>
    <t>330719P800</t>
  </si>
  <si>
    <t>Hazet 6612C-12 insert open-end wrench 9x12, 12 mm</t>
  </si>
  <si>
    <t>0F19GLE802</t>
  </si>
  <si>
    <t>330419808A</t>
  </si>
  <si>
    <t>Additional Tools V167</t>
  </si>
  <si>
    <t>Cable power for installation Andon in Mechanical Line 1 &amp; 2</t>
  </si>
  <si>
    <t>Engraving Gripper</t>
  </si>
  <si>
    <t>BO-0602490439 Cordless Screw Driver, Bos, Standard tool for W205 part 1</t>
  </si>
  <si>
    <t>30519S807A</t>
  </si>
  <si>
    <t>Roller for door sealing rubber</t>
  </si>
  <si>
    <t>DP 30% - Improvement Piping Hydrant System</t>
  </si>
  <si>
    <t>MPS Q2 - Pranav</t>
  </si>
  <si>
    <t>Floor Protection</t>
  </si>
  <si>
    <t>Adapter Rear axle</t>
  </si>
  <si>
    <t>Adapter Front Axle</t>
  </si>
  <si>
    <t>Guide Rail</t>
  </si>
  <si>
    <t>Adapter engine</t>
  </si>
  <si>
    <t>Bosch Angle Exact 15 - 500 Nm (Incl. Battery Li-io</t>
  </si>
  <si>
    <t>Battery adapter for manipulator</t>
  </si>
  <si>
    <t>KR-2030158 Roller Device</t>
  </si>
  <si>
    <t>Mechanical Electrical Facility Combine Line 2</t>
  </si>
  <si>
    <t>0619GLC801</t>
  </si>
  <si>
    <t>Category</t>
  </si>
  <si>
    <t>Model</t>
  </si>
  <si>
    <t>Code</t>
  </si>
  <si>
    <t>M</t>
  </si>
  <si>
    <t>O</t>
  </si>
  <si>
    <t>U</t>
  </si>
  <si>
    <t>AA</t>
  </si>
  <si>
    <t>Row Labels</t>
  </si>
  <si>
    <t>CGMM</t>
  </si>
  <si>
    <t>EGMM</t>
  </si>
  <si>
    <t>20</t>
  </si>
  <si>
    <t>LA</t>
  </si>
  <si>
    <t>TA</t>
  </si>
  <si>
    <t>TE</t>
  </si>
  <si>
    <t>V223</t>
  </si>
  <si>
    <t xml:space="preserve">V167 - One time cost </t>
  </si>
  <si>
    <t>V167 -TA</t>
  </si>
  <si>
    <t>EGMMTA19V167</t>
  </si>
  <si>
    <t>X167 - Local A-Team, working permit, consumption</t>
  </si>
  <si>
    <t>All DM</t>
  </si>
  <si>
    <t/>
  </si>
  <si>
    <t>Asset
One-time Cost</t>
  </si>
  <si>
    <t>CGMM : Asset, EGGM : One-time cost
LA : Local A-Team
TA : Technical Agreement
TE : Technical Engineering</t>
  </si>
  <si>
    <r>
      <t xml:space="preserve">OP FUNDING 2019 - </t>
    </r>
    <r>
      <rPr>
        <sz val="14"/>
        <color theme="3"/>
        <rFont val="Calibri"/>
        <family val="2"/>
        <scheme val="minor"/>
      </rPr>
      <t>Remaining Budget</t>
    </r>
    <r>
      <rPr>
        <b/>
        <sz val="14"/>
        <color theme="3"/>
        <rFont val="Calibri"/>
        <family val="2"/>
        <scheme val="minor"/>
      </rPr>
      <t xml:space="preserve">
</t>
    </r>
    <r>
      <rPr>
        <i/>
        <sz val="12"/>
        <color theme="3"/>
        <rFont val="Calibri"/>
        <family val="2"/>
        <scheme val="minor"/>
      </rPr>
      <t>in Thousand Euro, k€.</t>
    </r>
  </si>
  <si>
    <t>1470+150</t>
  </si>
  <si>
    <t>Planned Expenditure</t>
  </si>
  <si>
    <r>
      <rPr>
        <sz val="11"/>
        <color theme="1"/>
        <rFont val="CorpoS"/>
      </rPr>
      <t xml:space="preserve">30% DP New Mariage Station - </t>
    </r>
    <r>
      <rPr>
        <sz val="11"/>
        <color theme="4"/>
        <rFont val="CorpoS"/>
      </rPr>
      <t>105 TEUR</t>
    </r>
    <r>
      <rPr>
        <sz val="11"/>
        <color theme="1"/>
        <rFont val="CorpoS"/>
      </rPr>
      <t xml:space="preserve">
30% DP Glass window glueing robot - </t>
    </r>
    <r>
      <rPr>
        <sz val="11"/>
        <color theme="4"/>
        <rFont val="CorpoS"/>
      </rPr>
      <t>105 TEUR</t>
    </r>
    <r>
      <rPr>
        <sz val="11"/>
        <color theme="1"/>
        <rFont val="CorpoS"/>
      </rPr>
      <t xml:space="preserve">
10% DP Looping Hanger - </t>
    </r>
    <r>
      <rPr>
        <sz val="11"/>
        <color theme="4"/>
        <rFont val="CorpoS"/>
      </rPr>
      <t>31 TEUR</t>
    </r>
  </si>
  <si>
    <t>Exit permit Only for Mr. Pranav Jain from MBIndia</t>
  </si>
  <si>
    <t>Tool for Engine test preparation and checking of light intensity in Q-gate</t>
  </si>
  <si>
    <t>Bekti/ Ferryas</t>
  </si>
  <si>
    <t>Service Agreement Start up Support V167</t>
  </si>
  <si>
    <r>
      <t xml:space="preserve">Battery Manipulator - </t>
    </r>
    <r>
      <rPr>
        <sz val="11"/>
        <color theme="3" tint="0.39997558519241921"/>
        <rFont val="CorpoS"/>
      </rPr>
      <t>20 TEUR</t>
    </r>
    <r>
      <rPr>
        <sz val="11"/>
        <color theme="7" tint="-0.499984740745262"/>
        <rFont val="CorpoS"/>
      </rPr>
      <t xml:space="preserve">
Buffer for special tools - </t>
    </r>
    <r>
      <rPr>
        <sz val="11"/>
        <color theme="3" tint="0.39997558519241921"/>
        <rFont val="CorpoS"/>
      </rPr>
      <t xml:space="preserve">15 TEUR
</t>
    </r>
    <r>
      <rPr>
        <sz val="11"/>
        <color theme="1"/>
        <rFont val="CorpoS"/>
      </rPr>
      <t xml:space="preserve">Bracket Connector for Basic Carrier - </t>
    </r>
    <r>
      <rPr>
        <sz val="11"/>
        <color theme="4"/>
        <rFont val="CorpoS"/>
      </rPr>
      <t xml:space="preserve">5 TEUR
</t>
    </r>
    <r>
      <rPr>
        <sz val="11"/>
        <color theme="1"/>
        <rFont val="CorpoS"/>
      </rPr>
      <t>Adapter for Front Seat Manipulator of V167/X167</t>
    </r>
    <r>
      <rPr>
        <sz val="11"/>
        <color theme="4"/>
        <rFont val="CorpoS"/>
      </rPr>
      <t xml:space="preserve"> - 22 TEUR
</t>
    </r>
    <r>
      <rPr>
        <sz val="11"/>
        <color theme="1"/>
        <rFont val="CorpoS"/>
      </rPr>
      <t xml:space="preserve">Handling Tool for 2nd and 3rd Seat Row for V167 - </t>
    </r>
    <r>
      <rPr>
        <sz val="11"/>
        <color theme="4"/>
        <rFont val="CorpoS"/>
      </rPr>
      <t xml:space="preserve">20 TEUR - </t>
    </r>
    <r>
      <rPr>
        <sz val="11"/>
        <color theme="1"/>
        <rFont val="CorpoS"/>
      </rPr>
      <t>CW 34</t>
    </r>
    <r>
      <rPr>
        <sz val="11"/>
        <color theme="4"/>
        <rFont val="CorpoS"/>
      </rPr>
      <t xml:space="preserve">
</t>
    </r>
    <r>
      <rPr>
        <sz val="11"/>
        <color theme="1"/>
        <rFont val="CorpoS"/>
      </rPr>
      <t xml:space="preserve">Seat manipulator + Gripper
</t>
    </r>
    <r>
      <rPr>
        <sz val="11"/>
        <color theme="7" tint="-0.499984740745262"/>
        <rFont val="CorpoS"/>
      </rPr>
      <t xml:space="preserve">
LA - X167 : Master cabin, Digital torque, tensor stand-alone</t>
    </r>
  </si>
  <si>
    <t>Tagger Bracket Connector</t>
  </si>
  <si>
    <t>New Certification of Lifting Device (2 Post Lift) in Line 2 Bld 08</t>
  </si>
  <si>
    <t>EGMMTE19W206</t>
  </si>
  <si>
    <t>CGMM2018M264</t>
  </si>
  <si>
    <t>Move to V222</t>
  </si>
  <si>
    <t>Move to LA V167</t>
  </si>
  <si>
    <t>Move to X167</t>
  </si>
  <si>
    <t>Cabin Trolley Modification</t>
  </si>
  <si>
    <t>Working permit task force SOP V167</t>
  </si>
  <si>
    <t>Spray Gun</t>
  </si>
  <si>
    <t>Ardi/Sasongko</t>
  </si>
  <si>
    <t>Server Hosting One time cost - SGD 3200</t>
  </si>
  <si>
    <t>Running Cost - Pro Rate 2019 Sep - SGD 7,129,85</t>
  </si>
  <si>
    <t>DONE</t>
  </si>
  <si>
    <t>Engine Hood Adjuster</t>
  </si>
  <si>
    <t>AV &amp; AUTOMATION WANAHERANG (Building-4) For MBIna</t>
  </si>
  <si>
    <t>Technical Information 676 V167</t>
  </si>
  <si>
    <t>Remark</t>
  </si>
  <si>
    <t>CGMMLA19V167</t>
  </si>
  <si>
    <t>TV LED 32" with VGA input &amp; Filter Paint Shop</t>
  </si>
  <si>
    <t>0719GLS810</t>
  </si>
  <si>
    <t>HK-52282102 Digital Torque Wrench, 10-20</t>
  </si>
  <si>
    <t>330719P807</t>
  </si>
  <si>
    <t>QEV111AE466Q ADHESIVE NOZZLE</t>
  </si>
  <si>
    <t>0619GLE803</t>
  </si>
  <si>
    <t>Add Demin Water Pipe &amp; Fresh Water Pipe Line 2 Bld 08</t>
  </si>
  <si>
    <t>DP 30% - Automatic Sealing Machine for Engine M264</t>
  </si>
  <si>
    <t>Whiteboard standing double face magnetic Std. -Uk</t>
  </si>
  <si>
    <t>330719E806</t>
  </si>
  <si>
    <t>New Fire Extinguisher type foam for Line 2</t>
  </si>
  <si>
    <t>0719GLE803</t>
  </si>
  <si>
    <t>X167 - One Time Cost</t>
  </si>
  <si>
    <t>Normal Body X167</t>
  </si>
  <si>
    <t>Yulia/Okto</t>
  </si>
  <si>
    <t>Sum of Remaining</t>
  </si>
  <si>
    <t>Postpone 2020</t>
  </si>
  <si>
    <t>New Lighting for Q Gate Inspection</t>
  </si>
  <si>
    <t>HP Designjet T830 24-in MFP Printer</t>
  </si>
  <si>
    <t>HR</t>
  </si>
  <si>
    <t>2 unit CCTV, IPKamera Hikvision 2MP DS-2CD2021-IAX</t>
  </si>
  <si>
    <r>
      <t xml:space="preserve">Laptop &amp; Adapter incl. license PC for PLC in leaking test area </t>
    </r>
    <r>
      <rPr>
        <sz val="11"/>
        <color theme="3" tint="0.39997558519241921"/>
        <rFont val="CorpoS"/>
      </rPr>
      <t>- 5 TEUR</t>
    </r>
    <r>
      <rPr>
        <sz val="11"/>
        <color theme="1"/>
        <rFont val="CorpoS"/>
      </rPr>
      <t xml:space="preserve">
Elastomer - Contingency Plan - </t>
    </r>
    <r>
      <rPr>
        <sz val="11"/>
        <color theme="3" tint="0.39997558519241921"/>
        <rFont val="CorpoS"/>
      </rPr>
      <t>2.5 TEUR</t>
    </r>
    <r>
      <rPr>
        <sz val="11"/>
        <color theme="1"/>
        <rFont val="CorpoS"/>
      </rPr>
      <t xml:space="preserve">
Special Tools for Quality - </t>
    </r>
    <r>
      <rPr>
        <sz val="11"/>
        <color theme="3" tint="0.39997558519241921"/>
        <rFont val="CorpoS"/>
      </rPr>
      <t>50 TEUR</t>
    </r>
    <r>
      <rPr>
        <sz val="11"/>
        <color theme="1"/>
        <rFont val="CorpoS"/>
      </rPr>
      <t xml:space="preserve">
Special Tools for Assembly Line - Contingency Plan - </t>
    </r>
    <r>
      <rPr>
        <sz val="11"/>
        <color theme="3" tint="0.39997558519241921"/>
        <rFont val="CorpoS"/>
      </rPr>
      <t>25 TEUR</t>
    </r>
    <r>
      <rPr>
        <sz val="11"/>
        <color theme="1"/>
        <rFont val="CorpoS"/>
      </rPr>
      <t xml:space="preserve">
ETB Trane - Chiller Damage - 1</t>
    </r>
    <r>
      <rPr>
        <sz val="11"/>
        <color theme="3" tint="0.39997558519241921"/>
        <rFont val="CorpoS"/>
      </rPr>
      <t xml:space="preserve"> TEUR</t>
    </r>
    <r>
      <rPr>
        <sz val="11"/>
        <color theme="1"/>
        <rFont val="CorpoS"/>
      </rPr>
      <t xml:space="preserve">
Refurbishment floor in assembly line Building 9A - </t>
    </r>
    <r>
      <rPr>
        <sz val="11"/>
        <color theme="3" tint="0.39997558519241921"/>
        <rFont val="CorpoS"/>
      </rPr>
      <t>60 TEUR</t>
    </r>
    <r>
      <rPr>
        <sz val="11"/>
        <color theme="1"/>
        <rFont val="CorpoS"/>
      </rPr>
      <t xml:space="preserve">
Piston inserting tool
Additional audit or spare tools
</t>
    </r>
  </si>
  <si>
    <t>Bekti / Ferryas</t>
  </si>
  <si>
    <t>T-Shirt SOP V167</t>
  </si>
  <si>
    <t>Sample Part X167</t>
  </si>
  <si>
    <t>One time use Parts Central Training X167</t>
  </si>
  <si>
    <t>Yulia Azhari</t>
  </si>
  <si>
    <t>Refurbish tables &amp; Cabinets in MPR Room Bld. 08</t>
  </si>
  <si>
    <t>Short term Working permit Support SOP V167 &amp; Central Training X167</t>
  </si>
  <si>
    <t>ERP Process Mr. Ingo Schmid</t>
  </si>
  <si>
    <t>REJECTED</t>
  </si>
  <si>
    <t>Refurbish water pump and modification pipe</t>
  </si>
  <si>
    <t>Double open end wrench (HZ 450 N 12 x 13)</t>
  </si>
  <si>
    <t>Working table for Inspector</t>
  </si>
  <si>
    <t>PLC Programming Data Access Laptop</t>
  </si>
  <si>
    <t>330319805A</t>
  </si>
  <si>
    <t>330719E804</t>
  </si>
  <si>
    <t>Baut 10x150, Cat Putih Danapaint, Suku 50x45x6000</t>
  </si>
  <si>
    <t>GLTC 1675 Tape for center console</t>
  </si>
  <si>
    <t xml:space="preserve"> English Course for Local A-Team - Placement Test ( Free )</t>
  </si>
  <si>
    <t>0519GLE352</t>
  </si>
  <si>
    <t>K-Zero Bracket</t>
  </si>
  <si>
    <t>Socket Organizer X167</t>
  </si>
  <si>
    <t>Hanger Sub-Frame FA</t>
  </si>
  <si>
    <t>Bekti/Hanum</t>
  </si>
  <si>
    <t>Additional Quality Tools Engine M264</t>
  </si>
  <si>
    <t>Water gate and temporary reservoir for Environmental management to handle</t>
  </si>
  <si>
    <t>Seat Gripper V167</t>
  </si>
  <si>
    <t>Tightening tools for local training X167</t>
  </si>
  <si>
    <t>Maintenance Operation Tools Production Engine</t>
  </si>
  <si>
    <t>Deutronics for Local Training X167</t>
  </si>
  <si>
    <t>Digital Torque Wrench for Local Training X167</t>
  </si>
  <si>
    <t>Standard Gauges for Local Training X167</t>
  </si>
  <si>
    <t>Tools for ETB Ringging parts</t>
  </si>
  <si>
    <t>Yulia/saptomo</t>
  </si>
  <si>
    <t>Standard Tool for X167</t>
  </si>
  <si>
    <t>Postponement to 2020</t>
  </si>
  <si>
    <t>Pliers for cable strap</t>
  </si>
  <si>
    <t>DP 20% - One off upgrade of existing roll test sta</t>
  </si>
  <si>
    <t>30% New Marriage Station Equipment-Revisi PO</t>
  </si>
  <si>
    <t>30% New Marriage Station Equipment</t>
  </si>
  <si>
    <t>DP 100% - SM-BR167 Adaptersatz Laengstraeger re/li</t>
  </si>
  <si>
    <t>310719C811</t>
  </si>
  <si>
    <t>Sample Trolley</t>
  </si>
  <si>
    <t>0619GLC800</t>
  </si>
  <si>
    <t>Spare Part Mesch Seal Type LZ-MG13/28-G6</t>
  </si>
  <si>
    <t>Bekti/Ari</t>
  </si>
  <si>
    <t>Add. Cost charge for RPTKA related with EAS No 4400000979</t>
  </si>
  <si>
    <t>Document AWB harus siap awal december</t>
  </si>
  <si>
    <t>deadline aslinya adalah 3 desember</t>
  </si>
  <si>
    <t>Waiting GR process</t>
  </si>
  <si>
    <t>V167 - GLE CBU Cars, tools &amp; equipments</t>
  </si>
  <si>
    <t>V167 - Local A-Team, Special Tools</t>
  </si>
  <si>
    <t>CBU GLE450 AMG V167 as Replacement EAS 5300000122</t>
  </si>
  <si>
    <t>Additional Lighting System for PA room in Bld 9A</t>
  </si>
  <si>
    <t xml:space="preserve">GR akan dilakukan setelah SOP V167 setelah mendapat konfirmasi dari Ingo Schmid. </t>
  </si>
  <si>
    <t>GR sudah dilakukan sejak tanggal 2 September 2019 dengan nomor RGS : REG-INV00059799. Lihat email Bu Yulia terlampir.</t>
  </si>
  <si>
    <t>Check</t>
  </si>
  <si>
    <t>BAST sudah dikirim ke Bu Yulia untuk dibuatkan RGS sejak tanggal 6 September 2019. Tapi karena Bu Yulia cuti hari ini, RGS akan dilakukan hari Senin, 9 September 2019. Lihat email Woro terlampir.</t>
  </si>
  <si>
    <r>
      <t>GR sudah dilakukan sejak tanggal 5 September 2019 dengan nomor RGS : REG-INV00059842. Lihat email Bu Yulia terlampir.</t>
    </r>
    <r>
      <rPr>
        <b/>
        <sz val="11"/>
        <color rgb="FF00B050"/>
        <rFont val="Calibri"/>
        <family val="2"/>
        <scheme val="minor"/>
      </rPr>
      <t> </t>
    </r>
  </si>
  <si>
    <t>Sedang diklarifikasi oleh Pak Bazuri karena PO-nya tidak tercantum di masterlist EX-33. Takutnya, EX-33 lupa order ke supplier. </t>
  </si>
  <si>
    <t>Barang sudah tiba di receiving. Akan di-GR di hari Senin, September 2019.   </t>
  </si>
  <si>
    <t>0919GLS803</t>
  </si>
  <si>
    <t>0919GLS801</t>
  </si>
  <si>
    <t>0919GLS351</t>
  </si>
  <si>
    <t>0819GLS350</t>
  </si>
  <si>
    <t>Cost fee for "Start to Lead Program" for Ms. Woro Lestari / ENG Dept.</t>
  </si>
  <si>
    <t>Konfirmasi Bu Novi untuk menghapus PR.</t>
  </si>
  <si>
    <t>Tunggu konfirmasi Bu  Novi untuk penghapusan EAS</t>
  </si>
  <si>
    <t>Menuggu PO di GR oleh pak encup</t>
  </si>
  <si>
    <t>0E19GLE805</t>
  </si>
  <si>
    <t>Tunggu konfirmasi Bu Novi</t>
  </si>
  <si>
    <t>Cek Pending PO</t>
  </si>
  <si>
    <t>Perbaikan plafon MPR Room</t>
  </si>
  <si>
    <t>0819GLE800</t>
  </si>
  <si>
    <t>0819GLE801</t>
  </si>
  <si>
    <t>Local Law Firm - EUR15,000</t>
  </si>
  <si>
    <t>Others expeses, No PO Number Aug 19</t>
  </si>
  <si>
    <t>Others expeses, No PO Number Sep 19</t>
  </si>
  <si>
    <t>330119808A</t>
  </si>
  <si>
    <t>Y200460527428 Set of Gab gauge 0,1 mm -</t>
  </si>
  <si>
    <t>330319801A</t>
  </si>
  <si>
    <t>331018803A</t>
  </si>
  <si>
    <t>330719A808</t>
  </si>
  <si>
    <t>Modification Adapter S-Class</t>
  </si>
  <si>
    <t>Jeri/Daniel</t>
  </si>
  <si>
    <t>Others &amp; No PO</t>
  </si>
  <si>
    <t>EASID</t>
  </si>
  <si>
    <t>0819GLS352</t>
  </si>
  <si>
    <t>0919GLS800</t>
  </si>
  <si>
    <t>0919GLS802</t>
  </si>
  <si>
    <t>0819GLS351</t>
  </si>
  <si>
    <t>Provision of spill kit at Waneherang for Environtment Management</t>
  </si>
  <si>
    <t>Konfirmasi Bu Novi untuk di close</t>
  </si>
  <si>
    <t>Konfirmasi bu Novi untuk di -close</t>
  </si>
  <si>
    <t>TechSpray Zero Charge Floor Coating</t>
  </si>
  <si>
    <t>Compact Cylinder ADN-63-30-A-P-A</t>
  </si>
  <si>
    <t>310719C812</t>
  </si>
  <si>
    <t>310919C800</t>
  </si>
  <si>
    <t>Minta tolong Bu Novi untuk GR</t>
  </si>
  <si>
    <t>Technical Inspection Engine Test Bed Chiller</t>
  </si>
  <si>
    <t>Receive Date</t>
  </si>
  <si>
    <t>Minta cek Bu novi</t>
  </si>
  <si>
    <t>UPS 10KVA for DR Room Building</t>
  </si>
  <si>
    <t>BEMI for HUD</t>
  </si>
  <si>
    <t>White board for engine assembly</t>
  </si>
  <si>
    <t>4500134371</t>
  </si>
  <si>
    <t>4500134207</t>
  </si>
  <si>
    <t>4500134306</t>
  </si>
  <si>
    <t>PRx</t>
  </si>
  <si>
    <t>Temporary Access Road for Factory Entrance</t>
  </si>
  <si>
    <t>310719C809</t>
  </si>
  <si>
    <t>Add. Cost for Bemi Trimming Line X167</t>
  </si>
  <si>
    <t>EGMMPRD19000</t>
  </si>
  <si>
    <t>Variation order batch 1, additional work</t>
  </si>
  <si>
    <t>Konfirmasi Bu Novi</t>
  </si>
  <si>
    <t>Modification adapter S-Class</t>
  </si>
  <si>
    <t>0919GLS805</t>
  </si>
  <si>
    <t>EX33 Order related to TI 772</t>
  </si>
  <si>
    <t>EX33 Order related to TI 771</t>
  </si>
  <si>
    <t>PLC Data Backup On Site Support</t>
  </si>
  <si>
    <t>330819C802</t>
  </si>
  <si>
    <t>X167 - GLS CKD Kits, tools &amp; equipments</t>
  </si>
  <si>
    <t>Service Agreement Central Training Support X167</t>
  </si>
  <si>
    <t>Remaining IDR</t>
  </si>
  <si>
    <t>Budget IDR</t>
  </si>
  <si>
    <t>Total IDR</t>
  </si>
  <si>
    <t>Controller master for live wire Cleco MPRO400GCD-M for Torque tightening in ETB preparation</t>
  </si>
  <si>
    <t>Bekti/Ferryas</t>
  </si>
  <si>
    <t>Oil Levelling Flexgen S Sensor-70007544 to check the level of oil in engine (contigency) at ETB preparation</t>
  </si>
  <si>
    <t>Baterry Charger Deutronic for Electric Back-up during inspection at Final Gate Quality</t>
  </si>
  <si>
    <t>Compact Block Sander with Vacum</t>
  </si>
  <si>
    <t>Battery tools for X167</t>
  </si>
  <si>
    <t>PLC to PC Interface Software</t>
  </si>
  <si>
    <t>DS Inline Rework Training in Germany</t>
  </si>
  <si>
    <t>Bekti</t>
  </si>
  <si>
    <t>Consumption tools for paint spot repair</t>
  </si>
  <si>
    <t>Engine seal machine spare part</t>
  </si>
  <si>
    <t>0919GLE807</t>
  </si>
  <si>
    <t>3 Units complete CKD kits X167</t>
  </si>
  <si>
    <t>Working Permit for Central Training</t>
  </si>
  <si>
    <t>Overdue
Day(s)</t>
  </si>
  <si>
    <t>ETA
Request</t>
  </si>
  <si>
    <t>Issue
Date</t>
  </si>
  <si>
    <t>Receive
Date</t>
  </si>
  <si>
    <t>EAS
Issuer</t>
  </si>
  <si>
    <t>Actual
GR</t>
  </si>
  <si>
    <t>Sudah GR, Konfirmasi Bu Novi</t>
  </si>
  <si>
    <t>30% DP CKD Flex Marriage MFA2</t>
  </si>
  <si>
    <t>30% DP Looping Hanger for Line 1</t>
  </si>
  <si>
    <t>30% DP Gripper Cockpit for Model V177 + H247</t>
  </si>
  <si>
    <t>Phase 1 : Special Tools MFA2 EX33 Order</t>
  </si>
  <si>
    <t>Personal Computer for PLC Interface</t>
  </si>
  <si>
    <t>Master engine adjustment</t>
  </si>
  <si>
    <t>REG-INV00060141</t>
  </si>
  <si>
    <t>REG-INV00060052</t>
  </si>
  <si>
    <t>REG-INV00060106</t>
  </si>
  <si>
    <r>
      <t xml:space="preserve">Arrived. RGS number : </t>
    </r>
    <r>
      <rPr>
        <b/>
        <sz val="11"/>
        <color theme="1"/>
        <rFont val="Calibri Light"/>
        <family val="2"/>
      </rPr>
      <t>5000291124</t>
    </r>
  </si>
  <si>
    <r>
      <t xml:space="preserve">Arrived. RGS number : </t>
    </r>
    <r>
      <rPr>
        <b/>
        <sz val="11"/>
        <color theme="1"/>
        <rFont val="Calibri Light"/>
        <family val="2"/>
      </rPr>
      <t xml:space="preserve">5000293351 </t>
    </r>
    <r>
      <rPr>
        <sz val="11"/>
        <color theme="1"/>
        <rFont val="Calibri Light"/>
        <family val="2"/>
      </rPr>
      <t xml:space="preserve">and </t>
    </r>
    <r>
      <rPr>
        <b/>
        <sz val="11"/>
        <color theme="1"/>
        <rFont val="Calibri Light"/>
        <family val="2"/>
      </rPr>
      <t>5000293802</t>
    </r>
  </si>
  <si>
    <t>Tumpeng &amp; Lunch Box</t>
  </si>
  <si>
    <t>File Holder transparant 8040 &amp; Bantex</t>
  </si>
  <si>
    <t>Torque wrench for Local Training X167</t>
  </si>
  <si>
    <t>0819GLS353</t>
  </si>
  <si>
    <t>Standard tools for local training X167</t>
  </si>
  <si>
    <t>Hanger adapter for X167</t>
  </si>
  <si>
    <t>Yulia/daniel</t>
  </si>
  <si>
    <t>BEMI X167</t>
  </si>
  <si>
    <t>1019GLS803</t>
  </si>
  <si>
    <t>Torque wrench for X167</t>
  </si>
  <si>
    <t>0919GLS806</t>
  </si>
  <si>
    <t>1019GLS802</t>
  </si>
  <si>
    <t>Protection rear entry</t>
  </si>
  <si>
    <t>1019GLS801</t>
  </si>
  <si>
    <t>Special gauges for X167</t>
  </si>
  <si>
    <t>0719GLE801</t>
  </si>
  <si>
    <t>Upgrade shower test part</t>
  </si>
  <si>
    <t>Battery tools for local training</t>
  </si>
  <si>
    <t>Standard Tools X167 (Sockets, Bits)</t>
  </si>
  <si>
    <t>1019GLS810</t>
  </si>
  <si>
    <t>part for TI 796</t>
  </si>
  <si>
    <t>Motor blower fan</t>
  </si>
  <si>
    <t>Engine wash machine drain system</t>
  </si>
  <si>
    <t>Engine wash machine sensor</t>
  </si>
  <si>
    <t>ETB Engine travel hoist 500 Kg</t>
  </si>
  <si>
    <t>Jeri Pehang</t>
  </si>
  <si>
    <t>ETB Cooling &amp; Cold Water Distribution Pump</t>
  </si>
  <si>
    <t>Pneumatic pump &amp; Gun ETB Facility</t>
  </si>
  <si>
    <t>Dry cooling tower Axial Fan</t>
  </si>
  <si>
    <t>Engine seal machine contigency plan</t>
  </si>
  <si>
    <t>DP 30% -</t>
  </si>
  <si>
    <t>ETB air handling unit filter bag</t>
  </si>
  <si>
    <t>Calibration Engine Leak Test JW Froelich</t>
  </si>
  <si>
    <t>Dry cooling tower cleaning</t>
  </si>
  <si>
    <t>Standard tools for Local Training V/X167</t>
  </si>
  <si>
    <t>TA Start-up V167 MBIndonesia</t>
  </si>
  <si>
    <t>CGMMENG19003</t>
  </si>
  <si>
    <t>Road concrete ramp on factory entrance gate</t>
  </si>
  <si>
    <t>New road concrete ramp on factory entrance gate</t>
  </si>
  <si>
    <t>Replacement ETB Chiller Pump</t>
  </si>
  <si>
    <t>Spare part ETB</t>
  </si>
  <si>
    <t>20% DP Windshield Gluing Robot</t>
  </si>
  <si>
    <t>20% DP DVD Gluing 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</si>
</sst>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0.0%"/>
    <numFmt numFmtId="167" formatCode="[$-409]dd\-mmm\-yy;@"/>
    <numFmt numFmtId="168" formatCode="#,##0,"/>
  </numFmts>
  <fonts count="9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rpoS"/>
    </font>
    <font>
      <b/>
      <sz val="10"/>
      <name val="CorpoS"/>
    </font>
    <font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orpoS"/>
    </font>
    <font>
      <b/>
      <sz val="10"/>
      <color theme="1"/>
      <name val="CorpoS"/>
    </font>
    <font>
      <b/>
      <sz val="10"/>
      <color theme="0"/>
      <name val="CorpoS"/>
    </font>
    <font>
      <sz val="10"/>
      <color theme="1"/>
      <name val="CorpoS"/>
    </font>
    <font>
      <b/>
      <sz val="11"/>
      <name val="Calibri"/>
      <family val="2"/>
      <scheme val="minor"/>
    </font>
    <font>
      <sz val="11"/>
      <name val="CorpoS"/>
    </font>
    <font>
      <sz val="10"/>
      <color theme="0"/>
      <name val="CorpoS"/>
    </font>
    <font>
      <sz val="11"/>
      <color theme="1"/>
      <name val="CorpoS"/>
    </font>
    <font>
      <b/>
      <sz val="11"/>
      <color theme="1"/>
      <name val="CorpoS"/>
    </font>
    <font>
      <sz val="11"/>
      <color theme="0" tint="-0.249977111117893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3" tint="-0.249977111117893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 tint="0.34998626667073579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6"/>
      <color theme="1" tint="0.34998626667073579"/>
      <name val="Calibri"/>
      <family val="2"/>
      <scheme val="minor"/>
    </font>
    <font>
      <b/>
      <sz val="9"/>
      <color theme="1"/>
      <name val="CorpoS"/>
    </font>
    <font>
      <b/>
      <sz val="14"/>
      <color theme="1"/>
      <name val="CorpoS"/>
    </font>
    <font>
      <sz val="10"/>
      <name val="Arial"/>
      <family val="2"/>
    </font>
    <font>
      <sz val="9"/>
      <color theme="3" tint="-0.249977111117893"/>
      <name val="Calibri"/>
      <family val="2"/>
      <scheme val="minor"/>
    </font>
    <font>
      <i/>
      <sz val="9"/>
      <color theme="3" tint="-0.249977111117893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 tint="4.9989318521683403E-2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7" tint="-0.499984740745262"/>
      <name val="Calibri"/>
      <family val="2"/>
      <scheme val="minor"/>
    </font>
    <font>
      <b/>
      <sz val="18"/>
      <color theme="7" tint="-0.499984740745262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sz val="16"/>
      <color theme="7" tint="-0.499984740745262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6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i/>
      <sz val="8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2"/>
      <color theme="3"/>
      <name val="Calibri"/>
      <family val="2"/>
      <scheme val="minor"/>
    </font>
    <font>
      <sz val="11"/>
      <color theme="7" tint="-0.499984740745262"/>
      <name val="CorpoS"/>
    </font>
    <font>
      <sz val="11"/>
      <color theme="3" tint="0.39997558519241921"/>
      <name val="CorpoS"/>
    </font>
    <font>
      <sz val="11"/>
      <color theme="4"/>
      <name val="Corpo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orpoS"/>
    </font>
    <font>
      <sz val="12"/>
      <color rgb="FFFF0000"/>
      <name val="CorpoS"/>
    </font>
    <font>
      <sz val="11"/>
      <color theme="3"/>
      <name val="Calibri"/>
      <family val="2"/>
      <scheme val="minor"/>
    </font>
    <font>
      <sz val="10"/>
      <color theme="1" tint="0.249977111117893"/>
      <name val="CorpoS"/>
    </font>
    <font>
      <sz val="11"/>
      <color rgb="FFFF0000"/>
      <name val="CorpoS"/>
    </font>
    <font>
      <sz val="11"/>
      <color theme="3"/>
      <name val="CorpoS"/>
    </font>
    <font>
      <sz val="11"/>
      <color rgb="FF0099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name val="Calibri Light"/>
      <family val="2"/>
    </font>
    <font>
      <sz val="11"/>
      <name val="Calibri Light"/>
      <family val="2"/>
    </font>
    <font>
      <b/>
      <sz val="10"/>
      <color theme="0"/>
      <name val="Calibri Light"/>
      <family val="2"/>
    </font>
    <font>
      <b/>
      <i/>
      <sz val="9"/>
      <color theme="1"/>
      <name val="Calibri"/>
      <family val="2"/>
      <scheme val="minor"/>
    </font>
    <font>
      <b/>
      <sz val="12"/>
      <name val="Calibri Light"/>
      <family val="2"/>
    </font>
    <font>
      <sz val="10"/>
      <color theme="3"/>
      <name val="Calibri Light"/>
      <family val="2"/>
    </font>
    <font>
      <b/>
      <sz val="14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B050"/>
      <name val="Calibri Light"/>
      <family val="2"/>
    </font>
    <font>
      <b/>
      <sz val="14"/>
      <color rgb="FFFF0000"/>
      <name val="CorpoS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sz val="10"/>
      <color rgb="FFFF0000"/>
      <name val="Calibri Light"/>
      <family val="2"/>
    </font>
    <font>
      <b/>
      <sz val="22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theme="4" tint="0.39997558519241921"/>
      </patternFill>
    </fill>
    <fill>
      <patternFill patternType="solid">
        <fgColor theme="6" tint="0.79998168889431442"/>
        <bgColor theme="4" tint="0.39997558519241921"/>
      </patternFill>
    </fill>
    <fill>
      <patternFill patternType="solid">
        <fgColor theme="9" tint="0.79998168889431442"/>
        <bgColor theme="4" tint="0.39997558519241921"/>
      </patternFill>
    </fill>
    <fill>
      <patternFill patternType="solid">
        <fgColor theme="0" tint="-0.14999847407452621"/>
        <bgColor theme="4" tint="0.39997558519241921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medium">
        <color theme="1"/>
      </top>
      <bottom style="medium">
        <color theme="2" tint="-0.24994659260841701"/>
      </bottom>
      <diagonal/>
    </border>
    <border>
      <left/>
      <right/>
      <top style="medium">
        <color theme="2" tint="-0.24994659260841701"/>
      </top>
      <bottom style="medium">
        <color theme="2" tint="-0.24994659260841701"/>
      </bottom>
      <diagonal/>
    </border>
    <border>
      <left/>
      <right/>
      <top style="medium">
        <color theme="2" tint="-0.24994659260841701"/>
      </top>
      <bottom style="medium">
        <color theme="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3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3" tint="0.79995117038483843"/>
      </left>
      <right style="thin">
        <color theme="3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3" tint="0.79995117038483843"/>
      </left>
      <right style="thin">
        <color theme="3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3" tint="0.79995117038483843"/>
      </right>
      <top style="thin">
        <color theme="4" tint="0.79998168889431442"/>
      </top>
      <bottom/>
      <diagonal/>
    </border>
    <border>
      <left style="thin">
        <color theme="3" tint="0.79995117038483843"/>
      </left>
      <right style="thin">
        <color theme="3" tint="0.79995117038483843"/>
      </right>
      <top style="thin">
        <color theme="4" tint="0.79998168889431442"/>
      </top>
      <bottom/>
      <diagonal/>
    </border>
    <border>
      <left style="thin">
        <color theme="3" tint="0.79995117038483843"/>
      </left>
      <right style="thin">
        <color theme="3" tint="0.79998168889431442"/>
      </right>
      <top style="thin">
        <color theme="4" tint="0.79998168889431442"/>
      </top>
      <bottom/>
      <diagonal/>
    </border>
    <border>
      <left/>
      <right style="thin">
        <color theme="4" tint="0.39994506668294322"/>
      </right>
      <top style="thin">
        <color theme="4" tint="-0.249977111117893"/>
      </top>
      <bottom style="thin">
        <color theme="4" tint="0.7999816888943144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-0.249977111117893"/>
      </top>
      <bottom style="thin">
        <color theme="4" tint="0.59999389629810485"/>
      </bottom>
      <diagonal/>
    </border>
    <border>
      <left style="thin">
        <color theme="4" tint="0.39994506668294322"/>
      </left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thin">
        <color theme="4" tint="0.59999389629810485"/>
      </top>
      <bottom/>
      <diagonal/>
    </border>
    <border>
      <left/>
      <right/>
      <top/>
      <bottom style="thin">
        <color theme="4" tint="0.59999389629810485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 tint="0.79995117038483843"/>
      </top>
      <bottom style="thin">
        <color theme="4" tint="0.7999816888943144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5" fillId="13" borderId="11" applyNumberFormat="0" applyAlignment="0" applyProtection="0"/>
    <xf numFmtId="0" fontId="26" fillId="14" borderId="12" applyNumberFormat="0" applyAlignment="0" applyProtection="0"/>
    <xf numFmtId="0" fontId="27" fillId="14" borderId="11" applyNumberFormat="0" applyAlignment="0" applyProtection="0"/>
    <xf numFmtId="0" fontId="28" fillId="0" borderId="13" applyNumberFormat="0" applyFill="0" applyAlignment="0" applyProtection="0"/>
    <xf numFmtId="0" fontId="29" fillId="15" borderId="14" applyNumberFormat="0" applyAlignment="0" applyProtection="0"/>
    <xf numFmtId="0" fontId="30" fillId="0" borderId="0" applyNumberFormat="0" applyFill="0" applyBorder="0" applyAlignment="0" applyProtection="0"/>
    <xf numFmtId="0" fontId="1" fillId="16" borderId="15" applyNumberFormat="0" applyFont="0" applyAlignment="0" applyProtection="0"/>
    <xf numFmtId="0" fontId="31" fillId="0" borderId="0" applyNumberFormat="0" applyFill="0" applyBorder="0" applyAlignment="0" applyProtection="0"/>
    <xf numFmtId="0" fontId="32" fillId="0" borderId="16" applyNumberFormat="0" applyFill="0" applyAlignment="0" applyProtection="0"/>
    <xf numFmtId="0" fontId="3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33" fillId="40" borderId="0" applyNumberFormat="0" applyBorder="0" applyAlignment="0" applyProtection="0"/>
    <xf numFmtId="0" fontId="34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4" fillId="0" borderId="0"/>
  </cellStyleXfs>
  <cellXfs count="438">
    <xf numFmtId="0" fontId="0" fillId="0" borderId="0" xfId="0"/>
    <xf numFmtId="3" fontId="3" fillId="2" borderId="1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0" applyFont="1" applyFill="1" applyBorder="1"/>
    <xf numFmtId="0" fontId="4" fillId="0" borderId="2" xfId="0" applyFont="1" applyBorder="1" applyAlignment="1">
      <alignment horizontal="center"/>
    </xf>
    <xf numFmtId="164" fontId="4" fillId="0" borderId="2" xfId="1" applyNumberFormat="1" applyFont="1" applyFill="1" applyBorder="1"/>
    <xf numFmtId="0" fontId="8" fillId="0" borderId="0" xfId="0" applyFont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164" fontId="9" fillId="5" borderId="2" xfId="1" applyNumberFormat="1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1" applyNumberFormat="1" applyFont="1" applyFill="1" applyBorder="1" applyAlignment="1">
      <alignment horizontal="center" vertical="center" wrapText="1"/>
    </xf>
    <xf numFmtId="0" fontId="4" fillId="0" borderId="2" xfId="0" applyFont="1" applyBorder="1"/>
    <xf numFmtId="164" fontId="4" fillId="0" borderId="2" xfId="1" applyNumberFormat="1" applyFont="1" applyBorder="1"/>
    <xf numFmtId="164" fontId="4" fillId="0" borderId="2" xfId="1" applyNumberFormat="1" applyFont="1" applyBorder="1" applyAlignment="1">
      <alignment horizontal="center"/>
    </xf>
    <xf numFmtId="0" fontId="11" fillId="4" borderId="2" xfId="0" applyFont="1" applyFill="1" applyBorder="1"/>
    <xf numFmtId="0" fontId="11" fillId="4" borderId="2" xfId="0" applyFont="1" applyFill="1" applyBorder="1" applyAlignment="1">
      <alignment horizontal="center"/>
    </xf>
    <xf numFmtId="164" fontId="11" fillId="4" borderId="2" xfId="1" applyNumberFormat="1" applyFont="1" applyFill="1" applyBorder="1"/>
    <xf numFmtId="164" fontId="11" fillId="4" borderId="2" xfId="1" applyNumberFormat="1" applyFont="1" applyFill="1" applyBorder="1" applyAlignment="1">
      <alignment horizontal="center"/>
    </xf>
    <xf numFmtId="0" fontId="4" fillId="0" borderId="0" xfId="0" applyFont="1" applyFill="1"/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/>
    <xf numFmtId="164" fontId="4" fillId="0" borderId="0" xfId="1" applyNumberFormat="1" applyFont="1" applyFill="1" applyBorder="1"/>
    <xf numFmtId="0" fontId="11" fillId="4" borderId="4" xfId="0" applyFont="1" applyFill="1" applyBorder="1"/>
    <xf numFmtId="164" fontId="11" fillId="4" borderId="6" xfId="1" applyNumberFormat="1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164" fontId="11" fillId="4" borderId="5" xfId="1" applyNumberFormat="1" applyFont="1" applyFill="1" applyBorder="1"/>
    <xf numFmtId="164" fontId="11" fillId="4" borderId="4" xfId="0" applyNumberFormat="1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64" fontId="4" fillId="0" borderId="0" xfId="1" applyNumberFormat="1" applyFont="1" applyBorder="1"/>
    <xf numFmtId="164" fontId="4" fillId="0" borderId="0" xfId="1" applyNumberFormat="1" applyFont="1" applyBorder="1" applyAlignment="1">
      <alignment horizontal="center"/>
    </xf>
    <xf numFmtId="164" fontId="4" fillId="0" borderId="2" xfId="1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3" borderId="2" xfId="1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/>
    </xf>
    <xf numFmtId="164" fontId="4" fillId="0" borderId="0" xfId="1" applyNumberFormat="1" applyFont="1"/>
    <xf numFmtId="164" fontId="11" fillId="4" borderId="4" xfId="1" applyNumberFormat="1" applyFont="1" applyFill="1" applyBorder="1" applyAlignment="1">
      <alignment horizontal="center" vertical="center"/>
    </xf>
    <xf numFmtId="166" fontId="4" fillId="0" borderId="0" xfId="4" applyNumberFormat="1" applyFont="1"/>
    <xf numFmtId="164" fontId="4" fillId="0" borderId="0" xfId="0" applyNumberFormat="1" applyFont="1"/>
    <xf numFmtId="0" fontId="12" fillId="0" borderId="2" xfId="0" applyFont="1" applyFill="1" applyBorder="1" applyAlignment="1">
      <alignment horizontal="center"/>
    </xf>
    <xf numFmtId="9" fontId="4" fillId="0" borderId="0" xfId="4" applyNumberFormat="1" applyFont="1"/>
    <xf numFmtId="164" fontId="11" fillId="0" borderId="0" xfId="0" applyNumberFormat="1" applyFont="1"/>
    <xf numFmtId="164" fontId="4" fillId="0" borderId="0" xfId="0" applyNumberFormat="1" applyFont="1" applyFill="1" applyBorder="1"/>
    <xf numFmtId="164" fontId="4" fillId="0" borderId="0" xfId="1" applyNumberFormat="1" applyFont="1" applyFill="1"/>
    <xf numFmtId="0" fontId="9" fillId="5" borderId="2" xfId="0" applyFont="1" applyFill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 applyAlignment="1">
      <alignment wrapText="1"/>
    </xf>
    <xf numFmtId="0" fontId="4" fillId="0" borderId="2" xfId="0" applyFont="1" applyFill="1" applyBorder="1" applyAlignment="1">
      <alignment wrapText="1"/>
    </xf>
    <xf numFmtId="0" fontId="11" fillId="4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11" fillId="4" borderId="4" xfId="0" applyFont="1" applyFill="1" applyBorder="1" applyAlignment="1">
      <alignment horizontal="center" wrapText="1"/>
    </xf>
    <xf numFmtId="0" fontId="11" fillId="4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164" fontId="4" fillId="0" borderId="2" xfId="1" applyNumberFormat="1" applyFont="1" applyFill="1" applyBorder="1" applyAlignment="1">
      <alignment vertical="top"/>
    </xf>
    <xf numFmtId="164" fontId="4" fillId="0" borderId="2" xfId="1" applyNumberFormat="1" applyFont="1" applyBorder="1" applyAlignment="1">
      <alignment vertical="top"/>
    </xf>
    <xf numFmtId="164" fontId="4" fillId="0" borderId="2" xfId="1" applyNumberFormat="1" applyFont="1" applyBorder="1" applyAlignment="1">
      <alignment horizontal="center" vertical="top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0" xfId="0" applyFont="1" applyFill="1" applyAlignment="1">
      <alignment vertical="top"/>
    </xf>
    <xf numFmtId="0" fontId="9" fillId="5" borderId="2" xfId="0" applyFont="1" applyFill="1" applyBorder="1" applyAlignment="1">
      <alignment horizontal="left" vertical="center"/>
    </xf>
    <xf numFmtId="165" fontId="9" fillId="5" borderId="2" xfId="0" applyNumberFormat="1" applyFont="1" applyFill="1" applyBorder="1" applyAlignment="1">
      <alignment horizontal="center" vertical="center" wrapText="1"/>
    </xf>
    <xf numFmtId="9" fontId="4" fillId="0" borderId="0" xfId="4" applyFont="1" applyFill="1" applyBorder="1"/>
    <xf numFmtId="0" fontId="4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wrapText="1"/>
    </xf>
    <xf numFmtId="0" fontId="14" fillId="0" borderId="0" xfId="0" applyFont="1"/>
    <xf numFmtId="165" fontId="15" fillId="0" borderId="0" xfId="0" applyNumberFormat="1" applyFont="1" applyAlignment="1">
      <alignment horizontal="center"/>
    </xf>
    <xf numFmtId="164" fontId="14" fillId="0" borderId="0" xfId="1" applyNumberFormat="1" applyFont="1"/>
    <xf numFmtId="164" fontId="15" fillId="0" borderId="0" xfId="0" applyNumberFormat="1" applyFont="1"/>
    <xf numFmtId="0" fontId="15" fillId="0" borderId="0" xfId="0" applyFont="1"/>
    <xf numFmtId="0" fontId="4" fillId="0" borderId="2" xfId="0" applyFont="1" applyFill="1" applyBorder="1" applyAlignment="1">
      <alignment horizontal="left" vertical="top" wrapText="1" indent="2"/>
    </xf>
    <xf numFmtId="167" fontId="4" fillId="0" borderId="0" xfId="0" applyNumberFormat="1" applyFont="1" applyAlignment="1">
      <alignment horizontal="center"/>
    </xf>
    <xf numFmtId="167" fontId="11" fillId="3" borderId="2" xfId="1" applyNumberFormat="1" applyFont="1" applyFill="1" applyBorder="1" applyAlignment="1">
      <alignment horizontal="center" vertical="center" wrapText="1"/>
    </xf>
    <xf numFmtId="167" fontId="4" fillId="0" borderId="2" xfId="0" applyNumberFormat="1" applyFont="1" applyFill="1" applyBorder="1" applyAlignment="1">
      <alignment horizontal="center"/>
    </xf>
    <xf numFmtId="167" fontId="11" fillId="4" borderId="2" xfId="1" applyNumberFormat="1" applyFont="1" applyFill="1" applyBorder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7" fontId="4" fillId="0" borderId="2" xfId="0" applyNumberFormat="1" applyFont="1" applyBorder="1" applyAlignment="1">
      <alignment horizontal="center" vertical="top"/>
    </xf>
    <xf numFmtId="167" fontId="4" fillId="0" borderId="0" xfId="0" applyNumberFormat="1" applyFont="1" applyBorder="1" applyAlignment="1">
      <alignment horizontal="center"/>
    </xf>
    <xf numFmtId="43" fontId="14" fillId="0" borderId="0" xfId="1" applyFont="1"/>
    <xf numFmtId="164" fontId="15" fillId="0" borderId="0" xfId="1" applyNumberFormat="1" applyFont="1"/>
    <xf numFmtId="0" fontId="15" fillId="0" borderId="0" xfId="0" applyNumberFormat="1" applyFont="1" applyAlignment="1">
      <alignment horizontal="center"/>
    </xf>
    <xf numFmtId="9" fontId="14" fillId="0" borderId="0" xfId="4" applyFont="1"/>
    <xf numFmtId="164" fontId="14" fillId="0" borderId="0" xfId="0" applyNumberFormat="1" applyFont="1"/>
    <xf numFmtId="0" fontId="12" fillId="0" borderId="2" xfId="0" applyFont="1" applyBorder="1" applyAlignment="1">
      <alignment horizontal="center"/>
    </xf>
    <xf numFmtId="164" fontId="7" fillId="7" borderId="1" xfId="0" applyNumberFormat="1" applyFont="1" applyFill="1" applyBorder="1"/>
    <xf numFmtId="9" fontId="14" fillId="0" borderId="0" xfId="4" applyNumberFormat="1" applyFont="1"/>
    <xf numFmtId="0" fontId="4" fillId="0" borderId="2" xfId="0" quotePrefix="1" applyFont="1" applyFill="1" applyBorder="1" applyAlignment="1">
      <alignment wrapText="1"/>
    </xf>
    <xf numFmtId="0" fontId="11" fillId="0" borderId="0" xfId="0" applyFont="1" applyAlignment="1">
      <alignment horizontal="right" wrapText="1"/>
    </xf>
    <xf numFmtId="0" fontId="4" fillId="8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 vertical="top"/>
    </xf>
    <xf numFmtId="0" fontId="12" fillId="8" borderId="2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 vertical="top"/>
    </xf>
    <xf numFmtId="0" fontId="16" fillId="0" borderId="0" xfId="0" applyFont="1" applyAlignment="1">
      <alignment wrapText="1"/>
    </xf>
    <xf numFmtId="0" fontId="10" fillId="0" borderId="2" xfId="0" applyFont="1" applyBorder="1" applyAlignment="1">
      <alignment horizontal="left" vertical="center"/>
    </xf>
    <xf numFmtId="0" fontId="4" fillId="0" borderId="0" xfId="0" applyFont="1" applyAlignment="1">
      <alignment horizontal="right"/>
    </xf>
    <xf numFmtId="3" fontId="17" fillId="0" borderId="0" xfId="4" applyNumberFormat="1" applyFont="1"/>
    <xf numFmtId="0" fontId="4" fillId="9" borderId="0" xfId="0" applyFont="1" applyFill="1"/>
    <xf numFmtId="164" fontId="4" fillId="0" borderId="18" xfId="1" applyNumberFormat="1" applyFont="1" applyFill="1" applyBorder="1"/>
    <xf numFmtId="164" fontId="4" fillId="0" borderId="19" xfId="1" applyNumberFormat="1" applyFont="1" applyFill="1" applyBorder="1"/>
    <xf numFmtId="164" fontId="4" fillId="41" borderId="17" xfId="1" applyNumberFormat="1" applyFont="1" applyFill="1" applyBorder="1"/>
    <xf numFmtId="0" fontId="10" fillId="7" borderId="2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top" wrapText="1" indent="2"/>
    </xf>
    <xf numFmtId="164" fontId="11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3" xfId="0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32" fillId="43" borderId="23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32" fillId="43" borderId="24" xfId="0" applyFont="1" applyFill="1" applyBorder="1" applyAlignment="1">
      <alignment horizontal="left" vertical="center" indent="1"/>
    </xf>
    <xf numFmtId="0" fontId="36" fillId="0" borderId="24" xfId="0" applyFont="1" applyFill="1" applyBorder="1" applyAlignment="1">
      <alignment horizontal="center" vertical="center"/>
    </xf>
    <xf numFmtId="168" fontId="0" fillId="0" borderId="24" xfId="0" applyNumberFormat="1" applyBorder="1" applyAlignment="1">
      <alignment horizontal="right" vertical="center" indent="1"/>
    </xf>
    <xf numFmtId="168" fontId="35" fillId="0" borderId="24" xfId="0" applyNumberFormat="1" applyFont="1" applyBorder="1" applyAlignment="1">
      <alignment horizontal="right" vertical="center" indent="1"/>
    </xf>
    <xf numFmtId="168" fontId="37" fillId="0" borderId="24" xfId="0" applyNumberFormat="1" applyFont="1" applyBorder="1" applyAlignment="1">
      <alignment horizontal="right" vertical="center" indent="1"/>
    </xf>
    <xf numFmtId="9" fontId="38" fillId="0" borderId="24" xfId="0" applyNumberFormat="1" applyFont="1" applyBorder="1" applyAlignment="1">
      <alignment horizontal="right" vertical="center"/>
    </xf>
    <xf numFmtId="0" fontId="0" fillId="0" borderId="24" xfId="0" applyBorder="1" applyAlignment="1">
      <alignment horizontal="left" vertical="center" indent="1"/>
    </xf>
    <xf numFmtId="0" fontId="0" fillId="0" borderId="24" xfId="0" applyFill="1" applyBorder="1" applyAlignment="1">
      <alignment horizontal="left" vertical="center" indent="1"/>
    </xf>
    <xf numFmtId="0" fontId="0" fillId="0" borderId="24" xfId="0" applyFill="1" applyBorder="1" applyAlignment="1">
      <alignment vertical="center"/>
    </xf>
    <xf numFmtId="168" fontId="0" fillId="0" borderId="24" xfId="0" applyNumberFormat="1" applyBorder="1" applyAlignment="1">
      <alignment vertical="center"/>
    </xf>
    <xf numFmtId="168" fontId="40" fillId="0" borderId="24" xfId="0" applyNumberFormat="1" applyFont="1" applyBorder="1" applyAlignment="1">
      <alignment horizontal="right" vertical="center" indent="1"/>
    </xf>
    <xf numFmtId="168" fontId="39" fillId="0" borderId="24" xfId="0" applyNumberFormat="1" applyFont="1" applyBorder="1" applyAlignment="1">
      <alignment horizontal="right" vertical="center" indent="1"/>
    </xf>
    <xf numFmtId="9" fontId="41" fillId="0" borderId="24" xfId="0" applyNumberFormat="1" applyFont="1" applyBorder="1" applyAlignment="1">
      <alignment horizontal="right" vertical="center"/>
    </xf>
    <xf numFmtId="0" fontId="0" fillId="0" borderId="25" xfId="0" applyBorder="1" applyAlignment="1">
      <alignment vertical="center"/>
    </xf>
    <xf numFmtId="168" fontId="40" fillId="0" borderId="25" xfId="0" applyNumberFormat="1" applyFont="1" applyBorder="1" applyAlignment="1">
      <alignment horizontal="right" vertical="center" indent="1"/>
    </xf>
    <xf numFmtId="168" fontId="39" fillId="0" borderId="25" xfId="0" applyNumberFormat="1" applyFont="1" applyBorder="1" applyAlignment="1">
      <alignment horizontal="right" vertical="center" indent="1"/>
    </xf>
    <xf numFmtId="9" fontId="41" fillId="0" borderId="25" xfId="0" applyNumberFormat="1" applyFont="1" applyBorder="1" applyAlignment="1">
      <alignment horizontal="right" vertical="center"/>
    </xf>
    <xf numFmtId="0" fontId="37" fillId="0" borderId="23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64" fontId="10" fillId="2" borderId="0" xfId="1" applyNumberFormat="1" applyFont="1" applyFill="1" applyAlignment="1">
      <alignment vertical="center"/>
    </xf>
    <xf numFmtId="164" fontId="10" fillId="0" borderId="0" xfId="1" applyNumberFormat="1" applyFont="1" applyFill="1" applyAlignment="1">
      <alignment vertical="center"/>
    </xf>
    <xf numFmtId="165" fontId="10" fillId="0" borderId="0" xfId="0" applyNumberFormat="1" applyFont="1" applyAlignment="1">
      <alignment horizontal="center" vertical="center"/>
    </xf>
    <xf numFmtId="0" fontId="7" fillId="7" borderId="2" xfId="0" applyFont="1" applyFill="1" applyBorder="1" applyAlignment="1">
      <alignment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vertical="center"/>
    </xf>
    <xf numFmtId="164" fontId="10" fillId="7" borderId="2" xfId="0" applyNumberFormat="1" applyFont="1" applyFill="1" applyBorder="1" applyAlignment="1">
      <alignment vertical="center"/>
    </xf>
    <xf numFmtId="165" fontId="10" fillId="7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164" fontId="10" fillId="0" borderId="2" xfId="1" applyNumberFormat="1" applyFont="1" applyBorder="1" applyAlignment="1">
      <alignment vertical="center"/>
    </xf>
    <xf numFmtId="164" fontId="10" fillId="4" borderId="2" xfId="0" applyNumberFormat="1" applyFont="1" applyFill="1" applyBorder="1" applyAlignment="1">
      <alignment vertical="center"/>
    </xf>
    <xf numFmtId="165" fontId="10" fillId="0" borderId="2" xfId="0" applyNumberFormat="1" applyFont="1" applyBorder="1" applyAlignment="1">
      <alignment horizontal="center" vertical="center"/>
    </xf>
    <xf numFmtId="165" fontId="13" fillId="42" borderId="2" xfId="0" applyNumberFormat="1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vertical="center"/>
    </xf>
    <xf numFmtId="164" fontId="13" fillId="5" borderId="2" xfId="1" applyNumberFormat="1" applyFont="1" applyFill="1" applyBorder="1" applyAlignment="1">
      <alignment vertical="center"/>
    </xf>
    <xf numFmtId="164" fontId="13" fillId="5" borderId="2" xfId="0" applyNumberFormat="1" applyFont="1" applyFill="1" applyBorder="1" applyAlignment="1">
      <alignment vertical="center"/>
    </xf>
    <xf numFmtId="165" fontId="13" fillId="5" borderId="2" xfId="0" applyNumberFormat="1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center"/>
    </xf>
    <xf numFmtId="164" fontId="10" fillId="0" borderId="2" xfId="1" applyNumberFormat="1" applyFont="1" applyFill="1" applyBorder="1" applyAlignment="1">
      <alignment vertical="center"/>
    </xf>
    <xf numFmtId="0" fontId="10" fillId="6" borderId="2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165" fontId="10" fillId="0" borderId="2" xfId="0" applyNumberFormat="1" applyFont="1" applyFill="1" applyBorder="1" applyAlignment="1">
      <alignment horizontal="center" vertical="center"/>
    </xf>
    <xf numFmtId="164" fontId="10" fillId="0" borderId="2" xfId="1" applyNumberFormat="1" applyFont="1" applyFill="1" applyBorder="1" applyAlignment="1">
      <alignment horizontal="right" vertical="center"/>
    </xf>
    <xf numFmtId="164" fontId="10" fillId="2" borderId="2" xfId="1" applyNumberFormat="1" applyFont="1" applyFill="1" applyBorder="1" applyAlignment="1">
      <alignment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vertical="center"/>
    </xf>
    <xf numFmtId="164" fontId="10" fillId="8" borderId="2" xfId="1" applyNumberFormat="1" applyFont="1" applyFill="1" applyBorder="1" applyAlignment="1">
      <alignment vertical="center"/>
    </xf>
    <xf numFmtId="0" fontId="10" fillId="6" borderId="0" xfId="0" applyFont="1" applyFill="1" applyAlignment="1">
      <alignment vertical="center"/>
    </xf>
    <xf numFmtId="14" fontId="10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64" fontId="8" fillId="0" borderId="0" xfId="0" applyNumberFormat="1" applyFont="1" applyAlignment="1">
      <alignment vertical="center"/>
    </xf>
    <xf numFmtId="164" fontId="8" fillId="0" borderId="0" xfId="1" applyNumberFormat="1" applyFont="1" applyAlignment="1">
      <alignment vertical="center"/>
    </xf>
    <xf numFmtId="43" fontId="10" fillId="0" borderId="0" xfId="0" applyNumberFormat="1" applyFont="1" applyAlignment="1">
      <alignment vertical="center"/>
    </xf>
    <xf numFmtId="0" fontId="12" fillId="0" borderId="2" xfId="0" applyFont="1" applyFill="1" applyBorder="1" applyAlignment="1">
      <alignment horizontal="center" vertical="top"/>
    </xf>
    <xf numFmtId="164" fontId="10" fillId="45" borderId="2" xfId="1" applyNumberFormat="1" applyFont="1" applyFill="1" applyBorder="1" applyAlignment="1">
      <alignment vertical="center"/>
    </xf>
    <xf numFmtId="164" fontId="10" fillId="9" borderId="2" xfId="1" applyNumberFormat="1" applyFont="1" applyFill="1" applyBorder="1" applyAlignment="1">
      <alignment vertical="center"/>
    </xf>
    <xf numFmtId="168" fontId="45" fillId="0" borderId="24" xfId="0" applyNumberFormat="1" applyFont="1" applyBorder="1" applyAlignment="1">
      <alignment horizontal="right" vertical="center" indent="1"/>
    </xf>
    <xf numFmtId="168" fontId="46" fillId="0" borderId="24" xfId="0" applyNumberFormat="1" applyFont="1" applyBorder="1" applyAlignment="1">
      <alignment horizontal="right" vertical="center" indent="1"/>
    </xf>
    <xf numFmtId="168" fontId="47" fillId="0" borderId="24" xfId="0" applyNumberFormat="1" applyFont="1" applyBorder="1" applyAlignment="1">
      <alignment horizontal="right" vertical="center" indent="1"/>
    </xf>
    <xf numFmtId="168" fontId="48" fillId="0" borderId="25" xfId="0" applyNumberFormat="1" applyFont="1" applyBorder="1" applyAlignment="1">
      <alignment horizontal="right" vertical="center" indent="1"/>
    </xf>
    <xf numFmtId="0" fontId="48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4" fillId="44" borderId="2" xfId="0" applyFont="1" applyFill="1" applyBorder="1" applyAlignment="1">
      <alignment horizontal="center"/>
    </xf>
    <xf numFmtId="0" fontId="4" fillId="44" borderId="2" xfId="0" applyFont="1" applyFill="1" applyBorder="1" applyAlignment="1">
      <alignment horizontal="left" wrapText="1"/>
    </xf>
    <xf numFmtId="0" fontId="50" fillId="0" borderId="24" xfId="0" applyFont="1" applyFill="1" applyBorder="1" applyAlignment="1">
      <alignment horizontal="center" vertical="center"/>
    </xf>
    <xf numFmtId="0" fontId="49" fillId="0" borderId="24" xfId="0" applyFont="1" applyFill="1" applyBorder="1" applyAlignment="1">
      <alignment vertical="center"/>
    </xf>
    <xf numFmtId="0" fontId="50" fillId="0" borderId="25" xfId="0" applyFont="1" applyFill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51" fillId="43" borderId="24" xfId="0" applyFont="1" applyFill="1" applyBorder="1" applyAlignment="1">
      <alignment horizontal="left" vertical="center" indent="1"/>
    </xf>
    <xf numFmtId="0" fontId="48" fillId="0" borderId="24" xfId="0" applyFont="1" applyBorder="1" applyAlignment="1">
      <alignment vertical="center"/>
    </xf>
    <xf numFmtId="0" fontId="51" fillId="43" borderId="25" xfId="0" applyFont="1" applyFill="1" applyBorder="1" applyAlignment="1">
      <alignment horizontal="left" vertical="center" indent="1"/>
    </xf>
    <xf numFmtId="0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top"/>
    </xf>
    <xf numFmtId="0" fontId="4" fillId="0" borderId="2" xfId="0" applyNumberFormat="1" applyFont="1" applyFill="1" applyBorder="1" applyAlignment="1">
      <alignment horizontal="center" vertical="top"/>
    </xf>
    <xf numFmtId="0" fontId="52" fillId="0" borderId="2" xfId="0" applyFont="1" applyBorder="1"/>
    <xf numFmtId="0" fontId="52" fillId="0" borderId="0" xfId="0" applyFont="1"/>
    <xf numFmtId="0" fontId="57" fillId="0" borderId="26" xfId="0" applyFont="1" applyBorder="1" applyAlignment="1">
      <alignment horizontal="right" vertical="center"/>
    </xf>
    <xf numFmtId="0" fontId="57" fillId="48" borderId="26" xfId="0" applyFont="1" applyFill="1" applyBorder="1" applyAlignment="1">
      <alignment horizontal="right" vertical="center"/>
    </xf>
    <xf numFmtId="0" fontId="57" fillId="48" borderId="27" xfId="0" applyFont="1" applyFill="1" applyBorder="1" applyAlignment="1">
      <alignment horizontal="right" vertical="center"/>
    </xf>
    <xf numFmtId="0" fontId="53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54" fillId="47" borderId="34" xfId="0" applyFont="1" applyFill="1" applyBorder="1" applyAlignment="1">
      <alignment horizontal="center" vertical="center"/>
    </xf>
    <xf numFmtId="0" fontId="54" fillId="47" borderId="36" xfId="0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3" fillId="47" borderId="35" xfId="0" applyFont="1" applyFill="1" applyBorder="1" applyAlignment="1">
      <alignment horizontal="center" vertical="center" wrapText="1"/>
    </xf>
    <xf numFmtId="0" fontId="55" fillId="47" borderId="35" xfId="0" applyFont="1" applyFill="1" applyBorder="1" applyAlignment="1">
      <alignment horizontal="center" vertical="center"/>
    </xf>
    <xf numFmtId="168" fontId="56" fillId="0" borderId="28" xfId="0" applyNumberFormat="1" applyFont="1" applyBorder="1" applyAlignment="1">
      <alignment horizontal="right" vertical="center" indent="1"/>
    </xf>
    <xf numFmtId="168" fontId="56" fillId="0" borderId="29" xfId="0" applyNumberFormat="1" applyFont="1" applyBorder="1" applyAlignment="1">
      <alignment horizontal="right" vertical="center" indent="1"/>
    </xf>
    <xf numFmtId="168" fontId="56" fillId="0" borderId="30" xfId="0" applyNumberFormat="1" applyFont="1" applyBorder="1" applyAlignment="1">
      <alignment horizontal="right" vertical="center" indent="1"/>
    </xf>
    <xf numFmtId="168" fontId="37" fillId="0" borderId="26" xfId="0" applyNumberFormat="1" applyFont="1" applyBorder="1" applyAlignment="1">
      <alignment horizontal="right" vertical="center" indent="1"/>
    </xf>
    <xf numFmtId="168" fontId="37" fillId="48" borderId="26" xfId="0" applyNumberFormat="1" applyFont="1" applyFill="1" applyBorder="1" applyAlignment="1">
      <alignment horizontal="right" vertical="center" indent="1"/>
    </xf>
    <xf numFmtId="168" fontId="53" fillId="0" borderId="28" xfId="0" applyNumberFormat="1" applyFont="1" applyBorder="1" applyAlignment="1">
      <alignment horizontal="right" vertical="center" indent="1"/>
    </xf>
    <xf numFmtId="168" fontId="53" fillId="0" borderId="29" xfId="0" applyNumberFormat="1" applyFont="1" applyBorder="1" applyAlignment="1">
      <alignment horizontal="right" vertical="center" indent="1"/>
    </xf>
    <xf numFmtId="168" fontId="53" fillId="0" borderId="30" xfId="0" applyNumberFormat="1" applyFont="1" applyBorder="1" applyAlignment="1">
      <alignment horizontal="right" vertical="center" indent="1"/>
    </xf>
    <xf numFmtId="168" fontId="53" fillId="48" borderId="28" xfId="0" applyNumberFormat="1" applyFont="1" applyFill="1" applyBorder="1" applyAlignment="1">
      <alignment horizontal="right" vertical="center" indent="1"/>
    </xf>
    <xf numFmtId="168" fontId="53" fillId="48" borderId="29" xfId="0" applyNumberFormat="1" applyFont="1" applyFill="1" applyBorder="1" applyAlignment="1">
      <alignment horizontal="right" vertical="center" indent="1"/>
    </xf>
    <xf numFmtId="168" fontId="53" fillId="48" borderId="30" xfId="0" applyNumberFormat="1" applyFont="1" applyFill="1" applyBorder="1" applyAlignment="1">
      <alignment horizontal="right" vertical="center" indent="1"/>
    </xf>
    <xf numFmtId="168" fontId="53" fillId="48" borderId="31" xfId="0" applyNumberFormat="1" applyFont="1" applyFill="1" applyBorder="1" applyAlignment="1">
      <alignment horizontal="right" vertical="center" indent="1"/>
    </xf>
    <xf numFmtId="168" fontId="53" fillId="48" borderId="32" xfId="0" applyNumberFormat="1" applyFont="1" applyFill="1" applyBorder="1" applyAlignment="1">
      <alignment horizontal="right" vertical="center" indent="1"/>
    </xf>
    <xf numFmtId="168" fontId="53" fillId="48" borderId="33" xfId="0" applyNumberFormat="1" applyFont="1" applyFill="1" applyBorder="1" applyAlignment="1">
      <alignment horizontal="right" vertical="center" indent="1"/>
    </xf>
    <xf numFmtId="168" fontId="37" fillId="48" borderId="27" xfId="0" applyNumberFormat="1" applyFont="1" applyFill="1" applyBorder="1" applyAlignment="1">
      <alignment horizontal="right" vertical="center" indent="1"/>
    </xf>
    <xf numFmtId="0" fontId="57" fillId="0" borderId="26" xfId="0" applyFont="1" applyFill="1" applyBorder="1" applyAlignment="1">
      <alignment horizontal="right" vertical="center"/>
    </xf>
    <xf numFmtId="168" fontId="37" fillId="0" borderId="26" xfId="0" applyNumberFormat="1" applyFont="1" applyFill="1" applyBorder="1" applyAlignment="1">
      <alignment horizontal="right" vertical="center" indent="1"/>
    </xf>
    <xf numFmtId="168" fontId="53" fillId="0" borderId="28" xfId="0" applyNumberFormat="1" applyFont="1" applyFill="1" applyBorder="1" applyAlignment="1">
      <alignment horizontal="right" vertical="center" indent="1"/>
    </xf>
    <xf numFmtId="168" fontId="53" fillId="0" borderId="29" xfId="0" applyNumberFormat="1" applyFont="1" applyFill="1" applyBorder="1" applyAlignment="1">
      <alignment horizontal="right" vertical="center" indent="1"/>
    </xf>
    <xf numFmtId="168" fontId="53" fillId="0" borderId="30" xfId="0" applyNumberFormat="1" applyFont="1" applyFill="1" applyBorder="1" applyAlignment="1">
      <alignment horizontal="right" vertical="center" indent="1"/>
    </xf>
    <xf numFmtId="0" fontId="58" fillId="0" borderId="0" xfId="0" applyFont="1" applyFill="1" applyBorder="1" applyAlignment="1">
      <alignment horizontal="left" vertical="center" wrapText="1" indent="1"/>
    </xf>
    <xf numFmtId="0" fontId="64" fillId="0" borderId="0" xfId="0" applyFont="1" applyFill="1" applyAlignment="1">
      <alignment horizontal="left" vertical="center" indent="1"/>
    </xf>
    <xf numFmtId="0" fontId="66" fillId="0" borderId="0" xfId="0" applyFont="1" applyFill="1" applyAlignment="1">
      <alignment horizontal="right" vertical="center" wrapText="1"/>
    </xf>
    <xf numFmtId="0" fontId="66" fillId="43" borderId="39" xfId="0" applyFont="1" applyFill="1" applyBorder="1" applyAlignment="1">
      <alignment horizontal="right" vertical="center" wrapText="1"/>
    </xf>
    <xf numFmtId="0" fontId="61" fillId="49" borderId="26" xfId="0" applyFont="1" applyFill="1" applyBorder="1" applyAlignment="1">
      <alignment horizontal="center" vertical="center"/>
    </xf>
    <xf numFmtId="168" fontId="62" fillId="49" borderId="28" xfId="0" applyNumberFormat="1" applyFont="1" applyFill="1" applyBorder="1" applyAlignment="1">
      <alignment horizontal="right" vertical="center" indent="1"/>
    </xf>
    <xf numFmtId="168" fontId="62" fillId="49" borderId="29" xfId="0" applyNumberFormat="1" applyFont="1" applyFill="1" applyBorder="1" applyAlignment="1">
      <alignment horizontal="right" vertical="center" indent="1"/>
    </xf>
    <xf numFmtId="168" fontId="62" fillId="49" borderId="30" xfId="0" applyNumberFormat="1" applyFont="1" applyFill="1" applyBorder="1" applyAlignment="1">
      <alignment horizontal="right" vertical="center" indent="1"/>
    </xf>
    <xf numFmtId="168" fontId="60" fillId="49" borderId="26" xfId="0" applyNumberFormat="1" applyFont="1" applyFill="1" applyBorder="1" applyAlignment="1">
      <alignment horizontal="right" vertical="center" indent="1"/>
    </xf>
    <xf numFmtId="168" fontId="59" fillId="49" borderId="28" xfId="0" applyNumberFormat="1" applyFont="1" applyFill="1" applyBorder="1" applyAlignment="1">
      <alignment horizontal="right" vertical="center" indent="1"/>
    </xf>
    <xf numFmtId="168" fontId="59" fillId="49" borderId="29" xfId="0" applyNumberFormat="1" applyFont="1" applyFill="1" applyBorder="1" applyAlignment="1">
      <alignment horizontal="right" vertical="center" indent="1"/>
    </xf>
    <xf numFmtId="168" fontId="59" fillId="49" borderId="30" xfId="0" applyNumberFormat="1" applyFont="1" applyFill="1" applyBorder="1" applyAlignment="1">
      <alignment horizontal="right" vertical="center" indent="1"/>
    </xf>
    <xf numFmtId="0" fontId="61" fillId="50" borderId="26" xfId="0" applyFont="1" applyFill="1" applyBorder="1" applyAlignment="1">
      <alignment horizontal="center" vertical="center"/>
    </xf>
    <xf numFmtId="168" fontId="59" fillId="50" borderId="28" xfId="0" applyNumberFormat="1" applyFont="1" applyFill="1" applyBorder="1" applyAlignment="1">
      <alignment horizontal="right" vertical="center" indent="1"/>
    </xf>
    <xf numFmtId="168" fontId="59" fillId="50" borderId="29" xfId="0" applyNumberFormat="1" applyFont="1" applyFill="1" applyBorder="1" applyAlignment="1">
      <alignment horizontal="right" vertical="center" indent="1"/>
    </xf>
    <xf numFmtId="168" fontId="59" fillId="50" borderId="30" xfId="0" applyNumberFormat="1" applyFont="1" applyFill="1" applyBorder="1" applyAlignment="1">
      <alignment horizontal="right" vertical="center" indent="1"/>
    </xf>
    <xf numFmtId="168" fontId="60" fillId="50" borderId="26" xfId="0" applyNumberFormat="1" applyFont="1" applyFill="1" applyBorder="1" applyAlignment="1">
      <alignment horizontal="right" vertical="center" indent="1"/>
    </xf>
    <xf numFmtId="0" fontId="61" fillId="51" borderId="26" xfId="0" applyFont="1" applyFill="1" applyBorder="1" applyAlignment="1">
      <alignment horizontal="center" vertical="center"/>
    </xf>
    <xf numFmtId="168" fontId="59" fillId="51" borderId="28" xfId="0" applyNumberFormat="1" applyFont="1" applyFill="1" applyBorder="1" applyAlignment="1">
      <alignment horizontal="right" vertical="center" indent="1"/>
    </xf>
    <xf numFmtId="168" fontId="59" fillId="51" borderId="29" xfId="0" applyNumberFormat="1" applyFont="1" applyFill="1" applyBorder="1" applyAlignment="1">
      <alignment horizontal="right" vertical="center" indent="1"/>
    </xf>
    <xf numFmtId="168" fontId="59" fillId="51" borderId="30" xfId="0" applyNumberFormat="1" applyFont="1" applyFill="1" applyBorder="1" applyAlignment="1">
      <alignment horizontal="right" vertical="center" indent="1"/>
    </xf>
    <xf numFmtId="168" fontId="60" fillId="51" borderId="26" xfId="0" applyNumberFormat="1" applyFont="1" applyFill="1" applyBorder="1" applyAlignment="1">
      <alignment horizontal="right" vertical="center" indent="1"/>
    </xf>
    <xf numFmtId="0" fontId="61" fillId="52" borderId="26" xfId="0" applyFont="1" applyFill="1" applyBorder="1" applyAlignment="1">
      <alignment horizontal="center" vertical="center"/>
    </xf>
    <xf numFmtId="168" fontId="62" fillId="52" borderId="28" xfId="0" applyNumberFormat="1" applyFont="1" applyFill="1" applyBorder="1" applyAlignment="1">
      <alignment horizontal="right" vertical="center" indent="1"/>
    </xf>
    <xf numFmtId="168" fontId="62" fillId="52" borderId="29" xfId="0" applyNumberFormat="1" applyFont="1" applyFill="1" applyBorder="1" applyAlignment="1">
      <alignment horizontal="right" vertical="center" indent="1"/>
    </xf>
    <xf numFmtId="168" fontId="62" fillId="52" borderId="30" xfId="0" applyNumberFormat="1" applyFont="1" applyFill="1" applyBorder="1" applyAlignment="1">
      <alignment horizontal="right" vertical="center" indent="1"/>
    </xf>
    <xf numFmtId="168" fontId="60" fillId="52" borderId="26" xfId="0" applyNumberFormat="1" applyFont="1" applyFill="1" applyBorder="1" applyAlignment="1">
      <alignment horizontal="right" vertical="center" indent="1"/>
    </xf>
    <xf numFmtId="168" fontId="56" fillId="48" borderId="31" xfId="0" applyNumberFormat="1" applyFont="1" applyFill="1" applyBorder="1" applyAlignment="1">
      <alignment horizontal="right" vertical="center" indent="1"/>
    </xf>
    <xf numFmtId="168" fontId="56" fillId="48" borderId="32" xfId="0" applyNumberFormat="1" applyFont="1" applyFill="1" applyBorder="1" applyAlignment="1">
      <alignment horizontal="right" vertical="center" indent="1"/>
    </xf>
    <xf numFmtId="168" fontId="56" fillId="48" borderId="33" xfId="0" applyNumberFormat="1" applyFont="1" applyFill="1" applyBorder="1" applyAlignment="1">
      <alignment horizontal="right" vertical="center" indent="1"/>
    </xf>
    <xf numFmtId="0" fontId="57" fillId="0" borderId="40" xfId="0" applyFont="1" applyFill="1" applyBorder="1" applyAlignment="1">
      <alignment horizontal="right" vertical="center"/>
    </xf>
    <xf numFmtId="168" fontId="56" fillId="0" borderId="40" xfId="0" applyNumberFormat="1" applyFont="1" applyFill="1" applyBorder="1" applyAlignment="1">
      <alignment horizontal="right" vertical="center" indent="1"/>
    </xf>
    <xf numFmtId="168" fontId="37" fillId="0" borderId="40" xfId="0" applyNumberFormat="1" applyFont="1" applyFill="1" applyBorder="1" applyAlignment="1">
      <alignment horizontal="right" vertical="center" indent="1"/>
    </xf>
    <xf numFmtId="168" fontId="53" fillId="0" borderId="26" xfId="0" applyNumberFormat="1" applyFont="1" applyFill="1" applyBorder="1" applyAlignment="1">
      <alignment horizontal="right" vertical="center" indent="1"/>
    </xf>
    <xf numFmtId="0" fontId="53" fillId="0" borderId="0" xfId="0" applyFont="1" applyFill="1" applyAlignment="1">
      <alignment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vertical="center"/>
    </xf>
    <xf numFmtId="164" fontId="13" fillId="0" borderId="2" xfId="1" applyNumberFormat="1" applyFont="1" applyFill="1" applyBorder="1" applyAlignment="1">
      <alignment vertical="center"/>
    </xf>
    <xf numFmtId="164" fontId="13" fillId="0" borderId="2" xfId="0" applyNumberFormat="1" applyFont="1" applyFill="1" applyBorder="1" applyAlignment="1">
      <alignment vertical="center"/>
    </xf>
    <xf numFmtId="165" fontId="13" fillId="0" borderId="2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64" fontId="10" fillId="0" borderId="0" xfId="0" applyNumberFormat="1" applyFont="1" applyFill="1" applyAlignment="1">
      <alignment vertical="center"/>
    </xf>
    <xf numFmtId="0" fontId="75" fillId="0" borderId="0" xfId="0" applyFont="1" applyAlignment="1">
      <alignment vertical="center"/>
    </xf>
    <xf numFmtId="0" fontId="10" fillId="44" borderId="2" xfId="0" applyFont="1" applyFill="1" applyBorder="1" applyAlignment="1">
      <alignment vertical="center"/>
    </xf>
    <xf numFmtId="164" fontId="74" fillId="0" borderId="2" xfId="1" applyNumberFormat="1" applyFont="1" applyFill="1" applyBorder="1" applyAlignment="1">
      <alignment vertical="center"/>
    </xf>
    <xf numFmtId="0" fontId="10" fillId="3" borderId="2" xfId="0" applyFont="1" applyFill="1" applyBorder="1" applyAlignment="1">
      <alignment vertical="center"/>
    </xf>
    <xf numFmtId="41" fontId="42" fillId="0" borderId="0" xfId="0" applyNumberFormat="1" applyFont="1"/>
    <xf numFmtId="0" fontId="74" fillId="0" borderId="2" xfId="0" applyFont="1" applyBorder="1" applyAlignment="1">
      <alignment horizontal="center" vertical="center"/>
    </xf>
    <xf numFmtId="0" fontId="74" fillId="0" borderId="2" xfId="0" applyFont="1" applyBorder="1" applyAlignment="1">
      <alignment vertical="center"/>
    </xf>
    <xf numFmtId="164" fontId="74" fillId="0" borderId="2" xfId="1" applyNumberFormat="1" applyFont="1" applyBorder="1" applyAlignment="1">
      <alignment vertical="center"/>
    </xf>
    <xf numFmtId="164" fontId="77" fillId="0" borderId="2" xfId="1" applyNumberFormat="1" applyFont="1" applyFill="1" applyBorder="1" applyAlignment="1">
      <alignment vertical="center"/>
    </xf>
    <xf numFmtId="164" fontId="10" fillId="46" borderId="2" xfId="1" applyNumberFormat="1" applyFont="1" applyFill="1" applyBorder="1" applyAlignment="1">
      <alignment vertical="center"/>
    </xf>
    <xf numFmtId="11" fontId="10" fillId="0" borderId="2" xfId="0" applyNumberFormat="1" applyFont="1" applyBorder="1" applyAlignment="1">
      <alignment horizontal="center" vertical="center"/>
    </xf>
    <xf numFmtId="165" fontId="9" fillId="5" borderId="0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/>
    <xf numFmtId="168" fontId="15" fillId="0" borderId="0" xfId="1" applyNumberFormat="1" applyFont="1"/>
    <xf numFmtId="165" fontId="10" fillId="44" borderId="2" xfId="0" applyNumberFormat="1" applyFont="1" applyFill="1" applyBorder="1" applyAlignment="1">
      <alignment horizontal="center" vertical="center"/>
    </xf>
    <xf numFmtId="16" fontId="10" fillId="0" borderId="2" xfId="0" applyNumberFormat="1" applyFont="1" applyBorder="1" applyAlignment="1">
      <alignment horizontal="left" vertical="center"/>
    </xf>
    <xf numFmtId="164" fontId="10" fillId="43" borderId="2" xfId="1" applyNumberFormat="1" applyFont="1" applyFill="1" applyBorder="1" applyAlignment="1">
      <alignment vertical="center"/>
    </xf>
    <xf numFmtId="0" fontId="30" fillId="0" borderId="2" xfId="0" applyFont="1" applyBorder="1" applyAlignment="1">
      <alignment horizontal="center"/>
    </xf>
    <xf numFmtId="0" fontId="30" fillId="0" borderId="2" xfId="0" applyFont="1" applyFill="1" applyBorder="1" applyAlignment="1">
      <alignment horizontal="center"/>
    </xf>
    <xf numFmtId="0" fontId="30" fillId="0" borderId="2" xfId="0" applyNumberFormat="1" applyFont="1" applyFill="1" applyBorder="1" applyAlignment="1">
      <alignment horizontal="center"/>
    </xf>
    <xf numFmtId="0" fontId="30" fillId="0" borderId="2" xfId="0" applyFont="1" applyBorder="1" applyAlignment="1">
      <alignment horizontal="center" wrapText="1"/>
    </xf>
    <xf numFmtId="0" fontId="30" fillId="9" borderId="0" xfId="0" applyFont="1" applyFill="1"/>
    <xf numFmtId="164" fontId="30" fillId="0" borderId="2" xfId="1" applyNumberFormat="1" applyFont="1" applyFill="1" applyBorder="1"/>
    <xf numFmtId="0" fontId="30" fillId="0" borderId="0" xfId="0" applyFont="1"/>
    <xf numFmtId="164" fontId="30" fillId="0" borderId="2" xfId="1" applyNumberFormat="1" applyFont="1" applyBorder="1"/>
    <xf numFmtId="167" fontId="30" fillId="0" borderId="2" xfId="0" applyNumberFormat="1" applyFont="1" applyBorder="1" applyAlignment="1">
      <alignment horizontal="center"/>
    </xf>
    <xf numFmtId="164" fontId="30" fillId="0" borderId="2" xfId="1" applyNumberFormat="1" applyFont="1" applyBorder="1" applyAlignment="1">
      <alignment horizontal="center"/>
    </xf>
    <xf numFmtId="164" fontId="10" fillId="7" borderId="2" xfId="1" applyNumberFormat="1" applyFont="1" applyFill="1" applyBorder="1" applyAlignment="1">
      <alignment vertical="center"/>
    </xf>
    <xf numFmtId="0" fontId="76" fillId="0" borderId="2" xfId="0" applyFont="1" applyBorder="1"/>
    <xf numFmtId="0" fontId="76" fillId="0" borderId="2" xfId="0" applyFont="1" applyBorder="1" applyAlignment="1">
      <alignment horizontal="center"/>
    </xf>
    <xf numFmtId="0" fontId="76" fillId="0" borderId="2" xfId="0" applyFont="1" applyFill="1" applyBorder="1" applyAlignment="1">
      <alignment horizontal="center"/>
    </xf>
    <xf numFmtId="0" fontId="76" fillId="0" borderId="2" xfId="0" applyNumberFormat="1" applyFont="1" applyFill="1" applyBorder="1" applyAlignment="1">
      <alignment horizontal="center"/>
    </xf>
    <xf numFmtId="0" fontId="76" fillId="0" borderId="2" xfId="0" applyFont="1" applyBorder="1" applyAlignment="1">
      <alignment horizontal="center" wrapText="1"/>
    </xf>
    <xf numFmtId="0" fontId="79" fillId="0" borderId="2" xfId="0" applyFont="1" applyBorder="1" applyAlignment="1">
      <alignment horizontal="center"/>
    </xf>
    <xf numFmtId="0" fontId="76" fillId="0" borderId="2" xfId="0" applyFont="1" applyBorder="1" applyAlignment="1">
      <alignment horizontal="left" wrapText="1"/>
    </xf>
    <xf numFmtId="0" fontId="76" fillId="0" borderId="0" xfId="0" applyFont="1"/>
    <xf numFmtId="164" fontId="76" fillId="0" borderId="2" xfId="1" applyNumberFormat="1" applyFont="1" applyFill="1" applyBorder="1"/>
    <xf numFmtId="164" fontId="76" fillId="0" borderId="2" xfId="1" applyNumberFormat="1" applyFont="1" applyBorder="1"/>
    <xf numFmtId="167" fontId="76" fillId="0" borderId="2" xfId="0" applyNumberFormat="1" applyFont="1" applyBorder="1" applyAlignment="1">
      <alignment horizontal="center"/>
    </xf>
    <xf numFmtId="164" fontId="76" fillId="0" borderId="2" xfId="1" applyNumberFormat="1" applyFont="1" applyBorder="1" applyAlignment="1">
      <alignment horizontal="center"/>
    </xf>
    <xf numFmtId="165" fontId="74" fillId="0" borderId="2" xfId="0" applyNumberFormat="1" applyFont="1" applyBorder="1" applyAlignment="1">
      <alignment horizontal="center" vertical="center"/>
    </xf>
    <xf numFmtId="164" fontId="4" fillId="41" borderId="41" xfId="1" applyNumberFormat="1" applyFont="1" applyFill="1" applyBorder="1"/>
    <xf numFmtId="0" fontId="4" fillId="9" borderId="2" xfId="0" applyFont="1" applyFill="1" applyBorder="1" applyAlignment="1">
      <alignment horizontal="left" wrapText="1"/>
    </xf>
    <xf numFmtId="0" fontId="30" fillId="9" borderId="2" xfId="0" applyFont="1" applyFill="1" applyBorder="1" applyAlignment="1">
      <alignment horizontal="left" wrapText="1"/>
    </xf>
    <xf numFmtId="0" fontId="12" fillId="44" borderId="2" xfId="0" applyFont="1" applyFill="1" applyBorder="1" applyAlignment="1">
      <alignment horizontal="center"/>
    </xf>
    <xf numFmtId="0" fontId="78" fillId="44" borderId="2" xfId="0" applyFont="1" applyFill="1" applyBorder="1" applyAlignment="1">
      <alignment horizontal="center"/>
    </xf>
    <xf numFmtId="0" fontId="30" fillId="44" borderId="2" xfId="0" applyFont="1" applyFill="1" applyBorder="1" applyAlignment="1">
      <alignment horizontal="left" wrapText="1"/>
    </xf>
    <xf numFmtId="0" fontId="4" fillId="9" borderId="2" xfId="0" applyFont="1" applyFill="1" applyBorder="1" applyAlignment="1">
      <alignment horizontal="center"/>
    </xf>
    <xf numFmtId="0" fontId="30" fillId="9" borderId="2" xfId="0" applyFont="1" applyFill="1" applyBorder="1" applyAlignment="1">
      <alignment horizontal="center"/>
    </xf>
    <xf numFmtId="0" fontId="74" fillId="7" borderId="0" xfId="0" applyFont="1" applyFill="1" applyAlignment="1">
      <alignment vertical="center"/>
    </xf>
    <xf numFmtId="0" fontId="80" fillId="0" borderId="0" xfId="0" applyFont="1"/>
    <xf numFmtId="0" fontId="74" fillId="0" borderId="0" xfId="0" applyFont="1" applyFill="1" applyAlignment="1">
      <alignment vertical="center"/>
    </xf>
    <xf numFmtId="164" fontId="74" fillId="4" borderId="2" xfId="0" applyNumberFormat="1" applyFont="1" applyFill="1" applyBorder="1" applyAlignment="1">
      <alignment vertical="center"/>
    </xf>
    <xf numFmtId="0" fontId="74" fillId="0" borderId="2" xfId="0" applyFont="1" applyBorder="1" applyAlignment="1">
      <alignment horizontal="left" vertical="center"/>
    </xf>
    <xf numFmtId="0" fontId="74" fillId="0" borderId="0" xfId="0" applyFont="1" applyAlignment="1">
      <alignment horizontal="center" vertical="center"/>
    </xf>
    <xf numFmtId="165" fontId="82" fillId="0" borderId="42" xfId="0" applyNumberFormat="1" applyFont="1" applyFill="1" applyBorder="1" applyAlignment="1">
      <alignment horizontal="left" vertical="center" indent="1"/>
    </xf>
    <xf numFmtId="164" fontId="10" fillId="53" borderId="2" xfId="1" applyNumberFormat="1" applyFont="1" applyFill="1" applyBorder="1" applyAlignment="1">
      <alignment vertical="center"/>
    </xf>
    <xf numFmtId="164" fontId="74" fillId="53" borderId="2" xfId="1" applyNumberFormat="1" applyFont="1" applyFill="1" applyBorder="1" applyAlignment="1">
      <alignment vertical="center"/>
    </xf>
    <xf numFmtId="164" fontId="2" fillId="0" borderId="2" xfId="1" applyNumberFormat="1" applyFont="1" applyFill="1" applyBorder="1" applyAlignment="1">
      <alignment vertical="center"/>
    </xf>
    <xf numFmtId="164" fontId="2" fillId="53" borderId="2" xfId="1" applyNumberFormat="1" applyFont="1" applyFill="1" applyBorder="1" applyAlignment="1">
      <alignment vertical="center"/>
    </xf>
    <xf numFmtId="0" fontId="74" fillId="0" borderId="2" xfId="0" applyFont="1" applyFill="1" applyBorder="1" applyAlignment="1">
      <alignment vertical="center"/>
    </xf>
    <xf numFmtId="164" fontId="74" fillId="7" borderId="2" xfId="1" applyNumberFormat="1" applyFont="1" applyFill="1" applyBorder="1" applyAlignment="1">
      <alignment vertical="center"/>
    </xf>
    <xf numFmtId="164" fontId="74" fillId="2" borderId="2" xfId="1" applyNumberFormat="1" applyFont="1" applyFill="1" applyBorder="1" applyAlignment="1">
      <alignment vertical="center"/>
    </xf>
    <xf numFmtId="164" fontId="74" fillId="45" borderId="2" xfId="1" applyNumberFormat="1" applyFont="1" applyFill="1" applyBorder="1" applyAlignment="1">
      <alignment vertical="center"/>
    </xf>
    <xf numFmtId="0" fontId="82" fillId="48" borderId="42" xfId="0" applyFont="1" applyFill="1" applyBorder="1" applyAlignment="1">
      <alignment horizontal="center" vertical="center"/>
    </xf>
    <xf numFmtId="0" fontId="82" fillId="0" borderId="42" xfId="0" applyFont="1" applyBorder="1" applyAlignment="1">
      <alignment horizontal="center" vertical="center"/>
    </xf>
    <xf numFmtId="0" fontId="82" fillId="48" borderId="42" xfId="0" applyFont="1" applyFill="1" applyBorder="1" applyAlignment="1">
      <alignment horizontal="left" vertical="center" indent="1"/>
    </xf>
    <xf numFmtId="164" fontId="82" fillId="0" borderId="42" xfId="1" applyNumberFormat="1" applyFont="1" applyFill="1" applyBorder="1" applyAlignment="1">
      <alignment horizontal="right" vertical="center"/>
    </xf>
    <xf numFmtId="164" fontId="82" fillId="48" borderId="42" xfId="1" applyNumberFormat="1" applyFont="1" applyFill="1" applyBorder="1" applyAlignment="1">
      <alignment horizontal="right" vertical="center"/>
    </xf>
    <xf numFmtId="165" fontId="82" fillId="48" borderId="42" xfId="0" applyNumberFormat="1" applyFont="1" applyFill="1" applyBorder="1" applyAlignment="1">
      <alignment horizontal="left" vertical="center" indent="1"/>
    </xf>
    <xf numFmtId="0" fontId="84" fillId="42" borderId="42" xfId="0" applyFont="1" applyFill="1" applyBorder="1" applyAlignment="1">
      <alignment horizontal="center" vertical="center"/>
    </xf>
    <xf numFmtId="164" fontId="84" fillId="42" borderId="42" xfId="1" applyNumberFormat="1" applyFont="1" applyFill="1" applyBorder="1" applyAlignment="1">
      <alignment horizontal="center" vertical="center" wrapText="1"/>
    </xf>
    <xf numFmtId="0" fontId="84" fillId="42" borderId="42" xfId="0" applyFont="1" applyFill="1" applyBorder="1" applyAlignment="1">
      <alignment horizontal="center" vertical="center" wrapText="1"/>
    </xf>
    <xf numFmtId="165" fontId="84" fillId="42" borderId="42" xfId="0" applyNumberFormat="1" applyFont="1" applyFill="1" applyBorder="1" applyAlignment="1">
      <alignment horizontal="center" vertical="center" wrapText="1"/>
    </xf>
    <xf numFmtId="0" fontId="83" fillId="48" borderId="42" xfId="0" applyFont="1" applyFill="1" applyBorder="1" applyAlignment="1">
      <alignment vertical="center"/>
    </xf>
    <xf numFmtId="0" fontId="10" fillId="45" borderId="0" xfId="0" applyFont="1" applyFill="1" applyAlignment="1">
      <alignment vertical="center"/>
    </xf>
    <xf numFmtId="164" fontId="10" fillId="0" borderId="0" xfId="1" applyNumberFormat="1" applyFont="1" applyFill="1" applyBorder="1" applyAlignment="1">
      <alignment vertical="center"/>
    </xf>
    <xf numFmtId="49" fontId="10" fillId="0" borderId="2" xfId="0" applyNumberFormat="1" applyFont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74" fillId="0" borderId="2" xfId="0" applyNumberFormat="1" applyFont="1" applyBorder="1" applyAlignment="1">
      <alignment horizontal="center" vertical="center"/>
    </xf>
    <xf numFmtId="49" fontId="10" fillId="8" borderId="2" xfId="0" applyNumberFormat="1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74" fillId="0" borderId="0" xfId="0" applyNumberFormat="1" applyFont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74" fillId="0" borderId="0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0" fillId="54" borderId="0" xfId="0" applyFill="1"/>
    <xf numFmtId="0" fontId="9" fillId="5" borderId="0" xfId="0" applyFont="1" applyFill="1" applyBorder="1" applyAlignment="1">
      <alignment horizontal="center" vertical="center" wrapText="1"/>
    </xf>
    <xf numFmtId="43" fontId="10" fillId="0" borderId="0" xfId="1" applyNumberFormat="1" applyFont="1" applyFill="1" applyBorder="1" applyAlignment="1">
      <alignment vertical="center"/>
    </xf>
    <xf numFmtId="168" fontId="37" fillId="2" borderId="24" xfId="0" applyNumberFormat="1" applyFont="1" applyFill="1" applyBorder="1" applyAlignment="1">
      <alignment horizontal="right" vertical="center" indent="1"/>
    </xf>
    <xf numFmtId="168" fontId="37" fillId="55" borderId="24" xfId="0" applyNumberFormat="1" applyFont="1" applyFill="1" applyBorder="1" applyAlignment="1">
      <alignment horizontal="right" vertical="center" indent="1"/>
    </xf>
    <xf numFmtId="168" fontId="0" fillId="55" borderId="24" xfId="0" applyNumberFormat="1" applyFill="1" applyBorder="1" applyAlignment="1">
      <alignment horizontal="right" vertical="center" indent="1"/>
    </xf>
    <xf numFmtId="164" fontId="10" fillId="8" borderId="2" xfId="1" applyNumberFormat="1" applyFont="1" applyFill="1" applyBorder="1" applyAlignment="1">
      <alignment horizontal="right" vertical="center"/>
    </xf>
    <xf numFmtId="0" fontId="85" fillId="43" borderId="23" xfId="0" applyFont="1" applyFill="1" applyBorder="1" applyAlignment="1">
      <alignment horizontal="center" vertical="center"/>
    </xf>
    <xf numFmtId="43" fontId="82" fillId="48" borderId="42" xfId="0" applyNumberFormat="1" applyFont="1" applyFill="1" applyBorder="1" applyAlignment="1">
      <alignment horizontal="left" vertical="center" indent="1"/>
    </xf>
    <xf numFmtId="164" fontId="86" fillId="0" borderId="42" xfId="1" applyNumberFormat="1" applyFont="1" applyFill="1" applyBorder="1" applyAlignment="1">
      <alignment horizontal="right" vertical="center"/>
    </xf>
    <xf numFmtId="164" fontId="87" fillId="48" borderId="42" xfId="1" applyNumberFormat="1" applyFont="1" applyFill="1" applyBorder="1" applyAlignment="1">
      <alignment horizontal="right" vertical="center"/>
    </xf>
    <xf numFmtId="164" fontId="87" fillId="0" borderId="42" xfId="1" applyNumberFormat="1" applyFont="1" applyFill="1" applyBorder="1" applyAlignment="1">
      <alignment horizontal="right" vertical="center"/>
    </xf>
    <xf numFmtId="164" fontId="74" fillId="46" borderId="2" xfId="1" applyNumberFormat="1" applyFont="1" applyFill="1" applyBorder="1" applyAlignment="1">
      <alignment vertical="center"/>
    </xf>
    <xf numFmtId="0" fontId="88" fillId="43" borderId="42" xfId="0" applyNumberFormat="1" applyFont="1" applyFill="1" applyBorder="1" applyAlignment="1">
      <alignment horizontal="right" vertical="center" indent="1"/>
    </xf>
    <xf numFmtId="0" fontId="83" fillId="0" borderId="42" xfId="0" applyFont="1" applyFill="1" applyBorder="1" applyAlignment="1">
      <alignment vertical="center"/>
    </xf>
    <xf numFmtId="0" fontId="82" fillId="0" borderId="42" xfId="0" applyFont="1" applyBorder="1" applyAlignment="1">
      <alignment horizontal="left" vertical="center" indent="1"/>
    </xf>
    <xf numFmtId="0" fontId="0" fillId="0" borderId="0" xfId="0" applyFont="1"/>
    <xf numFmtId="0" fontId="90" fillId="0" borderId="42" xfId="0" applyFont="1" applyBorder="1" applyAlignment="1">
      <alignment horizontal="left" vertical="center" indent="1"/>
    </xf>
    <xf numFmtId="0" fontId="90" fillId="0" borderId="42" xfId="0" applyFont="1" applyBorder="1" applyAlignment="1">
      <alignment horizontal="center" vertical="center"/>
    </xf>
    <xf numFmtId="164" fontId="90" fillId="0" borderId="42" xfId="1" applyNumberFormat="1" applyFont="1" applyFill="1" applyBorder="1" applyAlignment="1">
      <alignment horizontal="right" vertical="center"/>
    </xf>
    <xf numFmtId="165" fontId="90" fillId="0" borderId="42" xfId="0" applyNumberFormat="1" applyFont="1" applyFill="1" applyBorder="1" applyAlignment="1">
      <alignment horizontal="left" vertical="center" indent="1"/>
    </xf>
    <xf numFmtId="0" fontId="4" fillId="0" borderId="42" xfId="0" applyFont="1" applyFill="1" applyBorder="1" applyAlignment="1">
      <alignment vertical="center"/>
    </xf>
    <xf numFmtId="0" fontId="90" fillId="43" borderId="42" xfId="0" applyFont="1" applyFill="1" applyBorder="1" applyAlignment="1">
      <alignment horizontal="center" vertical="center"/>
    </xf>
    <xf numFmtId="0" fontId="90" fillId="43" borderId="42" xfId="0" applyFont="1" applyFill="1" applyBorder="1" applyAlignment="1">
      <alignment horizontal="left" vertical="center" indent="1"/>
    </xf>
    <xf numFmtId="164" fontId="90" fillId="43" borderId="42" xfId="1" applyNumberFormat="1" applyFont="1" applyFill="1" applyBorder="1" applyAlignment="1">
      <alignment horizontal="right" vertical="center"/>
    </xf>
    <xf numFmtId="165" fontId="90" fillId="43" borderId="42" xfId="0" applyNumberFormat="1" applyFont="1" applyFill="1" applyBorder="1" applyAlignment="1">
      <alignment horizontal="left" vertical="center" indent="1"/>
    </xf>
    <xf numFmtId="0" fontId="89" fillId="56" borderId="42" xfId="0" applyFont="1" applyFill="1" applyBorder="1" applyAlignment="1">
      <alignment horizontal="center" vertical="center"/>
    </xf>
    <xf numFmtId="0" fontId="89" fillId="56" borderId="42" xfId="0" applyFont="1" applyFill="1" applyBorder="1" applyAlignment="1">
      <alignment horizontal="center" vertical="center" wrapText="1"/>
    </xf>
    <xf numFmtId="165" fontId="89" fillId="56" borderId="42" xfId="0" applyNumberFormat="1" applyFont="1" applyFill="1" applyBorder="1" applyAlignment="1">
      <alignment horizontal="center" vertical="center" wrapText="1"/>
    </xf>
    <xf numFmtId="0" fontId="82" fillId="43" borderId="42" xfId="0" applyFont="1" applyFill="1" applyBorder="1" applyAlignment="1">
      <alignment horizontal="center" vertical="center"/>
    </xf>
    <xf numFmtId="164" fontId="82" fillId="43" borderId="42" xfId="1" applyNumberFormat="1" applyFont="1" applyFill="1" applyBorder="1" applyAlignment="1">
      <alignment horizontal="right" vertical="center"/>
    </xf>
    <xf numFmtId="0" fontId="82" fillId="43" borderId="42" xfId="0" applyFont="1" applyFill="1" applyBorder="1" applyAlignment="1">
      <alignment horizontal="left" vertical="center" indent="1"/>
    </xf>
    <xf numFmtId="165" fontId="82" fillId="43" borderId="42" xfId="0" applyNumberFormat="1" applyFont="1" applyFill="1" applyBorder="1" applyAlignment="1">
      <alignment horizontal="left" vertical="center" indent="1"/>
    </xf>
    <xf numFmtId="0" fontId="82" fillId="43" borderId="42" xfId="0" applyFont="1" applyFill="1" applyBorder="1" applyAlignment="1">
      <alignment horizontal="left" vertical="center" indent="1" shrinkToFit="1"/>
    </xf>
    <xf numFmtId="164" fontId="83" fillId="0" borderId="42" xfId="1" applyNumberFormat="1" applyFont="1" applyFill="1" applyBorder="1" applyAlignment="1">
      <alignment horizontal="right" vertical="center"/>
    </xf>
    <xf numFmtId="164" fontId="83" fillId="43" borderId="42" xfId="1" applyNumberFormat="1" applyFont="1" applyFill="1" applyBorder="1" applyAlignment="1">
      <alignment horizontal="right" vertical="center"/>
    </xf>
    <xf numFmtId="164" fontId="91" fillId="0" borderId="42" xfId="1" applyNumberFormat="1" applyFont="1" applyFill="1" applyBorder="1" applyAlignment="1">
      <alignment horizontal="right" vertical="center"/>
    </xf>
    <xf numFmtId="164" fontId="74" fillId="43" borderId="2" xfId="1" applyNumberFormat="1" applyFont="1" applyFill="1" applyBorder="1" applyAlignment="1">
      <alignment vertical="center"/>
    </xf>
    <xf numFmtId="164" fontId="89" fillId="56" borderId="42" xfId="1" applyNumberFormat="1" applyFont="1" applyFill="1" applyBorder="1" applyAlignment="1">
      <alignment horizontal="center" vertical="center"/>
    </xf>
    <xf numFmtId="164" fontId="10" fillId="54" borderId="2" xfId="1" applyNumberFormat="1" applyFont="1" applyFill="1" applyBorder="1" applyAlignment="1">
      <alignment vertical="center"/>
    </xf>
    <xf numFmtId="0" fontId="74" fillId="0" borderId="2" xfId="0" applyFont="1" applyFill="1" applyBorder="1" applyAlignment="1">
      <alignment horizontal="center" vertical="center"/>
    </xf>
    <xf numFmtId="0" fontId="74" fillId="3" borderId="2" xfId="0" applyFont="1" applyFill="1" applyBorder="1" applyAlignment="1">
      <alignment vertical="center"/>
    </xf>
    <xf numFmtId="0" fontId="74" fillId="44" borderId="2" xfId="0" applyFont="1" applyFill="1" applyBorder="1" applyAlignment="1">
      <alignment vertical="center"/>
    </xf>
    <xf numFmtId="0" fontId="92" fillId="7" borderId="0" xfId="0" applyFont="1" applyFill="1" applyAlignment="1">
      <alignment horizontal="center" vertical="center"/>
    </xf>
    <xf numFmtId="0" fontId="93" fillId="0" borderId="0" xfId="0" applyFont="1"/>
    <xf numFmtId="0" fontId="94" fillId="0" borderId="0" xfId="0" applyFont="1"/>
    <xf numFmtId="0" fontId="10" fillId="2" borderId="2" xfId="0" applyFont="1" applyFill="1" applyBorder="1" applyAlignment="1">
      <alignment vertical="center"/>
    </xf>
    <xf numFmtId="164" fontId="2" fillId="7" borderId="2" xfId="1" applyNumberFormat="1" applyFont="1" applyFill="1" applyBorder="1" applyAlignment="1">
      <alignment vertical="center"/>
    </xf>
    <xf numFmtId="164" fontId="10" fillId="57" borderId="2" xfId="1" applyNumberFormat="1" applyFont="1" applyFill="1" applyBorder="1" applyAlignment="1">
      <alignment vertical="center"/>
    </xf>
    <xf numFmtId="164" fontId="77" fillId="46" borderId="2" xfId="1" applyNumberFormat="1" applyFont="1" applyFill="1" applyBorder="1" applyAlignment="1">
      <alignment vertical="center"/>
    </xf>
    <xf numFmtId="0" fontId="95" fillId="48" borderId="42" xfId="0" applyFont="1" applyFill="1" applyBorder="1" applyAlignment="1">
      <alignment horizontal="center" vertical="center"/>
    </xf>
    <xf numFmtId="0" fontId="95" fillId="0" borderId="42" xfId="0" applyFont="1" applyBorder="1" applyAlignment="1">
      <alignment horizontal="center" vertical="center"/>
    </xf>
    <xf numFmtId="0" fontId="95" fillId="48" borderId="42" xfId="0" applyFont="1" applyFill="1" applyBorder="1" applyAlignment="1">
      <alignment horizontal="left" vertical="center" indent="1"/>
    </xf>
    <xf numFmtId="164" fontId="95" fillId="0" borderId="42" xfId="1" applyNumberFormat="1" applyFont="1" applyFill="1" applyBorder="1" applyAlignment="1">
      <alignment horizontal="right" vertical="center"/>
    </xf>
    <xf numFmtId="164" fontId="95" fillId="48" borderId="42" xfId="1" applyNumberFormat="1" applyFont="1" applyFill="1" applyBorder="1" applyAlignment="1">
      <alignment horizontal="right" vertical="center"/>
    </xf>
    <xf numFmtId="165" fontId="95" fillId="0" borderId="42" xfId="0" applyNumberFormat="1" applyFont="1" applyFill="1" applyBorder="1" applyAlignment="1">
      <alignment horizontal="left" vertical="center" indent="1"/>
    </xf>
    <xf numFmtId="165" fontId="95" fillId="48" borderId="42" xfId="0" applyNumberFormat="1" applyFont="1" applyFill="1" applyBorder="1" applyAlignment="1">
      <alignment horizontal="left" vertical="center" indent="1"/>
    </xf>
    <xf numFmtId="168" fontId="53" fillId="0" borderId="0" xfId="0" applyNumberFormat="1" applyFont="1" applyAlignment="1">
      <alignment horizontal="right" vertical="center"/>
    </xf>
    <xf numFmtId="168" fontId="39" fillId="0" borderId="0" xfId="0" applyNumberFormat="1" applyFont="1" applyAlignment="1">
      <alignment horizontal="right" vertical="center"/>
    </xf>
    <xf numFmtId="0" fontId="48" fillId="0" borderId="0" xfId="0" pivotButton="1" applyFont="1" applyAlignment="1">
      <alignment vertical="center"/>
    </xf>
    <xf numFmtId="0" fontId="48" fillId="0" borderId="0" xfId="0" applyFont="1" applyAlignment="1">
      <alignment horizontal="left" vertical="center"/>
    </xf>
    <xf numFmtId="0" fontId="96" fillId="0" borderId="0" xfId="0" applyFont="1" applyAlignment="1">
      <alignment horizontal="center" vertical="center"/>
    </xf>
    <xf numFmtId="0" fontId="10" fillId="0" borderId="2" xfId="1" applyNumberFormat="1" applyFont="1" applyBorder="1" applyAlignment="1">
      <alignment horizontal="center" vertical="center"/>
    </xf>
    <xf numFmtId="165" fontId="9" fillId="5" borderId="18" xfId="0" applyNumberFormat="1" applyFont="1" applyFill="1" applyBorder="1" applyAlignment="1">
      <alignment horizontal="center" vertical="center" wrapText="1"/>
    </xf>
    <xf numFmtId="165" fontId="9" fillId="5" borderId="20" xfId="0" applyNumberFormat="1" applyFont="1" applyFill="1" applyBorder="1" applyAlignment="1">
      <alignment horizontal="center" vertical="center" wrapText="1"/>
    </xf>
    <xf numFmtId="165" fontId="9" fillId="5" borderId="21" xfId="0" applyNumberFormat="1" applyFont="1" applyFill="1" applyBorder="1" applyAlignment="1">
      <alignment horizontal="center" vertical="center" wrapText="1"/>
    </xf>
    <xf numFmtId="165" fontId="9" fillId="5" borderId="22" xfId="0" applyNumberFormat="1" applyFont="1" applyFill="1" applyBorder="1" applyAlignment="1">
      <alignment horizontal="center" vertical="center" wrapText="1"/>
    </xf>
    <xf numFmtId="0" fontId="67" fillId="43" borderId="39" xfId="0" applyFont="1" applyFill="1" applyBorder="1" applyAlignment="1">
      <alignment horizontal="left" vertical="center" wrapText="1" indent="1"/>
    </xf>
    <xf numFmtId="0" fontId="69" fillId="0" borderId="37" xfId="0" applyFont="1" applyBorder="1" applyAlignment="1">
      <alignment horizontal="left" vertical="top" wrapText="1" indent="1"/>
    </xf>
    <xf numFmtId="0" fontId="69" fillId="0" borderId="0" xfId="0" applyFont="1" applyBorder="1" applyAlignment="1">
      <alignment horizontal="left" vertical="top" wrapText="1" indent="1"/>
    </xf>
    <xf numFmtId="0" fontId="69" fillId="0" borderId="38" xfId="0" applyFont="1" applyBorder="1" applyAlignment="1">
      <alignment horizontal="left" vertical="top" wrapText="1" indent="1"/>
    </xf>
    <xf numFmtId="0" fontId="14" fillId="0" borderId="37" xfId="0" applyFont="1" applyBorder="1" applyAlignment="1">
      <alignment horizontal="left" vertical="top" wrapText="1" indent="1"/>
    </xf>
    <xf numFmtId="0" fontId="14" fillId="0" borderId="0" xfId="0" applyFont="1" applyBorder="1" applyAlignment="1">
      <alignment horizontal="left" vertical="top" wrapText="1" indent="1"/>
    </xf>
    <xf numFmtId="0" fontId="14" fillId="0" borderId="38" xfId="0" applyFont="1" applyBorder="1" applyAlignment="1">
      <alignment horizontal="left" vertical="top" wrapText="1" indent="1"/>
    </xf>
  </cellXfs>
  <cellStyles count="51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Comma 2" xfId="48"/>
    <cellStyle name="Comma 2 2" xfId="3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47"/>
    <cellStyle name="Normal 3" xfId="46"/>
    <cellStyle name="Normal 4" xfId="50"/>
    <cellStyle name="Note" xfId="19" builtinId="10" customBuiltin="1"/>
    <cellStyle name="Output" xfId="14" builtinId="21" customBuiltin="1"/>
    <cellStyle name="Percent" xfId="4" builtinId="5"/>
    <cellStyle name="Percent 2" xfId="49"/>
    <cellStyle name="Standard_Asset Class Catalog 14-02-07 von Frank Haist" xfId="2"/>
    <cellStyle name="Title" xfId="5" builtinId="15" customBuiltin="1"/>
    <cellStyle name="Total" xfId="21" builtinId="25" customBuiltin="1"/>
    <cellStyle name="Warning Text" xfId="18" builtinId="11" customBuiltin="1"/>
  </cellStyles>
  <dxfs count="31">
    <dxf>
      <numFmt numFmtId="168" formatCode="#,##0,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sz val="22"/>
      </font>
    </dxf>
    <dxf>
      <font>
        <sz val="22"/>
      </font>
    </dxf>
    <dxf>
      <numFmt numFmtId="3" formatCode="#,##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indent="0" readingOrder="0"/>
    </dxf>
    <dxf>
      <alignment vertical="bottom" indent="0" readingOrder="0"/>
    </dxf>
    <dxf>
      <alignment vertical="bottom" indent="0" readingOrder="0"/>
    </dxf>
    <dxf>
      <font>
        <b/>
      </font>
    </dxf>
    <dxf>
      <font>
        <sz val="18"/>
      </font>
    </dxf>
    <dxf>
      <font>
        <sz val="16"/>
      </font>
    </dxf>
    <dxf>
      <alignment horizontal="right" readingOrder="0"/>
    </dxf>
    <dxf>
      <alignment vertical="center" readingOrder="0"/>
    </dxf>
    <dxf>
      <alignment horizontal="right" readingOrder="0"/>
    </dxf>
    <dxf>
      <font>
        <sz val="12"/>
      </font>
    </dxf>
    <dxf>
      <font>
        <sz val="12"/>
      </font>
    </dxf>
    <dxf>
      <font>
        <sz val="12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orpoS"/>
        <scheme val="none"/>
      </font>
    </dxf>
    <dxf>
      <font>
        <name val="CorpoS"/>
        <scheme val="none"/>
      </font>
    </dxf>
    <dxf>
      <font>
        <name val="CorpoS"/>
        <scheme val="none"/>
      </font>
    </dxf>
    <dxf>
      <font>
        <name val="CorpoS"/>
        <scheme val="none"/>
      </font>
    </dxf>
    <dxf>
      <font>
        <name val="CorpoS"/>
        <scheme val="none"/>
      </font>
    </dxf>
  </dxfs>
  <tableStyles count="0" defaultTableStyle="TableStyleMedium2" defaultPivotStyle="PivotStyleMedium9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Graph!$B$10</c:f>
              <c:strCache>
                <c:ptCount val="1"/>
                <c:pt idx="0">
                  <c:v>PR Cumm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Graph!$C$3:$O$3</c:f>
              <c:strCache>
                <c:ptCount val="13"/>
                <c:pt idx="0">
                  <c:v>2018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Graph!$C$10:$O$10</c:f>
              <c:numCache>
                <c:formatCode>_(* #,##0_);_(* \(#,##0\);_(*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1849.3404019233139</c:v>
                </c:pt>
                <c:pt idx="4">
                  <c:v>3718.2377635310072</c:v>
                </c:pt>
                <c:pt idx="5">
                  <c:v>5362.4612254962394</c:v>
                </c:pt>
                <c:pt idx="6">
                  <c:v>5863.0160276168162</c:v>
                </c:pt>
                <c:pt idx="7">
                  <c:v>15908.016705708298</c:v>
                </c:pt>
                <c:pt idx="8">
                  <c:v>18519.751140426582</c:v>
                </c:pt>
                <c:pt idx="9">
                  <c:v>221293.06959684382</c:v>
                </c:pt>
                <c:pt idx="10">
                  <c:v>617720.73449636297</c:v>
                </c:pt>
                <c:pt idx="11">
                  <c:v>736569.54802737024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E-4CEB-9219-F5A71301F491}"/>
            </c:ext>
          </c:extLst>
        </c:ser>
        <c:ser>
          <c:idx val="2"/>
          <c:order val="2"/>
          <c:tx>
            <c:strRef>
              <c:f>Graph!$B$14</c:f>
              <c:strCache>
                <c:ptCount val="1"/>
                <c:pt idx="0">
                  <c:v>PO Cumm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Graph!$C$3:$O$3</c:f>
              <c:strCache>
                <c:ptCount val="13"/>
                <c:pt idx="0">
                  <c:v>2018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Graph!$C$14:$O$14</c:f>
              <c:numCache>
                <c:formatCode>_(* #,##0_);_(* \(#,##0\);_(* "-"??_);_(@_)</c:formatCode>
                <c:ptCount val="13"/>
                <c:pt idx="0">
                  <c:v>70179.940821107142</c:v>
                </c:pt>
                <c:pt idx="1">
                  <c:v>71379.629392183459</c:v>
                </c:pt>
                <c:pt idx="2">
                  <c:v>129452.98656145975</c:v>
                </c:pt>
                <c:pt idx="3">
                  <c:v>129452.98656145975</c:v>
                </c:pt>
                <c:pt idx="4">
                  <c:v>415226.57631611393</c:v>
                </c:pt>
                <c:pt idx="5">
                  <c:v>441912.00351374678</c:v>
                </c:pt>
                <c:pt idx="6">
                  <c:v>728993.72919492051</c:v>
                </c:pt>
                <c:pt idx="7">
                  <c:v>1091940.179016151</c:v>
                </c:pt>
                <c:pt idx="8">
                  <c:v>1361480.0432745656</c:v>
                </c:pt>
                <c:pt idx="9">
                  <c:v>1500755.6791394404</c:v>
                </c:pt>
                <c:pt idx="10">
                  <c:v>1657183.8551226731</c:v>
                </c:pt>
                <c:pt idx="11">
                  <c:v>1657183.8551226731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E-4CEB-9219-F5A71301F491}"/>
            </c:ext>
          </c:extLst>
        </c:ser>
        <c:ser>
          <c:idx val="3"/>
          <c:order val="3"/>
          <c:tx>
            <c:strRef>
              <c:f>Graph!$B$18</c:f>
              <c:strCache>
                <c:ptCount val="1"/>
                <c:pt idx="0">
                  <c:v>Invoice Cumm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Graph!$C$3:$O$3</c:f>
              <c:strCache>
                <c:ptCount val="13"/>
                <c:pt idx="0">
                  <c:v>2018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Graph!$C$18:$O$18</c:f>
              <c:numCache>
                <c:formatCode>_(* #,##0_);_(* \(#,##0\);_(* "-"??_);_(@_)</c:formatCode>
                <c:ptCount val="13"/>
                <c:pt idx="0">
                  <c:v>0</c:v>
                </c:pt>
                <c:pt idx="1">
                  <c:v>31496.469609172727</c:v>
                </c:pt>
                <c:pt idx="2">
                  <c:v>246149.18018739982</c:v>
                </c:pt>
                <c:pt idx="3">
                  <c:v>542586.3788065589</c:v>
                </c:pt>
                <c:pt idx="4">
                  <c:v>806580.68567377632</c:v>
                </c:pt>
                <c:pt idx="5">
                  <c:v>1147348.2081740845</c:v>
                </c:pt>
                <c:pt idx="6">
                  <c:v>1612613.9631981261</c:v>
                </c:pt>
                <c:pt idx="7">
                  <c:v>1887742.6304401429</c:v>
                </c:pt>
                <c:pt idx="8">
                  <c:v>2215859.5068425592</c:v>
                </c:pt>
                <c:pt idx="9">
                  <c:v>2385802.2604487729</c:v>
                </c:pt>
                <c:pt idx="10">
                  <c:v>3451564.2600789052</c:v>
                </c:pt>
                <c:pt idx="11">
                  <c:v>3451564.2600789052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E-4CEB-9219-F5A71301F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028568"/>
        <c:axId val="240028960"/>
      </c:barChart>
      <c:scatterChart>
        <c:scatterStyle val="smoothMarker"/>
        <c:varyColors val="0"/>
        <c:ser>
          <c:idx val="0"/>
          <c:order val="0"/>
          <c:tx>
            <c:strRef>
              <c:f>Graph!$B$6</c:f>
              <c:strCache>
                <c:ptCount val="1"/>
                <c:pt idx="0">
                  <c:v>Plan PR Cumm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strRef>
              <c:f>Graph!$C$3:$O$3</c:f>
              <c:strCache>
                <c:ptCount val="13"/>
                <c:pt idx="0">
                  <c:v>2018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xVal>
          <c:yVal>
            <c:numRef>
              <c:f>Graph!$C$6:$O$6</c:f>
              <c:numCache>
                <c:formatCode>_(* #,##0_);_(* \(#,##0\);_(* "-"??_);_(@_)</c:formatCode>
                <c:ptCount val="13"/>
                <c:pt idx="0">
                  <c:v>1450000</c:v>
                </c:pt>
                <c:pt idx="1">
                  <c:v>1677021.0707692308</c:v>
                </c:pt>
                <c:pt idx="2">
                  <c:v>2146372.0037956047</c:v>
                </c:pt>
                <c:pt idx="3">
                  <c:v>2481168.0037956047</c:v>
                </c:pt>
                <c:pt idx="4">
                  <c:v>2570348.3907956048</c:v>
                </c:pt>
                <c:pt idx="5">
                  <c:v>3300522.3907956048</c:v>
                </c:pt>
                <c:pt idx="6">
                  <c:v>3590562.3907956048</c:v>
                </c:pt>
                <c:pt idx="7">
                  <c:v>4433967.3907956053</c:v>
                </c:pt>
                <c:pt idx="8">
                  <c:v>5241257.3907956053</c:v>
                </c:pt>
                <c:pt idx="9">
                  <c:v>5616074.3907956053</c:v>
                </c:pt>
                <c:pt idx="10">
                  <c:v>5984074.3907956053</c:v>
                </c:pt>
                <c:pt idx="11">
                  <c:v>6084074.3907956053</c:v>
                </c:pt>
                <c:pt idx="12">
                  <c:v>6084074.3907956053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6E-4CEB-9219-F5A71301F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91000"/>
        <c:axId val="240029352"/>
      </c:scatterChart>
      <c:catAx>
        <c:axId val="24002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rpoS" pitchFamily="2" charset="0"/>
                <a:ea typeface="+mn-ea"/>
                <a:cs typeface="+mn-cs"/>
              </a:defRPr>
            </a:pPr>
            <a:endParaRPr lang="en-US"/>
          </a:p>
        </c:txPr>
        <c:crossAx val="240028960"/>
        <c:crosses val="autoZero"/>
        <c:auto val="1"/>
        <c:lblAlgn val="ctr"/>
        <c:lblOffset val="100"/>
        <c:noMultiLvlLbl val="0"/>
      </c:catAx>
      <c:valAx>
        <c:axId val="2400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rpoS" pitchFamily="2" charset="0"/>
                <a:ea typeface="+mn-ea"/>
                <a:cs typeface="+mn-cs"/>
              </a:defRPr>
            </a:pPr>
            <a:endParaRPr lang="en-US"/>
          </a:p>
        </c:txPr>
        <c:crossAx val="24002856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orpoS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40029352"/>
        <c:scaling>
          <c:orientation val="minMax"/>
        </c:scaling>
        <c:delete val="1"/>
        <c:axPos val="r"/>
        <c:numFmt formatCode="_(* #,##0_);_(* \(#,##0\);_(* &quot;-&quot;??_);_(@_)" sourceLinked="1"/>
        <c:majorTickMark val="out"/>
        <c:minorTickMark val="none"/>
        <c:tickLblPos val="nextTo"/>
        <c:crossAx val="245891000"/>
        <c:crosses val="max"/>
        <c:crossBetween val="midCat"/>
      </c:valAx>
      <c:valAx>
        <c:axId val="245891000"/>
        <c:scaling>
          <c:orientation val="minMax"/>
        </c:scaling>
        <c:delete val="1"/>
        <c:axPos val="t"/>
        <c:majorTickMark val="out"/>
        <c:minorTickMark val="none"/>
        <c:tickLblPos val="nextTo"/>
        <c:crossAx val="24002935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orpo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6348</xdr:colOff>
      <xdr:row>23</xdr:row>
      <xdr:rowOff>98953</xdr:rowOff>
    </xdr:from>
    <xdr:to>
      <xdr:col>14</xdr:col>
      <xdr:colOff>843490</xdr:colOff>
      <xdr:row>50</xdr:row>
      <xdr:rowOff>116416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ILE%20STRUCTURE\IBC\3.3.%20CONTROLLING\2007\OP%202007-2009\Non%20Controllable%20Expense%20OP2007-200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ILE%20STRUCTURE\IBC\3.3.%20CONTROLLING\2007\3.3.3%20Actual\BPA%202007\BPA%202007%20(Wholesale)%20personnel%20per%20FT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28023;&#22806;&#36554;&#31278;\01MMMA&#38306;&#20418;\PSX\TRF&#23566;&#20837;\&#65403;&#65394;&#65412;&#65438;O&#27604;&#36611;.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CUME~1\HQ8A13\LOCALS~1\TEMP\09.May02%20Mars%20Excel%20File%20incl.highl.change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rtriwid\AppData\Local\Microsoft\Windows\Temporary%20Internet%20Files\Content.Outlook\WOXCH26D\Investment%20Target%202016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58f0000001.id158.corpintra.net\project\NEW%20FILE%20STRUCTURE\IBC\3.2.%20Investment\2014\Actual%20Investment%202014\03.Actual%20Investment%20per%20project%20for%20SMI-GMM-SEI%20March-2014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12508;&#12487;&#12540;&#29983;&#29987;&#25216;&#34899;&#37096;\&#26495;&#27193;&#25216;\22_&#28023;&#22806;&#36554;&#31278;\06_&#65408;&#65394;MSC&#38306;&#20418;\CR\09%20MSC&#38306;&#36899;\MSC&#65420;&#65439;&#65434;&#65405;&#23566;&#20837;\050404%20&#19968;&#32937;\MMTh&#65420;&#65439;&#65434;&#65405;&#23566;&#20837;05041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050\PP-P\Controlling\70_Team%20IM\09-NACOS-Bi\01-T&#228;gliche%20Auswertungen\Analysen\Favoriten%20Tagesdatei\BI_2013_12_23_inkl_Ausland%20(kein%20Nachtl.%20Inland)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ILE%20STRUCTURE\IBC\3.3.%20CONTROLLING\2014\OP%202014\Personnel_2014\Pers_cost\Pers_Cost_ASD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roupManage\4_TA-HR-IT%20Gr\44_Project\4495_0406_OP\2004AMP%20-%20MMP\Model\OP04-06_AMPMMP_040305_Scenario1-4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ILE%20STRUCTURE\IBC\3.3.%20CONTROLLING\2009\Personnel%20Exp\Data\data%20Sal%20Jul%20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ILE%20STRUCTURE\IBC\3.3.%20CONTROLLING\2007\Market%20Forum%202007\Personnel%20Cost\Expat%20Cost%20OP%202006-2009-new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58f0000001.id158.corpintra.net\project\User_data\2015\F4G\Volume\SP15\2015%2005%2021%20%20SP15%20MB%20Thailand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CUME~1\0WF9614U\LOCALS~1\Temp\C.Lotus.Notes.Data.KojiroAsai\NPZ_&#65393;&#65406;&#65393;&#65437;&#36039;&#26448;&#36027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36960;&#34276;&#65418;&#65438;&#65400;&#65393;&#65391;&#65420;&#65439;\CK&#38306;&#20418;\&#24037;&#25968;&#65295;&#26448;&#26009;&#36027;\&#35373;&#22793;&#65402;&#65405;&#65412;&#22793;&#21205;&#65420;&#65387;&#65435;&#65392;\&#65298;&#65295;&#65317;&#12288;&#65317;&#65327;&#21453;&#26144;\&#65328;&#65296;&#35430;&#65330;&#65349;&#65366;&#65297;\My%20Documents\CK&#38306;&#20418;\&#24037;&#25968;&#65295;&#26448;&#26009;&#36027;\&#26368;&#26032;\CK&#38306;&#20418;\&#24037;&#25968;&#65295;&#26448;&#26009;&#36027;\My%20Documents\CK&#38306;&#20418;\&#23455;&#35336;3&#26376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ILE%20STRUCTURE\IBC\3.3.%20CONTROLLING\2008\3.3.11.G&amp;A\BPA%20Wholesale%20Actual%20200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MSOFFICE\EXCEL\nad\98_DNP3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ILE%20STRUCTURE\IBC\3.3.%20CONTROLLING\2008\OP2008-2010\Con%20HR\MacroAccount%20HR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CUME~1\07YB38PK\LOCALS~1\Temp\C.Lotus.Notes.Data.MasakiShimoda\Model\OP04-06_AMPMMP_040305_MMP%20Rev%20OK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4S1000\PA4S01\&#21517;&#33258;&#36554;&#31278;\NRZ\&#25237;&#36039;\&#20491;&#21830;&#20225;\&#25237;&#36039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4S1000\PA4S01\&#21517;&#33258;&#36554;&#31278;\&#65431;&#65437;&#65414;&#65437;&#65400;&#65438;\&#65331;&#65332;\01MY\&#30446;&#35542;&#35211;\&#35500;&#26126;&#36039;&#2600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Basis%20(1)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65423;&#65392;&#65401;&#65391;&#65412;&#65411;&#65438;&#65392;&#65408;\&#65411;&#65438;&#65392;&#65408;\&#32113;&#35336;\&#31859;&#22269;\&#65397;&#65392;&#65412;&#65418;&#65439;&#65404;&#65420;&#65384;\&#32232;&#38598;\00%202n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20491;&#20154;&#65411;&#65438;&#65392;&#65408;\&#21152;&#34276;\XPSUV\&#31859;&#22269;&#21488;&#25968;&#65381;&#20385;&#2668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ILE%20STRUCTURE\IBC\3.3.%20CONTROLLING\2009\Personnel%20Exp\Budget%20ext_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ILE%20STRUCTURE\IBC\3.3.%20CONTROLLING\2010\OP%202011\List_employe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suhers\AppData\Local\Microsoft\Windows\Temporary%20Internet%20Files\Content.Outlook\RGI03B2U\Management\OP%20Overhead%20ENG%205500%2009021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.%20New%20Structure%20CPC\2017\6.%20Overhead%20&amp;%20Investment\Production\FTR%2017\Invesment%20FTR\Proposal%20Saving%2020%25\01.%20Invesment\SEP%20aset\09.2015\fiAppInpu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75001-Motor Vehicle Tax"/>
      <sheetName val="475004-Motor Vehicle Tax"/>
      <sheetName val="475005-Motor Veh Maint NDE"/>
      <sheetName val="475006-Motor Veh Ins.Pre (NDE)"/>
      <sheetName val="Non Cont. Exp"/>
    </sheetNames>
    <sheetDataSet>
      <sheetData sheetId="0" refreshError="1"/>
      <sheetData sheetId="1" refreshError="1">
        <row r="34">
          <cell r="A34" t="str">
            <v>Assignment</v>
          </cell>
        </row>
        <row r="35">
          <cell r="C35" t="str">
            <v>FUEL B 1133 FE  JUNE'06</v>
          </cell>
          <cell r="D35">
            <v>100</v>
          </cell>
          <cell r="H35">
            <v>853000</v>
          </cell>
          <cell r="I35">
            <v>853000</v>
          </cell>
        </row>
        <row r="36">
          <cell r="C36" t="str">
            <v>FUEL B 1133 FE</v>
          </cell>
          <cell r="D36">
            <v>100</v>
          </cell>
          <cell r="H36">
            <v>450000</v>
          </cell>
          <cell r="I36">
            <v>450000</v>
          </cell>
        </row>
        <row r="37">
          <cell r="C37" t="str">
            <v>FUEL 31/7 - 15/8</v>
          </cell>
          <cell r="D37">
            <v>101</v>
          </cell>
          <cell r="H37">
            <v>1250000</v>
          </cell>
          <cell r="I37">
            <v>1250000</v>
          </cell>
        </row>
        <row r="38">
          <cell r="C38" t="str">
            <v>CORR FOR DEMO CAR HM YUSUF</v>
          </cell>
          <cell r="D38">
            <v>101</v>
          </cell>
          <cell r="H38">
            <v>-500000</v>
          </cell>
          <cell r="I38">
            <v>-500000</v>
          </cell>
        </row>
        <row r="39">
          <cell r="C39" t="str">
            <v>FOR DEMO CAR HM YUSUF</v>
          </cell>
          <cell r="D39">
            <v>101</v>
          </cell>
          <cell r="H39">
            <v>578500</v>
          </cell>
          <cell r="I39">
            <v>578500</v>
          </cell>
        </row>
        <row r="40">
          <cell r="C40" t="str">
            <v>FOR DEMO CAR HM YUSUF</v>
          </cell>
          <cell r="D40">
            <v>101</v>
          </cell>
          <cell r="H40">
            <v>560000</v>
          </cell>
          <cell r="I40">
            <v>560000</v>
          </cell>
        </row>
        <row r="41">
          <cell r="C41" t="str">
            <v>FOR DEMO CAR HM YUSUF</v>
          </cell>
          <cell r="D41">
            <v>101</v>
          </cell>
          <cell r="H41">
            <v>848000</v>
          </cell>
          <cell r="I41">
            <v>848000</v>
          </cell>
        </row>
        <row r="42">
          <cell r="C42" t="str">
            <v>FOR DEMO CAR HM YUSUF</v>
          </cell>
          <cell r="D42">
            <v>101</v>
          </cell>
          <cell r="H42">
            <v>828000</v>
          </cell>
          <cell r="I42">
            <v>828000</v>
          </cell>
        </row>
        <row r="43">
          <cell r="C43" t="str">
            <v>FOR DEMO CAR HM YUSUF</v>
          </cell>
          <cell r="D43">
            <v>101</v>
          </cell>
          <cell r="H43">
            <v>300000</v>
          </cell>
          <cell r="I43">
            <v>300000</v>
          </cell>
        </row>
        <row r="44">
          <cell r="C44" t="str">
            <v>FOR DEMO CAR HM YUSUF</v>
          </cell>
          <cell r="D44">
            <v>101</v>
          </cell>
          <cell r="H44">
            <v>313000</v>
          </cell>
          <cell r="I44">
            <v>313000</v>
          </cell>
        </row>
        <row r="45">
          <cell r="C45" t="str">
            <v>FOR 2006.07</v>
          </cell>
          <cell r="D45">
            <v>101</v>
          </cell>
          <cell r="H45">
            <v>1116250</v>
          </cell>
          <cell r="I45">
            <v>1116250</v>
          </cell>
        </row>
        <row r="46">
          <cell r="C46" t="str">
            <v>FOR 2006.06 (15-18)</v>
          </cell>
          <cell r="D46">
            <v>101</v>
          </cell>
          <cell r="H46">
            <v>810000</v>
          </cell>
          <cell r="I46">
            <v>810000</v>
          </cell>
        </row>
        <row r="47">
          <cell r="C47" t="str">
            <v>FOR DEMO CAR HM YUSUF</v>
          </cell>
          <cell r="D47">
            <v>101</v>
          </cell>
          <cell r="H47">
            <v>599000</v>
          </cell>
          <cell r="I47">
            <v>599000</v>
          </cell>
        </row>
        <row r="48">
          <cell r="C48" t="str">
            <v>FOR DEMO CAR HM YUSUF</v>
          </cell>
          <cell r="D48">
            <v>101</v>
          </cell>
          <cell r="H48">
            <v>397500</v>
          </cell>
          <cell r="I48">
            <v>397500</v>
          </cell>
        </row>
        <row r="49">
          <cell r="C49" t="str">
            <v>FUEL B 8533 OE MARCH'06</v>
          </cell>
          <cell r="D49">
            <v>102</v>
          </cell>
          <cell r="H49">
            <v>1708700</v>
          </cell>
          <cell r="I49">
            <v>1708700</v>
          </cell>
        </row>
        <row r="50">
          <cell r="C50" t="str">
            <v>FUEL APRIL'06</v>
          </cell>
          <cell r="D50">
            <v>102</v>
          </cell>
          <cell r="H50">
            <v>1941600</v>
          </cell>
          <cell r="I50">
            <v>1941600</v>
          </cell>
        </row>
        <row r="51">
          <cell r="C51" t="str">
            <v>FOR 2005.11-12</v>
          </cell>
          <cell r="D51">
            <v>102</v>
          </cell>
          <cell r="H51">
            <v>3431935</v>
          </cell>
          <cell r="I51">
            <v>3431935</v>
          </cell>
        </row>
        <row r="52">
          <cell r="C52" t="str">
            <v>FOR 2006.01,02</v>
          </cell>
          <cell r="D52">
            <v>102</v>
          </cell>
          <cell r="H52">
            <v>2358000</v>
          </cell>
          <cell r="I52">
            <v>2358000</v>
          </cell>
        </row>
        <row r="53">
          <cell r="I53">
            <v>17843485</v>
          </cell>
        </row>
        <row r="54">
          <cell r="C54" t="str">
            <v>FUEL B 8438 OF / CANCEL VO.4407/12/05</v>
          </cell>
          <cell r="D54">
            <v>230</v>
          </cell>
          <cell r="H54">
            <v>-1000000</v>
          </cell>
          <cell r="I54">
            <v>-1000000</v>
          </cell>
        </row>
        <row r="55">
          <cell r="C55" t="str">
            <v>FUEL B 8438 OF JAN'06</v>
          </cell>
          <cell r="D55">
            <v>230</v>
          </cell>
          <cell r="H55">
            <v>2700000</v>
          </cell>
          <cell r="I55">
            <v>2700000</v>
          </cell>
        </row>
        <row r="56">
          <cell r="C56" t="str">
            <v>FUEL B 8438 OF FEB'06</v>
          </cell>
          <cell r="D56">
            <v>230</v>
          </cell>
          <cell r="H56">
            <v>2200000</v>
          </cell>
          <cell r="I56">
            <v>2200000</v>
          </cell>
        </row>
        <row r="57">
          <cell r="C57" t="str">
            <v>FUEL B 8438 OF MARCH'06</v>
          </cell>
          <cell r="D57">
            <v>230</v>
          </cell>
          <cell r="H57">
            <v>3050000</v>
          </cell>
          <cell r="I57">
            <v>3050000</v>
          </cell>
        </row>
        <row r="58">
          <cell r="C58" t="str">
            <v>FUEL B 8438 OF APRIL'06</v>
          </cell>
          <cell r="D58">
            <v>230</v>
          </cell>
          <cell r="H58">
            <v>2400000</v>
          </cell>
          <cell r="I58">
            <v>2400000</v>
          </cell>
        </row>
        <row r="59">
          <cell r="C59" t="str">
            <v>FUEL B 8438 OF MAY'06</v>
          </cell>
          <cell r="D59">
            <v>230</v>
          </cell>
          <cell r="H59">
            <v>2800000</v>
          </cell>
          <cell r="I59">
            <v>2800000</v>
          </cell>
        </row>
        <row r="60">
          <cell r="C60" t="str">
            <v>FUEL B 8438 OF JUNE'06</v>
          </cell>
          <cell r="D60">
            <v>230</v>
          </cell>
          <cell r="H60">
            <v>2900000</v>
          </cell>
          <cell r="I60">
            <v>2900000</v>
          </cell>
        </row>
        <row r="61">
          <cell r="C61" t="str">
            <v>FUEL B 8438 OF JULY'06</v>
          </cell>
          <cell r="D61">
            <v>230</v>
          </cell>
          <cell r="H61">
            <v>1800000</v>
          </cell>
          <cell r="I61">
            <v>1800000</v>
          </cell>
        </row>
        <row r="62">
          <cell r="C62" t="str">
            <v>FOR 2005.12 (19-31)</v>
          </cell>
          <cell r="D62">
            <v>232</v>
          </cell>
          <cell r="H62">
            <v>800000</v>
          </cell>
          <cell r="I62">
            <v>800000</v>
          </cell>
        </row>
        <row r="63">
          <cell r="I63">
            <v>17650000</v>
          </cell>
        </row>
        <row r="64">
          <cell r="C64" t="str">
            <v>FUEL  FEB'06</v>
          </cell>
          <cell r="D64">
            <v>520</v>
          </cell>
          <cell r="H64">
            <v>1359700</v>
          </cell>
          <cell r="I64">
            <v>1359700</v>
          </cell>
        </row>
        <row r="65">
          <cell r="C65" t="str">
            <v>FUEL MARCH'06</v>
          </cell>
          <cell r="D65">
            <v>520</v>
          </cell>
          <cell r="H65">
            <v>1248500</v>
          </cell>
          <cell r="I65">
            <v>1248500</v>
          </cell>
        </row>
        <row r="66">
          <cell r="C66" t="str">
            <v>FUEL APRIL'06</v>
          </cell>
          <cell r="D66">
            <v>520</v>
          </cell>
          <cell r="H66">
            <v>1123300</v>
          </cell>
          <cell r="I66">
            <v>1123300</v>
          </cell>
        </row>
        <row r="67">
          <cell r="C67" t="str">
            <v>FUEL MAY'06</v>
          </cell>
          <cell r="D67">
            <v>520</v>
          </cell>
          <cell r="H67">
            <v>1179600</v>
          </cell>
          <cell r="I67">
            <v>1179600</v>
          </cell>
        </row>
        <row r="68">
          <cell r="C68" t="str">
            <v>FUEL  JUNE'06</v>
          </cell>
          <cell r="D68">
            <v>520</v>
          </cell>
          <cell r="H68">
            <v>1537000</v>
          </cell>
          <cell r="I68">
            <v>1537000</v>
          </cell>
        </row>
        <row r="69">
          <cell r="C69" t="str">
            <v>FUEL JULY</v>
          </cell>
          <cell r="D69">
            <v>521</v>
          </cell>
          <cell r="H69">
            <v>996300</v>
          </cell>
          <cell r="I69">
            <v>996300</v>
          </cell>
        </row>
        <row r="70">
          <cell r="C70" t="str">
            <v>FOR 2005.12</v>
          </cell>
          <cell r="D70">
            <v>521</v>
          </cell>
          <cell r="H70">
            <v>1265000</v>
          </cell>
          <cell r="I70">
            <v>1265000</v>
          </cell>
        </row>
        <row r="71">
          <cell r="C71" t="str">
            <v>FOR 2006.01</v>
          </cell>
          <cell r="D71">
            <v>521</v>
          </cell>
          <cell r="H71">
            <v>725600</v>
          </cell>
          <cell r="I71">
            <v>725600</v>
          </cell>
        </row>
        <row r="72">
          <cell r="C72" t="str">
            <v>FUEL AUGUST'06</v>
          </cell>
          <cell r="D72" t="str">
            <v>052A</v>
          </cell>
          <cell r="H72">
            <v>987300</v>
          </cell>
          <cell r="I72">
            <v>987300</v>
          </cell>
        </row>
        <row r="73">
          <cell r="I73">
            <v>10422300</v>
          </cell>
        </row>
        <row r="74">
          <cell r="C74" t="str">
            <v>FUEL B 8240 EF JAN'06</v>
          </cell>
          <cell r="D74">
            <v>1100</v>
          </cell>
          <cell r="H74">
            <v>1765000</v>
          </cell>
          <cell r="I74">
            <v>1765000</v>
          </cell>
        </row>
        <row r="75">
          <cell r="C75" t="str">
            <v>FUEL B 8240 EF FEB'06</v>
          </cell>
          <cell r="D75">
            <v>1100</v>
          </cell>
          <cell r="H75">
            <v>1893000</v>
          </cell>
          <cell r="I75">
            <v>1893000</v>
          </cell>
        </row>
        <row r="76">
          <cell r="C76" t="str">
            <v>FUEL B 8240 EF MARCH'06</v>
          </cell>
          <cell r="D76">
            <v>1100</v>
          </cell>
          <cell r="H76">
            <v>1859500</v>
          </cell>
          <cell r="I76">
            <v>1859500</v>
          </cell>
        </row>
        <row r="77">
          <cell r="C77" t="str">
            <v>FUEL B 8240 EF APRIL'06</v>
          </cell>
          <cell r="D77">
            <v>1100</v>
          </cell>
          <cell r="H77">
            <v>1897000</v>
          </cell>
          <cell r="I77">
            <v>1897000</v>
          </cell>
        </row>
        <row r="78">
          <cell r="C78" t="str">
            <v>FUEL B 8240 EF MAY'06</v>
          </cell>
          <cell r="D78">
            <v>1100</v>
          </cell>
          <cell r="H78">
            <v>1757000</v>
          </cell>
          <cell r="I78">
            <v>1757000</v>
          </cell>
        </row>
        <row r="79">
          <cell r="C79" t="str">
            <v>FUEL B 8240 EF JUNE'06</v>
          </cell>
          <cell r="D79">
            <v>1100</v>
          </cell>
          <cell r="H79">
            <v>2682000</v>
          </cell>
          <cell r="I79">
            <v>2682000</v>
          </cell>
        </row>
        <row r="80">
          <cell r="C80" t="str">
            <v>FUEL B 8240 EF DEC'05</v>
          </cell>
          <cell r="D80">
            <v>1102</v>
          </cell>
          <cell r="H80">
            <v>1441900</v>
          </cell>
          <cell r="I80">
            <v>1441900</v>
          </cell>
        </row>
        <row r="81">
          <cell r="C81" t="str">
            <v>FUEL B 8240 FE JULY'06</v>
          </cell>
          <cell r="D81">
            <v>1102</v>
          </cell>
          <cell r="H81">
            <v>2244000</v>
          </cell>
          <cell r="I81">
            <v>2244000</v>
          </cell>
        </row>
        <row r="82">
          <cell r="C82" t="str">
            <v>FUEL B 8240 EF AUG'06</v>
          </cell>
          <cell r="D82">
            <v>1102</v>
          </cell>
          <cell r="H82">
            <v>2016000</v>
          </cell>
          <cell r="I82">
            <v>2016000</v>
          </cell>
        </row>
        <row r="83">
          <cell r="I83">
            <v>17555400</v>
          </cell>
        </row>
        <row r="84">
          <cell r="C84" t="str">
            <v>FUEL 19/12- 13/1</v>
          </cell>
          <cell r="D84">
            <v>1202</v>
          </cell>
          <cell r="H84">
            <v>1950000</v>
          </cell>
          <cell r="I84">
            <v>1950000</v>
          </cell>
        </row>
        <row r="85">
          <cell r="I85">
            <v>1950000</v>
          </cell>
        </row>
        <row r="86">
          <cell r="C86" t="str">
            <v>FUEL APRIL'06</v>
          </cell>
          <cell r="D86">
            <v>1400</v>
          </cell>
          <cell r="H86">
            <v>1850000</v>
          </cell>
          <cell r="I86">
            <v>1850000</v>
          </cell>
        </row>
        <row r="87">
          <cell r="C87" t="str">
            <v>FUEL B 8262 WB MAY'06</v>
          </cell>
          <cell r="D87">
            <v>1400</v>
          </cell>
          <cell r="H87">
            <v>1980000</v>
          </cell>
          <cell r="I87">
            <v>1980000</v>
          </cell>
        </row>
        <row r="88">
          <cell r="C88" t="str">
            <v>FUEL B 8262 JUNE'06</v>
          </cell>
          <cell r="D88">
            <v>1400</v>
          </cell>
          <cell r="H88">
            <v>1800000</v>
          </cell>
          <cell r="I88">
            <v>1800000</v>
          </cell>
        </row>
        <row r="89">
          <cell r="C89" t="str">
            <v>FUEL B 8262 WB JULY'06</v>
          </cell>
          <cell r="D89">
            <v>1400</v>
          </cell>
          <cell r="H89">
            <v>1800000</v>
          </cell>
          <cell r="I89">
            <v>1800000</v>
          </cell>
        </row>
        <row r="90">
          <cell r="C90" t="str">
            <v>FUEL B 8262 WB JAN'06</v>
          </cell>
          <cell r="D90">
            <v>1402</v>
          </cell>
          <cell r="H90">
            <v>1275000</v>
          </cell>
          <cell r="I90">
            <v>1275000</v>
          </cell>
        </row>
        <row r="91">
          <cell r="C91" t="str">
            <v>FUEL B 8262 WB FEB'06</v>
          </cell>
          <cell r="D91">
            <v>1402</v>
          </cell>
          <cell r="H91">
            <v>1875000</v>
          </cell>
          <cell r="I91">
            <v>1875000</v>
          </cell>
        </row>
        <row r="92">
          <cell r="C92" t="str">
            <v>FUEL B 8262 WB MARCH'06</v>
          </cell>
          <cell r="D92">
            <v>1402</v>
          </cell>
          <cell r="H92">
            <v>1950000</v>
          </cell>
          <cell r="I92">
            <v>1950000</v>
          </cell>
        </row>
        <row r="93">
          <cell r="C93" t="str">
            <v>FUEL B 8261 WB AUG'06</v>
          </cell>
          <cell r="D93">
            <v>1402</v>
          </cell>
          <cell r="H93">
            <v>1350000</v>
          </cell>
          <cell r="I93">
            <v>1350000</v>
          </cell>
        </row>
        <row r="94">
          <cell r="C94" t="str">
            <v>FOR 2005.12</v>
          </cell>
          <cell r="D94">
            <v>1402</v>
          </cell>
          <cell r="H94">
            <v>1500000</v>
          </cell>
          <cell r="I94">
            <v>1500000</v>
          </cell>
        </row>
        <row r="95">
          <cell r="I95">
            <v>15380000</v>
          </cell>
        </row>
        <row r="96">
          <cell r="C96" t="str">
            <v>FUEL JAN'06</v>
          </cell>
          <cell r="D96">
            <v>1500</v>
          </cell>
          <cell r="H96">
            <v>762000</v>
          </cell>
          <cell r="I96">
            <v>762000</v>
          </cell>
        </row>
        <row r="97">
          <cell r="C97" t="str">
            <v>FUEL FEB'06</v>
          </cell>
          <cell r="D97">
            <v>1500</v>
          </cell>
          <cell r="H97">
            <v>1448000</v>
          </cell>
          <cell r="I97">
            <v>1448000</v>
          </cell>
        </row>
        <row r="98">
          <cell r="C98" t="str">
            <v>FUEL MARCH '06</v>
          </cell>
          <cell r="D98">
            <v>1500</v>
          </cell>
          <cell r="H98">
            <v>1225000</v>
          </cell>
          <cell r="I98">
            <v>1225000</v>
          </cell>
        </row>
        <row r="99">
          <cell r="C99" t="str">
            <v>FUEL APRIL'06</v>
          </cell>
          <cell r="D99">
            <v>1500</v>
          </cell>
          <cell r="H99">
            <v>1730000</v>
          </cell>
          <cell r="I99">
            <v>1730000</v>
          </cell>
        </row>
        <row r="100">
          <cell r="C100" t="str">
            <v>FUEL MAY'06</v>
          </cell>
          <cell r="D100">
            <v>1500</v>
          </cell>
          <cell r="H100">
            <v>1800000</v>
          </cell>
          <cell r="I100">
            <v>1800000</v>
          </cell>
        </row>
        <row r="101">
          <cell r="C101" t="str">
            <v>FUEL B 1854 BQ 5/7</v>
          </cell>
          <cell r="D101">
            <v>1502</v>
          </cell>
          <cell r="H101">
            <v>120000</v>
          </cell>
          <cell r="I101">
            <v>120000</v>
          </cell>
        </row>
        <row r="102">
          <cell r="C102" t="str">
            <v>FUEL DEC'05</v>
          </cell>
          <cell r="D102">
            <v>1510</v>
          </cell>
          <cell r="H102">
            <v>1000000</v>
          </cell>
          <cell r="I102">
            <v>1000000</v>
          </cell>
        </row>
        <row r="103">
          <cell r="C103" t="str">
            <v>FOR 2006.06</v>
          </cell>
          <cell r="D103">
            <v>1512</v>
          </cell>
          <cell r="H103">
            <v>3010000</v>
          </cell>
          <cell r="I103">
            <v>3010000</v>
          </cell>
        </row>
        <row r="104">
          <cell r="I104">
            <v>11095000</v>
          </cell>
        </row>
        <row r="105">
          <cell r="C105" t="str">
            <v>FUEL B 8639 ZH FEB'06</v>
          </cell>
          <cell r="D105">
            <v>2102</v>
          </cell>
          <cell r="H105">
            <v>1124000</v>
          </cell>
          <cell r="I105">
            <v>1124000</v>
          </cell>
        </row>
        <row r="106">
          <cell r="C106" t="str">
            <v>FUEL B 8639 ZH MARCH'06</v>
          </cell>
          <cell r="D106">
            <v>2102</v>
          </cell>
          <cell r="H106">
            <v>450000</v>
          </cell>
          <cell r="I106">
            <v>450000</v>
          </cell>
        </row>
        <row r="107">
          <cell r="C107" t="str">
            <v>FUEL B 8639 ZH APRIL'06</v>
          </cell>
          <cell r="D107">
            <v>2102</v>
          </cell>
          <cell r="H107">
            <v>385000</v>
          </cell>
          <cell r="I107">
            <v>385000</v>
          </cell>
        </row>
        <row r="108">
          <cell r="C108" t="str">
            <v>FUEL B 8639 ZH MAY'06</v>
          </cell>
          <cell r="D108">
            <v>2102</v>
          </cell>
          <cell r="H108">
            <v>1543100</v>
          </cell>
          <cell r="I108">
            <v>1543100</v>
          </cell>
        </row>
        <row r="109">
          <cell r="C109" t="str">
            <v>FUEL B 8639 JUNE'06</v>
          </cell>
          <cell r="D109">
            <v>2102</v>
          </cell>
          <cell r="H109">
            <v>1883700</v>
          </cell>
          <cell r="I109">
            <v>1883700</v>
          </cell>
        </row>
        <row r="110">
          <cell r="C110" t="str">
            <v>FUEL B 8639 ZH JULY'06</v>
          </cell>
          <cell r="D110">
            <v>2102</v>
          </cell>
          <cell r="H110">
            <v>2146500</v>
          </cell>
          <cell r="I110">
            <v>2146500</v>
          </cell>
        </row>
        <row r="111">
          <cell r="C111" t="str">
            <v>FOR 2005.12</v>
          </cell>
          <cell r="D111">
            <v>2102</v>
          </cell>
          <cell r="H111">
            <v>700000</v>
          </cell>
          <cell r="I111">
            <v>700000</v>
          </cell>
        </row>
        <row r="112">
          <cell r="C112" t="str">
            <v>FOR 2006.01</v>
          </cell>
          <cell r="D112">
            <v>2102</v>
          </cell>
          <cell r="H112">
            <v>700000</v>
          </cell>
          <cell r="I112">
            <v>700000</v>
          </cell>
        </row>
        <row r="113">
          <cell r="I113">
            <v>8932300</v>
          </cell>
        </row>
        <row r="114">
          <cell r="C114" t="str">
            <v>FUEL MR.F.ENGISCH's CAR</v>
          </cell>
          <cell r="D114">
            <v>3100</v>
          </cell>
          <cell r="H114">
            <v>562000</v>
          </cell>
          <cell r="I114">
            <v>562000</v>
          </cell>
        </row>
        <row r="115">
          <cell r="C115" t="str">
            <v>FUEL B 2020 FE JAN'06</v>
          </cell>
          <cell r="D115">
            <v>3100</v>
          </cell>
          <cell r="H115">
            <v>800000</v>
          </cell>
          <cell r="I115">
            <v>800000</v>
          </cell>
        </row>
        <row r="116">
          <cell r="C116" t="str">
            <v>FUEL B 1133 FE - MR.F.ENGISCH's CAR</v>
          </cell>
          <cell r="D116">
            <v>3100</v>
          </cell>
          <cell r="H116">
            <v>551000</v>
          </cell>
          <cell r="I116">
            <v>551000</v>
          </cell>
        </row>
        <row r="117">
          <cell r="C117" t="str">
            <v>FUEL B 1133 FE - MR.F.ENGISCH's CAR</v>
          </cell>
          <cell r="D117">
            <v>3100</v>
          </cell>
          <cell r="H117">
            <v>200000</v>
          </cell>
          <cell r="I117">
            <v>200000</v>
          </cell>
        </row>
        <row r="118">
          <cell r="C118" t="str">
            <v>FUEL B 1133 FE MR.ENGISCH's CAR</v>
          </cell>
          <cell r="D118">
            <v>3100</v>
          </cell>
          <cell r="H118">
            <v>699000</v>
          </cell>
          <cell r="I118">
            <v>699000</v>
          </cell>
        </row>
        <row r="119">
          <cell r="C119" t="str">
            <v>FUEL B 1133 FE FEB'06</v>
          </cell>
          <cell r="D119">
            <v>3100</v>
          </cell>
          <cell r="H119">
            <v>600000</v>
          </cell>
          <cell r="I119">
            <v>600000</v>
          </cell>
        </row>
        <row r="120">
          <cell r="C120" t="str">
            <v>FUEL B 133 FE APRIL '06</v>
          </cell>
          <cell r="D120">
            <v>3100</v>
          </cell>
          <cell r="H120">
            <v>297000</v>
          </cell>
          <cell r="I120">
            <v>297000</v>
          </cell>
        </row>
        <row r="121">
          <cell r="C121" t="str">
            <v>FUEL  B 1133 FE MAY'06</v>
          </cell>
          <cell r="D121">
            <v>3100</v>
          </cell>
          <cell r="H121">
            <v>636000</v>
          </cell>
          <cell r="I121">
            <v>636000</v>
          </cell>
        </row>
        <row r="122">
          <cell r="I122">
            <v>4345000</v>
          </cell>
        </row>
        <row r="123">
          <cell r="C123" t="str">
            <v>FUEL EXP. FEB'06</v>
          </cell>
          <cell r="D123">
            <v>3110</v>
          </cell>
          <cell r="H123">
            <v>1500000</v>
          </cell>
          <cell r="I123">
            <v>1500000</v>
          </cell>
        </row>
        <row r="124">
          <cell r="C124" t="str">
            <v>FUEL MARCH' 06</v>
          </cell>
          <cell r="D124">
            <v>3110</v>
          </cell>
          <cell r="H124">
            <v>1150000</v>
          </cell>
          <cell r="I124">
            <v>1150000</v>
          </cell>
        </row>
        <row r="125">
          <cell r="C125" t="str">
            <v>FUEL APRIL'06</v>
          </cell>
          <cell r="D125">
            <v>3110</v>
          </cell>
          <cell r="H125">
            <v>1338500</v>
          </cell>
          <cell r="I125">
            <v>1338500</v>
          </cell>
        </row>
        <row r="126">
          <cell r="C126" t="str">
            <v>FUEL B 8629 IB MAY'06</v>
          </cell>
          <cell r="D126">
            <v>3110</v>
          </cell>
          <cell r="H126">
            <v>1614000</v>
          </cell>
          <cell r="I126">
            <v>1614000</v>
          </cell>
        </row>
        <row r="127">
          <cell r="C127" t="str">
            <v>FUEL  JUNE'06</v>
          </cell>
          <cell r="D127">
            <v>3110</v>
          </cell>
          <cell r="H127">
            <v>1200000</v>
          </cell>
          <cell r="I127">
            <v>1200000</v>
          </cell>
        </row>
        <row r="128">
          <cell r="C128" t="str">
            <v>FUEL B 1854 BQ 14-16/7</v>
          </cell>
          <cell r="D128">
            <v>3111</v>
          </cell>
          <cell r="H128">
            <v>250000</v>
          </cell>
          <cell r="I128">
            <v>250000</v>
          </cell>
        </row>
        <row r="129">
          <cell r="C129" t="str">
            <v>FOR 2006.07</v>
          </cell>
          <cell r="D129">
            <v>3111</v>
          </cell>
          <cell r="H129">
            <v>600000</v>
          </cell>
          <cell r="I129">
            <v>600000</v>
          </cell>
        </row>
        <row r="130">
          <cell r="C130" t="str">
            <v>FOR 2006.01</v>
          </cell>
          <cell r="D130">
            <v>3121</v>
          </cell>
          <cell r="H130">
            <v>1220000</v>
          </cell>
          <cell r="I130">
            <v>1220000</v>
          </cell>
        </row>
        <row r="131">
          <cell r="I131">
            <v>8872500</v>
          </cell>
        </row>
        <row r="132">
          <cell r="C132" t="str">
            <v>FUEL B 155 JG JAN'06</v>
          </cell>
          <cell r="D132">
            <v>3200</v>
          </cell>
          <cell r="H132">
            <v>1200000</v>
          </cell>
          <cell r="I132">
            <v>1200000</v>
          </cell>
        </row>
        <row r="133">
          <cell r="C133" t="str">
            <v>FUEL  FEB'06</v>
          </cell>
          <cell r="D133">
            <v>3200</v>
          </cell>
          <cell r="H133">
            <v>1500000</v>
          </cell>
          <cell r="I133">
            <v>1500000</v>
          </cell>
        </row>
        <row r="134">
          <cell r="C134" t="str">
            <v>FUEL MARCH ' 06</v>
          </cell>
          <cell r="D134">
            <v>3200</v>
          </cell>
          <cell r="H134">
            <v>1850000</v>
          </cell>
          <cell r="I134">
            <v>1850000</v>
          </cell>
        </row>
        <row r="135">
          <cell r="C135" t="str">
            <v>FUEL APRIL'06</v>
          </cell>
          <cell r="D135">
            <v>3200</v>
          </cell>
          <cell r="H135">
            <v>1200000</v>
          </cell>
          <cell r="I135">
            <v>1200000</v>
          </cell>
        </row>
        <row r="136">
          <cell r="C136" t="str">
            <v>FUEL MAY'06</v>
          </cell>
          <cell r="D136">
            <v>3200</v>
          </cell>
          <cell r="H136">
            <v>1650000</v>
          </cell>
          <cell r="I136">
            <v>1650000</v>
          </cell>
        </row>
        <row r="137">
          <cell r="C137" t="str">
            <v>FUEL  JUNE'06</v>
          </cell>
          <cell r="D137">
            <v>3200</v>
          </cell>
          <cell r="H137">
            <v>700000</v>
          </cell>
          <cell r="I137">
            <v>700000</v>
          </cell>
        </row>
        <row r="138">
          <cell r="C138" t="str">
            <v>FUEL  JUNE'06</v>
          </cell>
          <cell r="D138">
            <v>3200</v>
          </cell>
          <cell r="H138">
            <v>1550000</v>
          </cell>
          <cell r="I138">
            <v>1550000</v>
          </cell>
        </row>
        <row r="139">
          <cell r="C139" t="str">
            <v>FUEL JULY'06</v>
          </cell>
          <cell r="D139">
            <v>3201</v>
          </cell>
          <cell r="H139">
            <v>1390000</v>
          </cell>
          <cell r="I139">
            <v>1390000</v>
          </cell>
        </row>
        <row r="140">
          <cell r="C140" t="str">
            <v>FUEL JULY'06</v>
          </cell>
          <cell r="D140">
            <v>3201</v>
          </cell>
          <cell r="H140">
            <v>2150000</v>
          </cell>
          <cell r="I140">
            <v>2150000</v>
          </cell>
        </row>
        <row r="141">
          <cell r="C141" t="str">
            <v>FUEL AUG'06</v>
          </cell>
          <cell r="D141">
            <v>3201</v>
          </cell>
          <cell r="H141">
            <v>1200000</v>
          </cell>
          <cell r="I141">
            <v>1200000</v>
          </cell>
        </row>
        <row r="142">
          <cell r="C142" t="str">
            <v>FOR 2005.12</v>
          </cell>
          <cell r="D142">
            <v>3201</v>
          </cell>
          <cell r="H142">
            <v>800000</v>
          </cell>
          <cell r="I142">
            <v>800000</v>
          </cell>
        </row>
        <row r="143">
          <cell r="I143">
            <v>15190000</v>
          </cell>
        </row>
        <row r="144">
          <cell r="C144" t="str">
            <v>FUEL B 8627 IB APRIL'06</v>
          </cell>
          <cell r="D144">
            <v>3300</v>
          </cell>
          <cell r="H144">
            <v>940000</v>
          </cell>
          <cell r="I144">
            <v>940000</v>
          </cell>
        </row>
        <row r="145">
          <cell r="C145" t="str">
            <v>FUEL B 8627 IB MAY'06</v>
          </cell>
          <cell r="D145">
            <v>3300</v>
          </cell>
          <cell r="H145">
            <v>760000</v>
          </cell>
          <cell r="I145">
            <v>760000</v>
          </cell>
        </row>
        <row r="146">
          <cell r="C146" t="str">
            <v>FUEL B 8627 IB FEB'06</v>
          </cell>
          <cell r="D146">
            <v>3301</v>
          </cell>
          <cell r="H146">
            <v>800000</v>
          </cell>
          <cell r="I146">
            <v>800000</v>
          </cell>
        </row>
        <row r="147">
          <cell r="C147" t="str">
            <v>FUEL B 8627 IB MARCH'06</v>
          </cell>
          <cell r="D147">
            <v>3301</v>
          </cell>
          <cell r="H147">
            <v>1214000</v>
          </cell>
          <cell r="I147">
            <v>1214000</v>
          </cell>
        </row>
        <row r="148">
          <cell r="C148" t="str">
            <v>FOR 2005.12</v>
          </cell>
          <cell r="D148">
            <v>3301</v>
          </cell>
          <cell r="H148">
            <v>550000</v>
          </cell>
          <cell r="I148">
            <v>550000</v>
          </cell>
        </row>
        <row r="149">
          <cell r="C149" t="str">
            <v>FOR 2005.12</v>
          </cell>
          <cell r="D149">
            <v>3301</v>
          </cell>
          <cell r="H149">
            <v>500000</v>
          </cell>
          <cell r="I149">
            <v>500000</v>
          </cell>
        </row>
        <row r="150">
          <cell r="C150" t="str">
            <v>FOR 2006.01</v>
          </cell>
          <cell r="D150">
            <v>3301</v>
          </cell>
          <cell r="H150">
            <v>1000000</v>
          </cell>
          <cell r="I150">
            <v>1000000</v>
          </cell>
        </row>
        <row r="151">
          <cell r="C151" t="str">
            <v>FOR 06.2006</v>
          </cell>
          <cell r="D151">
            <v>3301</v>
          </cell>
          <cell r="H151">
            <v>1035000</v>
          </cell>
          <cell r="I151">
            <v>1035000</v>
          </cell>
        </row>
        <row r="152">
          <cell r="I152">
            <v>6799000</v>
          </cell>
        </row>
        <row r="153">
          <cell r="C153" t="str">
            <v>FUEL DEC'05</v>
          </cell>
          <cell r="D153">
            <v>3310</v>
          </cell>
          <cell r="H153">
            <v>1000000</v>
          </cell>
          <cell r="I153">
            <v>1000000</v>
          </cell>
        </row>
        <row r="154">
          <cell r="C154" t="str">
            <v>FUEL MARCH'06</v>
          </cell>
          <cell r="D154">
            <v>3310</v>
          </cell>
          <cell r="H154">
            <v>3600000</v>
          </cell>
          <cell r="I154">
            <v>3600000</v>
          </cell>
        </row>
        <row r="155">
          <cell r="C155" t="str">
            <v>FUEL APRIL'06</v>
          </cell>
          <cell r="D155">
            <v>3310</v>
          </cell>
          <cell r="H155">
            <v>1500000</v>
          </cell>
          <cell r="I155">
            <v>1500000</v>
          </cell>
        </row>
        <row r="156">
          <cell r="C156" t="str">
            <v>FUEL  MAY'06</v>
          </cell>
          <cell r="D156">
            <v>3310</v>
          </cell>
          <cell r="H156">
            <v>1900000</v>
          </cell>
          <cell r="I156">
            <v>1900000</v>
          </cell>
        </row>
        <row r="157">
          <cell r="C157" t="str">
            <v>FUEL JUNE'06</v>
          </cell>
          <cell r="D157">
            <v>3310</v>
          </cell>
          <cell r="H157">
            <v>1950000</v>
          </cell>
          <cell r="I157">
            <v>1950000</v>
          </cell>
        </row>
        <row r="158">
          <cell r="I158">
            <v>9950000</v>
          </cell>
        </row>
        <row r="159">
          <cell r="C159" t="str">
            <v>FUEL EXP. FOR MR.WAGNER</v>
          </cell>
          <cell r="D159">
            <v>3400</v>
          </cell>
          <cell r="H159">
            <v>1780000</v>
          </cell>
          <cell r="I159">
            <v>1780000</v>
          </cell>
        </row>
        <row r="160">
          <cell r="C160" t="str">
            <v>FUEL B 2781 VO MAY'06</v>
          </cell>
          <cell r="D160">
            <v>3400</v>
          </cell>
          <cell r="H160">
            <v>2145000</v>
          </cell>
          <cell r="I160">
            <v>2145000</v>
          </cell>
        </row>
        <row r="161">
          <cell r="C161" t="str">
            <v>FUEL B 2781 VO JUNE'06</v>
          </cell>
          <cell r="D161">
            <v>3400</v>
          </cell>
          <cell r="H161">
            <v>1500000</v>
          </cell>
          <cell r="I161">
            <v>1500000</v>
          </cell>
        </row>
        <row r="162">
          <cell r="C162" t="str">
            <v>FUEL EXP. MR WAGNER JAN'06</v>
          </cell>
          <cell r="D162">
            <v>3401</v>
          </cell>
          <cell r="H162">
            <v>900000</v>
          </cell>
          <cell r="I162">
            <v>900000</v>
          </cell>
        </row>
        <row r="163">
          <cell r="C163" t="str">
            <v>FUEL FOR MR WAGNER'S CAR JAN'06</v>
          </cell>
          <cell r="D163">
            <v>3401</v>
          </cell>
          <cell r="H163">
            <v>1250000</v>
          </cell>
          <cell r="I163">
            <v>1250000</v>
          </cell>
        </row>
        <row r="164">
          <cell r="C164" t="str">
            <v>FUEL WAGNER'S CAR DURING MARCH'06</v>
          </cell>
          <cell r="D164">
            <v>3401</v>
          </cell>
          <cell r="H164">
            <v>1295000</v>
          </cell>
          <cell r="I164">
            <v>1295000</v>
          </cell>
        </row>
        <row r="165">
          <cell r="C165" t="str">
            <v>FUEL OF MR. WAGNER'S CAR, B2781V0 FEB'06</v>
          </cell>
          <cell r="D165">
            <v>3401</v>
          </cell>
          <cell r="H165">
            <v>1515000</v>
          </cell>
          <cell r="I165">
            <v>1515000</v>
          </cell>
        </row>
        <row r="166">
          <cell r="C166" t="str">
            <v>FUEL JULY'06</v>
          </cell>
          <cell r="D166">
            <v>3401</v>
          </cell>
          <cell r="H166">
            <v>650000</v>
          </cell>
          <cell r="I166">
            <v>650000</v>
          </cell>
        </row>
        <row r="167">
          <cell r="I167">
            <v>11035000</v>
          </cell>
        </row>
        <row r="168">
          <cell r="C168" t="str">
            <v>FUEL B 8763 MW</v>
          </cell>
          <cell r="D168">
            <v>3411</v>
          </cell>
          <cell r="H168">
            <v>850000</v>
          </cell>
          <cell r="I168">
            <v>850000</v>
          </cell>
        </row>
        <row r="169">
          <cell r="C169" t="str">
            <v>FUEL EXP. JAN'06</v>
          </cell>
          <cell r="D169">
            <v>3411</v>
          </cell>
          <cell r="H169">
            <v>850000</v>
          </cell>
          <cell r="I169">
            <v>850000</v>
          </cell>
        </row>
        <row r="170">
          <cell r="C170" t="str">
            <v>FUEL B 8763 MW</v>
          </cell>
          <cell r="D170">
            <v>3411</v>
          </cell>
          <cell r="H170">
            <v>500000</v>
          </cell>
          <cell r="I170">
            <v>500000</v>
          </cell>
        </row>
        <row r="171">
          <cell r="C171" t="str">
            <v>FUEL ARMIN OTT'S CAR FEB-MARCH'06</v>
          </cell>
          <cell r="D171">
            <v>3411</v>
          </cell>
          <cell r="H171">
            <v>1524000</v>
          </cell>
          <cell r="I171">
            <v>1524000</v>
          </cell>
        </row>
        <row r="172">
          <cell r="C172" t="str">
            <v>FUEL ARMIN OTT'S CAR MARCH'06</v>
          </cell>
          <cell r="D172">
            <v>3411</v>
          </cell>
          <cell r="H172">
            <v>690000</v>
          </cell>
          <cell r="I172">
            <v>690000</v>
          </cell>
        </row>
        <row r="173">
          <cell r="C173" t="str">
            <v>FUEL FOR MR. OTT 23.3.06-27.04.06</v>
          </cell>
          <cell r="D173">
            <v>3411</v>
          </cell>
          <cell r="H173">
            <v>850000</v>
          </cell>
          <cell r="I173">
            <v>850000</v>
          </cell>
        </row>
        <row r="174">
          <cell r="C174" t="str">
            <v>FUEL EXP. FUEL  FOR ARMIN OTT</v>
          </cell>
          <cell r="D174">
            <v>3411</v>
          </cell>
          <cell r="H174">
            <v>350000</v>
          </cell>
          <cell r="I174">
            <v>350000</v>
          </cell>
        </row>
        <row r="175">
          <cell r="C175" t="str">
            <v>FUEL B 8763 MW MAY'06</v>
          </cell>
          <cell r="D175">
            <v>3411</v>
          </cell>
          <cell r="H175">
            <v>700000</v>
          </cell>
          <cell r="I175">
            <v>700000</v>
          </cell>
        </row>
        <row r="176">
          <cell r="C176" t="str">
            <v>FUEL B 8763 MW MAY'06</v>
          </cell>
          <cell r="D176">
            <v>3411</v>
          </cell>
          <cell r="H176">
            <v>300000</v>
          </cell>
          <cell r="I176">
            <v>300000</v>
          </cell>
        </row>
        <row r="177">
          <cell r="C177" t="str">
            <v>FOR 06.2006</v>
          </cell>
          <cell r="D177">
            <v>3411</v>
          </cell>
          <cell r="H177">
            <v>1170000</v>
          </cell>
          <cell r="I177">
            <v>1170000</v>
          </cell>
        </row>
        <row r="178">
          <cell r="I178">
            <v>7784000</v>
          </cell>
        </row>
        <row r="179">
          <cell r="C179" t="str">
            <v>FUEL B 360 NV FEB'06</v>
          </cell>
          <cell r="D179">
            <v>3500</v>
          </cell>
          <cell r="H179">
            <v>1972800</v>
          </cell>
          <cell r="I179">
            <v>1972800</v>
          </cell>
        </row>
        <row r="180">
          <cell r="C180" t="str">
            <v>FUEL MARCH'06</v>
          </cell>
          <cell r="D180">
            <v>3500</v>
          </cell>
          <cell r="H180">
            <v>1627100</v>
          </cell>
          <cell r="I180">
            <v>1627100</v>
          </cell>
        </row>
        <row r="181">
          <cell r="C181" t="str">
            <v>FUEL APRIL'06</v>
          </cell>
          <cell r="D181">
            <v>3500</v>
          </cell>
          <cell r="H181">
            <v>1349700</v>
          </cell>
          <cell r="I181">
            <v>1349700</v>
          </cell>
        </row>
        <row r="182">
          <cell r="C182" t="str">
            <v>FUEL B 360 NV MAY'06</v>
          </cell>
          <cell r="D182">
            <v>3500</v>
          </cell>
          <cell r="H182">
            <v>1103200</v>
          </cell>
          <cell r="I182">
            <v>1103200</v>
          </cell>
        </row>
        <row r="183">
          <cell r="C183" t="str">
            <v>FUEL B 360 NV JUNE'06</v>
          </cell>
          <cell r="D183">
            <v>3500</v>
          </cell>
          <cell r="H183">
            <v>1266700</v>
          </cell>
          <cell r="I183">
            <v>1266700</v>
          </cell>
        </row>
        <row r="184">
          <cell r="C184" t="str">
            <v>FUEL JULY'06</v>
          </cell>
          <cell r="D184">
            <v>3501</v>
          </cell>
          <cell r="H184">
            <v>1767600</v>
          </cell>
          <cell r="I184">
            <v>1767600</v>
          </cell>
        </row>
        <row r="185">
          <cell r="C185" t="str">
            <v>FOR 2005.12</v>
          </cell>
          <cell r="D185">
            <v>3501</v>
          </cell>
          <cell r="H185">
            <v>1717300</v>
          </cell>
          <cell r="I185">
            <v>1717300</v>
          </cell>
        </row>
        <row r="186">
          <cell r="C186" t="str">
            <v>FOR 2006.01</v>
          </cell>
          <cell r="D186">
            <v>3501</v>
          </cell>
          <cell r="H186">
            <v>1447000</v>
          </cell>
          <cell r="I186">
            <v>1447000</v>
          </cell>
        </row>
        <row r="187">
          <cell r="C187" t="str">
            <v>"FUEL B 2166 FE (Dr.THIEL,MR.SCHARF) 11-12/6"</v>
          </cell>
          <cell r="D187">
            <v>500</v>
          </cell>
          <cell r="H187">
            <v>420000</v>
          </cell>
          <cell r="I187">
            <v>420000</v>
          </cell>
        </row>
        <row r="188">
          <cell r="I188">
            <v>12671400</v>
          </cell>
        </row>
        <row r="189">
          <cell r="C189" t="str">
            <v>FUEL B 8084 NT JAN'06</v>
          </cell>
          <cell r="D189">
            <v>5100</v>
          </cell>
          <cell r="H189">
            <v>1864500</v>
          </cell>
          <cell r="I189">
            <v>1864500</v>
          </cell>
        </row>
        <row r="190">
          <cell r="C190" t="str">
            <v>FUEL B 8084 NT FEB'06</v>
          </cell>
          <cell r="D190">
            <v>5100</v>
          </cell>
          <cell r="H190">
            <v>2862000</v>
          </cell>
          <cell r="I190">
            <v>2862000</v>
          </cell>
        </row>
        <row r="191">
          <cell r="C191" t="str">
            <v>FUEL B 8084 NT MARCH'06</v>
          </cell>
          <cell r="D191">
            <v>5100</v>
          </cell>
          <cell r="H191">
            <v>2490000</v>
          </cell>
          <cell r="I191">
            <v>2490000</v>
          </cell>
        </row>
        <row r="192">
          <cell r="C192" t="str">
            <v>FUEL B 8084 NT APRIL'06</v>
          </cell>
          <cell r="D192">
            <v>5100</v>
          </cell>
          <cell r="H192">
            <v>2286000</v>
          </cell>
          <cell r="I192">
            <v>2286000</v>
          </cell>
        </row>
        <row r="193">
          <cell r="C193" t="str">
            <v>FUEL B 8084 NT MAY'06</v>
          </cell>
          <cell r="D193">
            <v>5100</v>
          </cell>
          <cell r="H193">
            <v>2465200</v>
          </cell>
          <cell r="I193">
            <v>2465200</v>
          </cell>
        </row>
        <row r="194">
          <cell r="C194" t="str">
            <v>FUEL B 8084 NT JUNE'06</v>
          </cell>
          <cell r="D194">
            <v>5100</v>
          </cell>
          <cell r="H194">
            <v>3006700</v>
          </cell>
          <cell r="I194">
            <v>3006700</v>
          </cell>
        </row>
        <row r="195">
          <cell r="C195" t="str">
            <v>FUEL B 8084 NT JULY'06</v>
          </cell>
          <cell r="D195">
            <v>5100</v>
          </cell>
          <cell r="H195">
            <v>2037000</v>
          </cell>
          <cell r="I195">
            <v>2037000</v>
          </cell>
        </row>
        <row r="196">
          <cell r="C196" t="str">
            <v>FUEL B 8084 NT AUG'06</v>
          </cell>
          <cell r="D196">
            <v>5102</v>
          </cell>
          <cell r="H196">
            <v>3716900</v>
          </cell>
          <cell r="I196">
            <v>3716900</v>
          </cell>
        </row>
        <row r="197">
          <cell r="C197" t="str">
            <v>FOR 2005.12</v>
          </cell>
          <cell r="D197">
            <v>5102</v>
          </cell>
          <cell r="H197">
            <v>2461500</v>
          </cell>
          <cell r="I197">
            <v>2461500</v>
          </cell>
        </row>
        <row r="198">
          <cell r="I198">
            <v>23189800</v>
          </cell>
        </row>
        <row r="199">
          <cell r="C199" t="str">
            <v>FUEL B 8483 C JAN'06</v>
          </cell>
          <cell r="D199">
            <v>5400</v>
          </cell>
          <cell r="H199">
            <v>2093000</v>
          </cell>
          <cell r="I199">
            <v>2093000</v>
          </cell>
        </row>
        <row r="200">
          <cell r="C200" t="str">
            <v>FUEL B 8483 C FEB'06</v>
          </cell>
          <cell r="D200">
            <v>5400</v>
          </cell>
          <cell r="H200">
            <v>1950000</v>
          </cell>
          <cell r="I200">
            <v>1950000</v>
          </cell>
        </row>
        <row r="201">
          <cell r="C201" t="str">
            <v>FUEL B 8483 C MARCH'06</v>
          </cell>
          <cell r="D201">
            <v>5400</v>
          </cell>
          <cell r="H201">
            <v>2156000</v>
          </cell>
          <cell r="I201">
            <v>2156000</v>
          </cell>
        </row>
        <row r="202">
          <cell r="C202" t="str">
            <v>FUEL APRIL'06</v>
          </cell>
          <cell r="D202">
            <v>5400</v>
          </cell>
          <cell r="H202">
            <v>2100000</v>
          </cell>
          <cell r="I202">
            <v>2100000</v>
          </cell>
        </row>
        <row r="203">
          <cell r="C203" t="str">
            <v>FUEL B 8483 C MAY'06</v>
          </cell>
          <cell r="D203">
            <v>5400</v>
          </cell>
          <cell r="H203">
            <v>1220000</v>
          </cell>
          <cell r="I203">
            <v>1220000</v>
          </cell>
        </row>
        <row r="204">
          <cell r="C204" t="str">
            <v>FUEL B 8483 C JUNE'06</v>
          </cell>
          <cell r="D204">
            <v>5400</v>
          </cell>
          <cell r="H204">
            <v>2700000</v>
          </cell>
          <cell r="I204">
            <v>2700000</v>
          </cell>
        </row>
        <row r="205">
          <cell r="C205" t="str">
            <v>FUEL B 8483 C JULY'06</v>
          </cell>
          <cell r="D205">
            <v>5400</v>
          </cell>
          <cell r="H205">
            <v>2700000</v>
          </cell>
          <cell r="I205">
            <v>2700000</v>
          </cell>
        </row>
        <row r="206">
          <cell r="C206" t="str">
            <v>FOR 2005.12</v>
          </cell>
          <cell r="D206">
            <v>5402</v>
          </cell>
          <cell r="H206">
            <v>600000</v>
          </cell>
          <cell r="I206">
            <v>600000</v>
          </cell>
        </row>
        <row r="207">
          <cell r="I207">
            <v>15519000</v>
          </cell>
        </row>
        <row r="208">
          <cell r="C208" t="str">
            <v>FUEL DEC'05</v>
          </cell>
          <cell r="D208">
            <v>5502</v>
          </cell>
          <cell r="H208">
            <v>1659200</v>
          </cell>
          <cell r="I208">
            <v>1659200</v>
          </cell>
        </row>
        <row r="209">
          <cell r="I209">
            <v>1659200</v>
          </cell>
        </row>
        <row r="210">
          <cell r="C210" t="str">
            <v>FUEL B 8535 OE DEC'05</v>
          </cell>
          <cell r="D210">
            <v>5700</v>
          </cell>
          <cell r="H210">
            <v>1221500</v>
          </cell>
          <cell r="I210">
            <v>1221500</v>
          </cell>
        </row>
        <row r="211">
          <cell r="C211" t="str">
            <v>FUEL B 8535 OE JAN'06</v>
          </cell>
          <cell r="D211">
            <v>5700</v>
          </cell>
          <cell r="H211">
            <v>1344000</v>
          </cell>
          <cell r="I211">
            <v>1344000</v>
          </cell>
        </row>
        <row r="212">
          <cell r="C212" t="str">
            <v>FUEL B 8535 OE FEB'06</v>
          </cell>
          <cell r="D212">
            <v>5700</v>
          </cell>
          <cell r="H212">
            <v>1909800</v>
          </cell>
          <cell r="I212">
            <v>1909800</v>
          </cell>
        </row>
        <row r="213">
          <cell r="C213" t="str">
            <v>FUEL B 8535 OE MARCH'06</v>
          </cell>
          <cell r="D213">
            <v>5700</v>
          </cell>
          <cell r="H213">
            <v>1861700</v>
          </cell>
          <cell r="I213">
            <v>1861700</v>
          </cell>
        </row>
        <row r="214">
          <cell r="C214" t="str">
            <v>FUEL B 8535 OE APRIL'06</v>
          </cell>
          <cell r="D214">
            <v>5700</v>
          </cell>
          <cell r="H214">
            <v>1817000</v>
          </cell>
          <cell r="I214">
            <v>1817000</v>
          </cell>
        </row>
        <row r="215">
          <cell r="C215" t="str">
            <v>FUEL B 8535 OE MAY'06</v>
          </cell>
          <cell r="D215">
            <v>5700</v>
          </cell>
          <cell r="H215">
            <v>2167800</v>
          </cell>
          <cell r="I215">
            <v>2167800</v>
          </cell>
        </row>
        <row r="216">
          <cell r="C216" t="str">
            <v>FUEL B 8535 OE JULY'06</v>
          </cell>
          <cell r="D216">
            <v>5700</v>
          </cell>
          <cell r="H216">
            <v>448300</v>
          </cell>
          <cell r="I216">
            <v>448300</v>
          </cell>
        </row>
        <row r="217">
          <cell r="C217" t="str">
            <v>FUEL B 1854 BQ JUNE'06</v>
          </cell>
          <cell r="D217">
            <v>5700</v>
          </cell>
          <cell r="H217">
            <v>450000</v>
          </cell>
          <cell r="I217">
            <v>450000</v>
          </cell>
        </row>
        <row r="218">
          <cell r="C218" t="str">
            <v>FOR B.8535.OE IN JUNI'2006</v>
          </cell>
          <cell r="D218">
            <v>5702</v>
          </cell>
          <cell r="H218">
            <v>2512900</v>
          </cell>
          <cell r="I218">
            <v>2512900</v>
          </cell>
        </row>
      </sheetData>
      <sheetData sheetId="2" refreshError="1">
        <row r="216">
          <cell r="A216" t="str">
            <v>ID000100</v>
          </cell>
          <cell r="B216">
            <v>1810030750</v>
          </cell>
          <cell r="C216" t="str">
            <v>P55415</v>
          </cell>
          <cell r="D216">
            <v>100</v>
          </cell>
          <cell r="E216">
            <v>9012</v>
          </cell>
          <cell r="F216">
            <v>38489</v>
          </cell>
          <cell r="G216" t="str">
            <v>IDR</v>
          </cell>
          <cell r="H216">
            <v>855081</v>
          </cell>
          <cell r="I216">
            <v>855081</v>
          </cell>
          <cell r="J216">
            <v>0</v>
          </cell>
        </row>
        <row r="217">
          <cell r="A217" t="str">
            <v>ID000100</v>
          </cell>
          <cell r="B217">
            <v>1810030760</v>
          </cell>
          <cell r="C217" t="str">
            <v>P55415</v>
          </cell>
          <cell r="D217">
            <v>100</v>
          </cell>
          <cell r="E217">
            <v>9012</v>
          </cell>
          <cell r="F217">
            <v>38489</v>
          </cell>
          <cell r="G217" t="str">
            <v>IDR</v>
          </cell>
          <cell r="H217">
            <v>-855081</v>
          </cell>
          <cell r="I217">
            <v>-855081</v>
          </cell>
          <cell r="J217">
            <v>0</v>
          </cell>
        </row>
        <row r="218">
          <cell r="A218" t="str">
            <v>ID000100</v>
          </cell>
          <cell r="B218">
            <v>1810030768</v>
          </cell>
          <cell r="C218" t="str">
            <v>P55415</v>
          </cell>
          <cell r="D218">
            <v>100</v>
          </cell>
          <cell r="E218">
            <v>9012</v>
          </cell>
          <cell r="F218">
            <v>38489</v>
          </cell>
          <cell r="G218" t="str">
            <v>IDR</v>
          </cell>
          <cell r="H218">
            <v>-855081</v>
          </cell>
          <cell r="I218">
            <v>-855081</v>
          </cell>
          <cell r="J218">
            <v>0</v>
          </cell>
        </row>
        <row r="219">
          <cell r="A219" t="str">
            <v>SAIDI ROSADY</v>
          </cell>
          <cell r="B219">
            <v>1910066459</v>
          </cell>
          <cell r="C219" t="str">
            <v>CAR SHAMPO,BRUSH,BOX B.1133.FE</v>
          </cell>
          <cell r="D219">
            <v>100</v>
          </cell>
          <cell r="E219">
            <v>9012</v>
          </cell>
          <cell r="F219">
            <v>38429</v>
          </cell>
          <cell r="G219" t="str">
            <v>IDR</v>
          </cell>
          <cell r="H219">
            <v>97000</v>
          </cell>
          <cell r="I219">
            <v>97000</v>
          </cell>
          <cell r="J219">
            <v>0</v>
          </cell>
        </row>
        <row r="220">
          <cell r="A220" t="str">
            <v>PR 2000003899</v>
          </cell>
          <cell r="B220">
            <v>1910068257</v>
          </cell>
          <cell r="C220" t="str">
            <v>CAR COVER B.1133.FE</v>
          </cell>
          <cell r="D220">
            <v>100</v>
          </cell>
          <cell r="E220">
            <v>9012</v>
          </cell>
          <cell r="F220">
            <v>38489</v>
          </cell>
          <cell r="G220" t="str">
            <v>IDR</v>
          </cell>
          <cell r="H220">
            <v>700000</v>
          </cell>
          <cell r="I220">
            <v>700000</v>
          </cell>
          <cell r="J220">
            <v>0</v>
          </cell>
        </row>
        <row r="221">
          <cell r="A221" t="str">
            <v>ID000100</v>
          </cell>
          <cell r="B221">
            <v>5810003958</v>
          </cell>
          <cell r="C221" t="str">
            <v>P50412</v>
          </cell>
          <cell r="D221">
            <v>101</v>
          </cell>
          <cell r="E221">
            <v>9011</v>
          </cell>
          <cell r="F221">
            <v>38405</v>
          </cell>
          <cell r="G221" t="str">
            <v>IDR</v>
          </cell>
          <cell r="H221">
            <v>-34820</v>
          </cell>
          <cell r="I221">
            <v>-34820</v>
          </cell>
          <cell r="J221">
            <v>0</v>
          </cell>
        </row>
        <row r="222">
          <cell r="A222" t="str">
            <v>ID000100</v>
          </cell>
          <cell r="B222">
            <v>5810004032</v>
          </cell>
          <cell r="C222" t="str">
            <v>W50849</v>
          </cell>
          <cell r="D222">
            <v>101</v>
          </cell>
          <cell r="E222">
            <v>9011</v>
          </cell>
          <cell r="F222">
            <v>38413</v>
          </cell>
          <cell r="G222" t="str">
            <v>IDR</v>
          </cell>
          <cell r="H222">
            <v>917582</v>
          </cell>
          <cell r="I222">
            <v>917582</v>
          </cell>
          <cell r="J222">
            <v>0</v>
          </cell>
        </row>
        <row r="223">
          <cell r="A223" t="str">
            <v>ID000100</v>
          </cell>
          <cell r="B223">
            <v>5810004084</v>
          </cell>
          <cell r="C223" t="str">
            <v>W50849</v>
          </cell>
          <cell r="D223">
            <v>101</v>
          </cell>
          <cell r="E223">
            <v>9011</v>
          </cell>
          <cell r="F223">
            <v>38420</v>
          </cell>
          <cell r="G223" t="str">
            <v>IDR</v>
          </cell>
          <cell r="H223">
            <v>2429337</v>
          </cell>
          <cell r="I223">
            <v>2429337</v>
          </cell>
          <cell r="J223">
            <v>0</v>
          </cell>
        </row>
        <row r="224">
          <cell r="A224" t="str">
            <v>ID000100</v>
          </cell>
          <cell r="B224">
            <v>5810004111</v>
          </cell>
          <cell r="C224" t="str">
            <v>W50849</v>
          </cell>
          <cell r="D224">
            <v>101</v>
          </cell>
          <cell r="E224">
            <v>9011</v>
          </cell>
          <cell r="F224">
            <v>38427</v>
          </cell>
          <cell r="G224" t="str">
            <v>IDR</v>
          </cell>
          <cell r="H224">
            <v>126000</v>
          </cell>
          <cell r="I224">
            <v>126000</v>
          </cell>
          <cell r="J224">
            <v>0</v>
          </cell>
        </row>
        <row r="225">
          <cell r="A225" t="str">
            <v>ID000100</v>
          </cell>
          <cell r="B225">
            <v>5810004111</v>
          </cell>
          <cell r="C225" t="str">
            <v>W50849</v>
          </cell>
          <cell r="D225">
            <v>101</v>
          </cell>
          <cell r="E225">
            <v>9011</v>
          </cell>
          <cell r="F225">
            <v>38427</v>
          </cell>
          <cell r="G225" t="str">
            <v>IDR</v>
          </cell>
          <cell r="H225">
            <v>449624</v>
          </cell>
          <cell r="I225">
            <v>449624</v>
          </cell>
          <cell r="J225">
            <v>0</v>
          </cell>
        </row>
        <row r="226">
          <cell r="A226" t="str">
            <v>ID000100</v>
          </cell>
          <cell r="B226">
            <v>5810004111</v>
          </cell>
          <cell r="C226" t="str">
            <v>W50849</v>
          </cell>
          <cell r="D226">
            <v>101</v>
          </cell>
          <cell r="E226">
            <v>9011</v>
          </cell>
          <cell r="F226">
            <v>38427</v>
          </cell>
          <cell r="G226" t="str">
            <v>IDR</v>
          </cell>
          <cell r="H226">
            <v>14340</v>
          </cell>
          <cell r="I226">
            <v>14340</v>
          </cell>
          <cell r="J226">
            <v>0</v>
          </cell>
        </row>
        <row r="227">
          <cell r="A227" t="str">
            <v>ID000100</v>
          </cell>
          <cell r="B227">
            <v>5810004191</v>
          </cell>
          <cell r="C227" t="str">
            <v>W50849</v>
          </cell>
          <cell r="D227">
            <v>101</v>
          </cell>
          <cell r="E227">
            <v>9011</v>
          </cell>
          <cell r="F227">
            <v>38439</v>
          </cell>
          <cell r="G227" t="str">
            <v>IDR</v>
          </cell>
          <cell r="H227">
            <v>1514045</v>
          </cell>
          <cell r="I227">
            <v>1514045</v>
          </cell>
          <cell r="J227">
            <v>0</v>
          </cell>
        </row>
        <row r="228">
          <cell r="A228" t="str">
            <v>ID000100</v>
          </cell>
          <cell r="B228">
            <v>5810004226</v>
          </cell>
          <cell r="C228" t="str">
            <v>W52820</v>
          </cell>
          <cell r="D228">
            <v>101</v>
          </cell>
          <cell r="E228">
            <v>9011</v>
          </cell>
          <cell r="F228">
            <v>38447</v>
          </cell>
          <cell r="G228" t="str">
            <v>IDR</v>
          </cell>
          <cell r="H228">
            <v>90000</v>
          </cell>
          <cell r="I228">
            <v>90000</v>
          </cell>
          <cell r="J228">
            <v>0</v>
          </cell>
        </row>
        <row r="229">
          <cell r="A229" t="str">
            <v>ID000100</v>
          </cell>
          <cell r="B229">
            <v>5810004226</v>
          </cell>
          <cell r="C229" t="str">
            <v>W52820</v>
          </cell>
          <cell r="D229">
            <v>101</v>
          </cell>
          <cell r="E229">
            <v>9011</v>
          </cell>
          <cell r="F229">
            <v>38447</v>
          </cell>
          <cell r="G229" t="str">
            <v>IDR</v>
          </cell>
          <cell r="H229">
            <v>498662</v>
          </cell>
          <cell r="I229">
            <v>498662</v>
          </cell>
          <cell r="J229">
            <v>0</v>
          </cell>
        </row>
        <row r="230">
          <cell r="A230" t="str">
            <v>ID000100</v>
          </cell>
          <cell r="B230">
            <v>5810004229</v>
          </cell>
          <cell r="C230" t="str">
            <v>W50849</v>
          </cell>
          <cell r="D230">
            <v>101</v>
          </cell>
          <cell r="E230">
            <v>9011</v>
          </cell>
          <cell r="F230">
            <v>38447</v>
          </cell>
          <cell r="G230" t="str">
            <v>IDR</v>
          </cell>
          <cell r="H230">
            <v>70573</v>
          </cell>
          <cell r="I230">
            <v>70573</v>
          </cell>
          <cell r="J230">
            <v>0</v>
          </cell>
        </row>
        <row r="231">
          <cell r="A231" t="str">
            <v>ID000100</v>
          </cell>
          <cell r="B231">
            <v>5810004233</v>
          </cell>
          <cell r="C231" t="str">
            <v>W52820</v>
          </cell>
          <cell r="D231">
            <v>101</v>
          </cell>
          <cell r="E231">
            <v>9011</v>
          </cell>
          <cell r="F231">
            <v>38447</v>
          </cell>
          <cell r="G231" t="str">
            <v>IDR</v>
          </cell>
          <cell r="H231">
            <v>243000</v>
          </cell>
          <cell r="I231">
            <v>243000</v>
          </cell>
          <cell r="J231">
            <v>0</v>
          </cell>
        </row>
        <row r="232">
          <cell r="A232" t="str">
            <v>ID000100</v>
          </cell>
          <cell r="B232">
            <v>5810004383</v>
          </cell>
          <cell r="C232" t="str">
            <v>P53659</v>
          </cell>
          <cell r="D232">
            <v>101</v>
          </cell>
          <cell r="E232">
            <v>9011</v>
          </cell>
          <cell r="F232">
            <v>38460</v>
          </cell>
          <cell r="G232" t="str">
            <v>IDR</v>
          </cell>
          <cell r="H232">
            <v>8279000</v>
          </cell>
          <cell r="I232">
            <v>8279000</v>
          </cell>
          <cell r="J232">
            <v>0</v>
          </cell>
        </row>
        <row r="233">
          <cell r="A233" t="str">
            <v>ID000100</v>
          </cell>
          <cell r="B233">
            <v>5810004383</v>
          </cell>
          <cell r="C233" t="str">
            <v>P53659</v>
          </cell>
          <cell r="D233">
            <v>101</v>
          </cell>
          <cell r="E233">
            <v>9011</v>
          </cell>
          <cell r="F233">
            <v>38460</v>
          </cell>
          <cell r="G233" t="str">
            <v>IDR</v>
          </cell>
          <cell r="H233">
            <v>11710125</v>
          </cell>
          <cell r="I233">
            <v>11710125</v>
          </cell>
          <cell r="J233">
            <v>0</v>
          </cell>
        </row>
        <row r="234">
          <cell r="A234" t="str">
            <v>ID000100</v>
          </cell>
          <cell r="B234">
            <v>5810004469</v>
          </cell>
          <cell r="C234" t="str">
            <v>P54880</v>
          </cell>
          <cell r="D234">
            <v>101</v>
          </cell>
          <cell r="E234">
            <v>9011</v>
          </cell>
          <cell r="F234">
            <v>38482</v>
          </cell>
          <cell r="G234" t="str">
            <v>IDR</v>
          </cell>
          <cell r="H234">
            <v>631545</v>
          </cell>
          <cell r="I234">
            <v>631545</v>
          </cell>
          <cell r="J234">
            <v>0</v>
          </cell>
        </row>
        <row r="235">
          <cell r="A235" t="str">
            <v>ID000100</v>
          </cell>
          <cell r="B235">
            <v>5810004469</v>
          </cell>
          <cell r="C235" t="str">
            <v>P54880</v>
          </cell>
          <cell r="D235">
            <v>101</v>
          </cell>
          <cell r="E235">
            <v>9011</v>
          </cell>
          <cell r="F235">
            <v>38482</v>
          </cell>
          <cell r="G235" t="str">
            <v>IDR</v>
          </cell>
          <cell r="H235">
            <v>33425</v>
          </cell>
          <cell r="I235">
            <v>33425</v>
          </cell>
          <cell r="J235">
            <v>0</v>
          </cell>
        </row>
        <row r="236">
          <cell r="A236" t="str">
            <v>ID000100</v>
          </cell>
          <cell r="B236">
            <v>5810004472</v>
          </cell>
          <cell r="C236" t="str">
            <v>P54979</v>
          </cell>
          <cell r="D236">
            <v>101</v>
          </cell>
          <cell r="E236">
            <v>9011</v>
          </cell>
          <cell r="F236">
            <v>38482</v>
          </cell>
          <cell r="G236" t="str">
            <v>IDR</v>
          </cell>
          <cell r="H236">
            <v>1542232</v>
          </cell>
          <cell r="I236">
            <v>1542232</v>
          </cell>
          <cell r="J236">
            <v>0</v>
          </cell>
        </row>
        <row r="237">
          <cell r="A237" t="str">
            <v>ID000100</v>
          </cell>
          <cell r="B237">
            <v>5810004485</v>
          </cell>
          <cell r="C237" t="str">
            <v>P54979</v>
          </cell>
          <cell r="D237">
            <v>101</v>
          </cell>
          <cell r="E237">
            <v>9011</v>
          </cell>
          <cell r="F237">
            <v>38488</v>
          </cell>
          <cell r="G237" t="str">
            <v>IDR</v>
          </cell>
          <cell r="H237">
            <v>145328</v>
          </cell>
          <cell r="I237">
            <v>145328</v>
          </cell>
          <cell r="J237">
            <v>0</v>
          </cell>
        </row>
        <row r="238">
          <cell r="A238" t="str">
            <v>ID000100</v>
          </cell>
          <cell r="B238">
            <v>5810004485</v>
          </cell>
          <cell r="C238" t="str">
            <v>P54979</v>
          </cell>
          <cell r="D238">
            <v>101</v>
          </cell>
          <cell r="E238">
            <v>9011</v>
          </cell>
          <cell r="F238">
            <v>38488</v>
          </cell>
          <cell r="G238" t="str">
            <v>IDR</v>
          </cell>
          <cell r="H238">
            <v>10630</v>
          </cell>
          <cell r="I238">
            <v>10630</v>
          </cell>
          <cell r="J238">
            <v>0</v>
          </cell>
        </row>
        <row r="239">
          <cell r="A239" t="str">
            <v>ID000100</v>
          </cell>
          <cell r="B239">
            <v>5810004493</v>
          </cell>
          <cell r="C239" t="str">
            <v>P55415</v>
          </cell>
          <cell r="D239">
            <v>101</v>
          </cell>
          <cell r="E239">
            <v>9011</v>
          </cell>
          <cell r="F239">
            <v>38489</v>
          </cell>
          <cell r="G239" t="str">
            <v>IDR</v>
          </cell>
          <cell r="H239">
            <v>855081</v>
          </cell>
          <cell r="I239">
            <v>855081</v>
          </cell>
          <cell r="J239">
            <v>0</v>
          </cell>
        </row>
        <row r="240">
          <cell r="A240" t="str">
            <v>ID000100</v>
          </cell>
          <cell r="B240">
            <v>5810004502</v>
          </cell>
          <cell r="C240" t="str">
            <v>P55415</v>
          </cell>
          <cell r="D240">
            <v>101</v>
          </cell>
          <cell r="E240">
            <v>9011</v>
          </cell>
          <cell r="F240">
            <v>38489</v>
          </cell>
          <cell r="G240" t="str">
            <v>IDR</v>
          </cell>
          <cell r="H240">
            <v>855081</v>
          </cell>
          <cell r="I240">
            <v>855081</v>
          </cell>
          <cell r="J240">
            <v>0</v>
          </cell>
        </row>
        <row r="241">
          <cell r="A241" t="str">
            <v>ID000100</v>
          </cell>
          <cell r="B241">
            <v>5810004521</v>
          </cell>
          <cell r="C241" t="str">
            <v>P54979</v>
          </cell>
          <cell r="D241">
            <v>101</v>
          </cell>
          <cell r="E241">
            <v>9011</v>
          </cell>
          <cell r="F241">
            <v>38491</v>
          </cell>
          <cell r="G241" t="str">
            <v>IDR</v>
          </cell>
          <cell r="H241">
            <v>4242448</v>
          </cell>
          <cell r="I241">
            <v>4242448</v>
          </cell>
          <cell r="J241">
            <v>0</v>
          </cell>
        </row>
        <row r="242">
          <cell r="A242" t="str">
            <v>ID000100</v>
          </cell>
          <cell r="B242">
            <v>5810004521</v>
          </cell>
          <cell r="C242" t="str">
            <v>P54979</v>
          </cell>
          <cell r="D242">
            <v>101</v>
          </cell>
          <cell r="E242">
            <v>9011</v>
          </cell>
          <cell r="F242">
            <v>38491</v>
          </cell>
          <cell r="G242" t="str">
            <v>IDR</v>
          </cell>
          <cell r="H242">
            <v>159755</v>
          </cell>
          <cell r="I242">
            <v>159755</v>
          </cell>
          <cell r="J242">
            <v>0</v>
          </cell>
        </row>
        <row r="243">
          <cell r="A243" t="str">
            <v>ID000100</v>
          </cell>
          <cell r="B243">
            <v>5810005027</v>
          </cell>
          <cell r="C243" t="str">
            <v>W62581</v>
          </cell>
          <cell r="D243">
            <v>101</v>
          </cell>
          <cell r="E243">
            <v>9011</v>
          </cell>
          <cell r="F243">
            <v>38608</v>
          </cell>
          <cell r="G243" t="str">
            <v>IDR</v>
          </cell>
          <cell r="H243">
            <v>356287</v>
          </cell>
          <cell r="I243">
            <v>356287</v>
          </cell>
          <cell r="J243">
            <v>0</v>
          </cell>
        </row>
        <row r="244">
          <cell r="A244" t="str">
            <v>ID000100</v>
          </cell>
          <cell r="B244">
            <v>5810005220</v>
          </cell>
          <cell r="C244" t="str">
            <v>W65351</v>
          </cell>
          <cell r="D244">
            <v>101</v>
          </cell>
          <cell r="E244">
            <v>9011</v>
          </cell>
          <cell r="F244">
            <v>38645</v>
          </cell>
          <cell r="G244" t="str">
            <v>IDR</v>
          </cell>
          <cell r="H244">
            <v>198000</v>
          </cell>
          <cell r="I244">
            <v>198000</v>
          </cell>
          <cell r="J244">
            <v>0</v>
          </cell>
        </row>
        <row r="245">
          <cell r="A245" t="str">
            <v>ID000100</v>
          </cell>
          <cell r="B245">
            <v>5810005220</v>
          </cell>
          <cell r="C245" t="str">
            <v>W65351</v>
          </cell>
          <cell r="D245">
            <v>101</v>
          </cell>
          <cell r="E245">
            <v>9011</v>
          </cell>
          <cell r="F245">
            <v>38645</v>
          </cell>
          <cell r="G245" t="str">
            <v>IDR</v>
          </cell>
          <cell r="H245">
            <v>191142</v>
          </cell>
          <cell r="I245">
            <v>191142</v>
          </cell>
          <cell r="J245">
            <v>0</v>
          </cell>
        </row>
        <row r="246">
          <cell r="I246">
            <v>35470341</v>
          </cell>
        </row>
        <row r="247">
          <cell r="A247">
            <v>200</v>
          </cell>
          <cell r="B247">
            <v>1810031208</v>
          </cell>
          <cell r="C247" t="str">
            <v>18710/09-W58633-ID100200</v>
          </cell>
          <cell r="D247">
            <v>200</v>
          </cell>
          <cell r="E247">
            <v>9012</v>
          </cell>
          <cell r="F247">
            <v>38541</v>
          </cell>
          <cell r="G247" t="str">
            <v>IDR</v>
          </cell>
          <cell r="H247">
            <v>1282429</v>
          </cell>
          <cell r="I247">
            <v>1282429</v>
          </cell>
          <cell r="J247">
            <v>0</v>
          </cell>
        </row>
        <row r="248">
          <cell r="A248" t="str">
            <v>SAIDI ROSADY</v>
          </cell>
          <cell r="B248">
            <v>1910066459</v>
          </cell>
          <cell r="C248" t="str">
            <v>TIRE REPAIR B.8438.OF</v>
          </cell>
          <cell r="D248">
            <v>200</v>
          </cell>
          <cell r="E248">
            <v>9012</v>
          </cell>
          <cell r="F248">
            <v>38429</v>
          </cell>
          <cell r="G248" t="str">
            <v>IDR</v>
          </cell>
          <cell r="H248">
            <v>10000</v>
          </cell>
          <cell r="I248">
            <v>10000</v>
          </cell>
          <cell r="J248">
            <v>0</v>
          </cell>
        </row>
        <row r="249">
          <cell r="A249" t="str">
            <v>ID000200</v>
          </cell>
          <cell r="B249">
            <v>5810003533</v>
          </cell>
          <cell r="C249" t="str">
            <v>W45677</v>
          </cell>
          <cell r="D249">
            <v>201</v>
          </cell>
          <cell r="E249">
            <v>9011</v>
          </cell>
          <cell r="F249">
            <v>38365</v>
          </cell>
          <cell r="G249" t="str">
            <v>IDR</v>
          </cell>
          <cell r="H249">
            <v>-1596847</v>
          </cell>
          <cell r="I249">
            <v>-1596847</v>
          </cell>
          <cell r="J249">
            <v>0</v>
          </cell>
        </row>
        <row r="250">
          <cell r="A250" t="str">
            <v>ID000200</v>
          </cell>
          <cell r="B250">
            <v>5810003759</v>
          </cell>
          <cell r="C250" t="str">
            <v>P45462</v>
          </cell>
          <cell r="D250">
            <v>201</v>
          </cell>
          <cell r="E250">
            <v>9011</v>
          </cell>
          <cell r="F250">
            <v>38370</v>
          </cell>
          <cell r="G250" t="str">
            <v>IDR</v>
          </cell>
          <cell r="H250">
            <v>602768</v>
          </cell>
          <cell r="I250">
            <v>602768</v>
          </cell>
          <cell r="J250">
            <v>0</v>
          </cell>
        </row>
        <row r="251">
          <cell r="A251" t="str">
            <v>ID000200</v>
          </cell>
          <cell r="B251">
            <v>5810004435</v>
          </cell>
          <cell r="C251" t="str">
            <v>W53970</v>
          </cell>
          <cell r="D251">
            <v>201</v>
          </cell>
          <cell r="E251">
            <v>9011</v>
          </cell>
          <cell r="F251">
            <v>38471</v>
          </cell>
          <cell r="G251" t="str">
            <v>IDR</v>
          </cell>
          <cell r="H251">
            <v>18000</v>
          </cell>
          <cell r="I251">
            <v>18000</v>
          </cell>
          <cell r="J251">
            <v>0</v>
          </cell>
        </row>
        <row r="252">
          <cell r="A252" t="str">
            <v>ID000200</v>
          </cell>
          <cell r="B252">
            <v>5810004435</v>
          </cell>
          <cell r="C252" t="str">
            <v>W53970</v>
          </cell>
          <cell r="D252">
            <v>201</v>
          </cell>
          <cell r="E252">
            <v>9011</v>
          </cell>
          <cell r="F252">
            <v>38471</v>
          </cell>
          <cell r="G252" t="str">
            <v>IDR</v>
          </cell>
          <cell r="H252">
            <v>1181276</v>
          </cell>
          <cell r="I252">
            <v>1181276</v>
          </cell>
          <cell r="J252">
            <v>0</v>
          </cell>
        </row>
        <row r="253">
          <cell r="I253">
            <v>1497626</v>
          </cell>
        </row>
        <row r="254">
          <cell r="A254" t="str">
            <v>ID000500</v>
          </cell>
          <cell r="B254">
            <v>5810003760</v>
          </cell>
          <cell r="C254" t="str">
            <v>P46151</v>
          </cell>
          <cell r="D254">
            <v>501</v>
          </cell>
          <cell r="E254">
            <v>9011</v>
          </cell>
          <cell r="F254">
            <v>38370</v>
          </cell>
          <cell r="G254" t="str">
            <v>IDR</v>
          </cell>
          <cell r="H254">
            <v>11105027</v>
          </cell>
          <cell r="I254">
            <v>11105027</v>
          </cell>
          <cell r="J254">
            <v>0</v>
          </cell>
        </row>
        <row r="255">
          <cell r="A255" t="str">
            <v>ID000500</v>
          </cell>
          <cell r="B255">
            <v>5810003760</v>
          </cell>
          <cell r="C255" t="str">
            <v>P46151</v>
          </cell>
          <cell r="D255">
            <v>501</v>
          </cell>
          <cell r="E255">
            <v>9011</v>
          </cell>
          <cell r="F255">
            <v>38370</v>
          </cell>
          <cell r="G255" t="str">
            <v>IDR</v>
          </cell>
          <cell r="H255">
            <v>79898</v>
          </cell>
          <cell r="I255">
            <v>79898</v>
          </cell>
          <cell r="J255">
            <v>0</v>
          </cell>
        </row>
        <row r="256">
          <cell r="A256" t="str">
            <v>ID000500</v>
          </cell>
          <cell r="B256">
            <v>5810004785</v>
          </cell>
          <cell r="C256" t="str">
            <v>W56752</v>
          </cell>
          <cell r="D256">
            <v>501</v>
          </cell>
          <cell r="E256">
            <v>9011</v>
          </cell>
          <cell r="F256">
            <v>38553</v>
          </cell>
          <cell r="G256" t="str">
            <v>IDR</v>
          </cell>
          <cell r="H256">
            <v>253932</v>
          </cell>
          <cell r="I256">
            <v>253932</v>
          </cell>
          <cell r="J256">
            <v>0</v>
          </cell>
        </row>
        <row r="257">
          <cell r="A257" t="str">
            <v>ID000500</v>
          </cell>
          <cell r="B257">
            <v>5810005046</v>
          </cell>
          <cell r="C257" t="str">
            <v>P63085</v>
          </cell>
          <cell r="D257">
            <v>501</v>
          </cell>
          <cell r="E257">
            <v>9011</v>
          </cell>
          <cell r="F257">
            <v>38610</v>
          </cell>
          <cell r="G257" t="str">
            <v>IDR</v>
          </cell>
          <cell r="H257">
            <v>900000</v>
          </cell>
          <cell r="I257">
            <v>900000</v>
          </cell>
          <cell r="J257">
            <v>0</v>
          </cell>
        </row>
        <row r="258">
          <cell r="A258" t="str">
            <v>ID000500</v>
          </cell>
          <cell r="B258">
            <v>5810005275</v>
          </cell>
          <cell r="C258" t="str">
            <v>P10084</v>
          </cell>
          <cell r="D258">
            <v>501</v>
          </cell>
          <cell r="E258">
            <v>9011</v>
          </cell>
          <cell r="F258">
            <v>38664</v>
          </cell>
          <cell r="G258" t="str">
            <v>IDR</v>
          </cell>
          <cell r="H258">
            <v>2575824</v>
          </cell>
          <cell r="I258">
            <v>2575824</v>
          </cell>
          <cell r="J258">
            <v>0</v>
          </cell>
        </row>
        <row r="259">
          <cell r="A259" t="str">
            <v>ID000520</v>
          </cell>
          <cell r="B259">
            <v>1810031867</v>
          </cell>
          <cell r="C259" t="str">
            <v>P64039</v>
          </cell>
          <cell r="D259">
            <v>520</v>
          </cell>
          <cell r="E259">
            <v>9011</v>
          </cell>
          <cell r="F259">
            <v>38630</v>
          </cell>
          <cell r="G259" t="str">
            <v>IDR</v>
          </cell>
          <cell r="H259">
            <v>495595</v>
          </cell>
          <cell r="I259">
            <v>495595</v>
          </cell>
          <cell r="J259">
            <v>0</v>
          </cell>
        </row>
        <row r="260">
          <cell r="A260">
            <v>520</v>
          </cell>
          <cell r="B260">
            <v>5010012991</v>
          </cell>
          <cell r="C260" t="str">
            <v>Side windows&amp;Rear windows</v>
          </cell>
          <cell r="D260">
            <v>520</v>
          </cell>
          <cell r="E260">
            <v>9011</v>
          </cell>
          <cell r="F260">
            <v>38680</v>
          </cell>
          <cell r="G260" t="str">
            <v>IDR</v>
          </cell>
          <cell r="H260">
            <v>578400</v>
          </cell>
          <cell r="I260">
            <v>578400</v>
          </cell>
          <cell r="J260">
            <v>1</v>
          </cell>
        </row>
        <row r="261">
          <cell r="A261">
            <v>520</v>
          </cell>
          <cell r="B261">
            <v>5010012991</v>
          </cell>
          <cell r="C261" t="str">
            <v>Front windshield</v>
          </cell>
          <cell r="D261">
            <v>520</v>
          </cell>
          <cell r="E261">
            <v>9011</v>
          </cell>
          <cell r="F261">
            <v>38680</v>
          </cell>
          <cell r="G261" t="str">
            <v>IDR</v>
          </cell>
          <cell r="H261">
            <v>630000</v>
          </cell>
          <cell r="I261">
            <v>630000</v>
          </cell>
          <cell r="J261">
            <v>1</v>
          </cell>
        </row>
        <row r="262">
          <cell r="A262" t="str">
            <v>ID000520</v>
          </cell>
          <cell r="B262">
            <v>5810005471</v>
          </cell>
          <cell r="C262" t="str">
            <v>P65065</v>
          </cell>
          <cell r="D262">
            <v>521</v>
          </cell>
          <cell r="E262">
            <v>9011</v>
          </cell>
          <cell r="F262">
            <v>38708</v>
          </cell>
          <cell r="G262" t="str">
            <v>IDR</v>
          </cell>
          <cell r="H262">
            <v>514822</v>
          </cell>
          <cell r="I262">
            <v>514822</v>
          </cell>
          <cell r="J262">
            <v>0</v>
          </cell>
        </row>
        <row r="263">
          <cell r="I263">
            <v>17133498</v>
          </cell>
        </row>
        <row r="264">
          <cell r="A264" t="str">
            <v>ID001100</v>
          </cell>
          <cell r="B264">
            <v>5810003825</v>
          </cell>
          <cell r="C264" t="str">
            <v>P49219</v>
          </cell>
          <cell r="D264">
            <v>1101</v>
          </cell>
          <cell r="E264">
            <v>9011</v>
          </cell>
          <cell r="F264">
            <v>38384</v>
          </cell>
          <cell r="G264" t="str">
            <v>IDR</v>
          </cell>
          <cell r="H264">
            <v>515388</v>
          </cell>
          <cell r="I264">
            <v>515388</v>
          </cell>
          <cell r="J264">
            <v>0</v>
          </cell>
        </row>
        <row r="265">
          <cell r="A265" t="str">
            <v>ID001100</v>
          </cell>
          <cell r="B265">
            <v>5810003936</v>
          </cell>
          <cell r="C265" t="str">
            <v>W46607</v>
          </cell>
          <cell r="D265">
            <v>1101</v>
          </cell>
          <cell r="E265">
            <v>9011</v>
          </cell>
          <cell r="F265">
            <v>38404</v>
          </cell>
          <cell r="G265" t="str">
            <v>IDR</v>
          </cell>
          <cell r="H265">
            <v>135000</v>
          </cell>
          <cell r="I265">
            <v>135000</v>
          </cell>
          <cell r="J265">
            <v>0</v>
          </cell>
        </row>
        <row r="266">
          <cell r="A266" t="str">
            <v>ID001100</v>
          </cell>
          <cell r="B266">
            <v>5810003936</v>
          </cell>
          <cell r="C266" t="str">
            <v>W46607</v>
          </cell>
          <cell r="D266">
            <v>1101</v>
          </cell>
          <cell r="E266">
            <v>9011</v>
          </cell>
          <cell r="F266">
            <v>38404</v>
          </cell>
          <cell r="G266" t="str">
            <v>IDR</v>
          </cell>
          <cell r="H266">
            <v>2300650</v>
          </cell>
          <cell r="I266">
            <v>2300650</v>
          </cell>
          <cell r="J266">
            <v>0</v>
          </cell>
        </row>
        <row r="267">
          <cell r="I267">
            <v>2951038</v>
          </cell>
        </row>
        <row r="268">
          <cell r="A268">
            <v>1200</v>
          </cell>
          <cell r="B268">
            <v>5010012070</v>
          </cell>
          <cell r="C268" t="str">
            <v>Glass film for Mr. Benny J's co. car</v>
          </cell>
          <cell r="D268">
            <v>1200</v>
          </cell>
          <cell r="E268">
            <v>9012</v>
          </cell>
          <cell r="F268">
            <v>38385</v>
          </cell>
          <cell r="G268" t="str">
            <v>IDR</v>
          </cell>
          <cell r="H268">
            <v>2826722</v>
          </cell>
          <cell r="I268">
            <v>2826722</v>
          </cell>
          <cell r="J268">
            <v>1</v>
          </cell>
        </row>
        <row r="269">
          <cell r="A269">
            <v>1200</v>
          </cell>
          <cell r="B269">
            <v>5010012080</v>
          </cell>
          <cell r="C269" t="str">
            <v>Glass film for Mr. Benny J's co. car</v>
          </cell>
          <cell r="D269">
            <v>1200</v>
          </cell>
          <cell r="E269">
            <v>9012</v>
          </cell>
          <cell r="F269">
            <v>38387</v>
          </cell>
          <cell r="G269" t="str">
            <v>IDR</v>
          </cell>
          <cell r="H269">
            <v>-2826722</v>
          </cell>
          <cell r="I269">
            <v>-2826722</v>
          </cell>
          <cell r="J269">
            <v>-1</v>
          </cell>
        </row>
        <row r="270">
          <cell r="A270">
            <v>1200</v>
          </cell>
          <cell r="B270">
            <v>5010012084</v>
          </cell>
          <cell r="C270" t="str">
            <v>Glass film for Mr. Benny J's co. car</v>
          </cell>
          <cell r="D270">
            <v>1200</v>
          </cell>
          <cell r="E270">
            <v>9012</v>
          </cell>
          <cell r="F270">
            <v>38390</v>
          </cell>
          <cell r="G270" t="str">
            <v>IDR</v>
          </cell>
          <cell r="H270">
            <v>2826722</v>
          </cell>
          <cell r="I270">
            <v>2826722</v>
          </cell>
          <cell r="J270">
            <v>1</v>
          </cell>
        </row>
        <row r="271">
          <cell r="A271" t="str">
            <v>ID001200</v>
          </cell>
          <cell r="B271">
            <v>5810004566</v>
          </cell>
          <cell r="C271" t="str">
            <v>W54590</v>
          </cell>
          <cell r="D271">
            <v>1201</v>
          </cell>
          <cell r="E271">
            <v>9011</v>
          </cell>
          <cell r="F271">
            <v>38498</v>
          </cell>
          <cell r="G271" t="str">
            <v>IDR</v>
          </cell>
          <cell r="H271">
            <v>144000</v>
          </cell>
          <cell r="I271">
            <v>144000</v>
          </cell>
          <cell r="J271">
            <v>0</v>
          </cell>
        </row>
        <row r="272">
          <cell r="A272" t="str">
            <v>ID001200</v>
          </cell>
          <cell r="B272">
            <v>5810004566</v>
          </cell>
          <cell r="C272" t="str">
            <v>W54590</v>
          </cell>
          <cell r="D272">
            <v>1201</v>
          </cell>
          <cell r="E272">
            <v>9011</v>
          </cell>
          <cell r="F272">
            <v>38498</v>
          </cell>
          <cell r="G272" t="str">
            <v>IDR</v>
          </cell>
          <cell r="H272">
            <v>1950678</v>
          </cell>
          <cell r="I272">
            <v>1950678</v>
          </cell>
          <cell r="J272">
            <v>0</v>
          </cell>
        </row>
        <row r="273">
          <cell r="A273" t="str">
            <v>ID001200</v>
          </cell>
          <cell r="B273">
            <v>5810004566</v>
          </cell>
          <cell r="C273" t="str">
            <v>W54590</v>
          </cell>
          <cell r="D273">
            <v>1201</v>
          </cell>
          <cell r="E273">
            <v>9011</v>
          </cell>
          <cell r="F273">
            <v>38498</v>
          </cell>
          <cell r="G273" t="str">
            <v>IDR</v>
          </cell>
          <cell r="H273">
            <v>15810</v>
          </cell>
          <cell r="I273">
            <v>15810</v>
          </cell>
          <cell r="J273">
            <v>0</v>
          </cell>
        </row>
        <row r="274">
          <cell r="I274">
            <v>4937210</v>
          </cell>
        </row>
        <row r="275">
          <cell r="A275" t="str">
            <v>ID001500</v>
          </cell>
          <cell r="B275">
            <v>5810004401</v>
          </cell>
          <cell r="C275" t="str">
            <v>W53887</v>
          </cell>
          <cell r="D275">
            <v>1501</v>
          </cell>
          <cell r="E275">
            <v>9011</v>
          </cell>
          <cell r="F275">
            <v>38467</v>
          </cell>
          <cell r="G275" t="str">
            <v>IDR</v>
          </cell>
          <cell r="H275">
            <v>1261367</v>
          </cell>
          <cell r="I275">
            <v>1261367</v>
          </cell>
          <cell r="J275">
            <v>0</v>
          </cell>
        </row>
        <row r="276">
          <cell r="A276" t="str">
            <v>ID001500</v>
          </cell>
          <cell r="B276">
            <v>5810005407</v>
          </cell>
          <cell r="C276" t="str">
            <v>W11472</v>
          </cell>
          <cell r="D276">
            <v>1501</v>
          </cell>
          <cell r="E276">
            <v>9011</v>
          </cell>
          <cell r="F276">
            <v>38691</v>
          </cell>
          <cell r="G276" t="str">
            <v>IDR</v>
          </cell>
          <cell r="H276">
            <v>1871927</v>
          </cell>
          <cell r="I276">
            <v>1871927</v>
          </cell>
          <cell r="J276">
            <v>0</v>
          </cell>
        </row>
        <row r="277">
          <cell r="A277" t="str">
            <v>ID001500</v>
          </cell>
          <cell r="B277">
            <v>5810005408</v>
          </cell>
          <cell r="C277" t="str">
            <v>W11472</v>
          </cell>
          <cell r="D277">
            <v>1501</v>
          </cell>
          <cell r="E277">
            <v>9011</v>
          </cell>
          <cell r="F277">
            <v>38691</v>
          </cell>
          <cell r="G277" t="str">
            <v>IDR</v>
          </cell>
          <cell r="H277">
            <v>81000</v>
          </cell>
          <cell r="I277">
            <v>81000</v>
          </cell>
          <cell r="J277">
            <v>0</v>
          </cell>
        </row>
        <row r="278">
          <cell r="A278" t="str">
            <v>HARALD HAU</v>
          </cell>
          <cell r="B278">
            <v>1920100553</v>
          </cell>
          <cell r="C278" t="str">
            <v>TAMBAL BAN ON 18.05.2005</v>
          </cell>
          <cell r="D278">
            <v>1512</v>
          </cell>
          <cell r="E278">
            <v>9012</v>
          </cell>
          <cell r="F278">
            <v>38506</v>
          </cell>
          <cell r="G278" t="str">
            <v>IDR</v>
          </cell>
          <cell r="H278">
            <v>10000</v>
          </cell>
          <cell r="I278">
            <v>10000</v>
          </cell>
          <cell r="J278">
            <v>0</v>
          </cell>
        </row>
        <row r="279">
          <cell r="A279" t="str">
            <v>NV.MASS</v>
          </cell>
          <cell r="B279">
            <v>1920105857</v>
          </cell>
          <cell r="C279" t="str">
            <v>GLASS FILM CAR OF MR.HAU B.8529 OE</v>
          </cell>
          <cell r="D279">
            <v>1512</v>
          </cell>
          <cell r="E279">
            <v>9012</v>
          </cell>
          <cell r="F279">
            <v>38654</v>
          </cell>
          <cell r="G279" t="str">
            <v>IDR</v>
          </cell>
          <cell r="H279">
            <v>2594788</v>
          </cell>
          <cell r="I279">
            <v>2594788</v>
          </cell>
          <cell r="J279">
            <v>0</v>
          </cell>
        </row>
        <row r="280">
          <cell r="I280">
            <v>5819082</v>
          </cell>
        </row>
        <row r="281">
          <cell r="A281" t="str">
            <v>ID002100</v>
          </cell>
          <cell r="B281">
            <v>110194376</v>
          </cell>
          <cell r="C281" t="str">
            <v>W50850</v>
          </cell>
          <cell r="D281">
            <v>2101</v>
          </cell>
          <cell r="E281">
            <v>9011</v>
          </cell>
          <cell r="F281">
            <v>38455</v>
          </cell>
          <cell r="G281" t="str">
            <v>IDR</v>
          </cell>
          <cell r="H281">
            <v>1719000</v>
          </cell>
          <cell r="I281">
            <v>1719000</v>
          </cell>
          <cell r="J281">
            <v>0</v>
          </cell>
        </row>
        <row r="282">
          <cell r="A282" t="str">
            <v>ID002100</v>
          </cell>
          <cell r="B282">
            <v>5810003539</v>
          </cell>
          <cell r="C282" t="str">
            <v>W45100</v>
          </cell>
          <cell r="D282">
            <v>2101</v>
          </cell>
          <cell r="E282">
            <v>9011</v>
          </cell>
          <cell r="F282">
            <v>38365</v>
          </cell>
          <cell r="G282" t="str">
            <v>IDR</v>
          </cell>
          <cell r="H282">
            <v>-2083220</v>
          </cell>
          <cell r="I282">
            <v>-2083220</v>
          </cell>
          <cell r="J282">
            <v>0</v>
          </cell>
        </row>
        <row r="283">
          <cell r="A283" t="str">
            <v>ID002100</v>
          </cell>
          <cell r="B283">
            <v>5810003545</v>
          </cell>
          <cell r="C283" t="str">
            <v>W40565</v>
          </cell>
          <cell r="D283">
            <v>2101</v>
          </cell>
          <cell r="E283">
            <v>9011</v>
          </cell>
          <cell r="F283">
            <v>38356</v>
          </cell>
          <cell r="G283" t="str">
            <v>IDR</v>
          </cell>
          <cell r="H283">
            <v>3704286</v>
          </cell>
          <cell r="I283">
            <v>3704286</v>
          </cell>
          <cell r="J283">
            <v>0</v>
          </cell>
        </row>
        <row r="284">
          <cell r="A284" t="str">
            <v>ID002100</v>
          </cell>
          <cell r="B284">
            <v>5810003742</v>
          </cell>
          <cell r="C284" t="str">
            <v>W45100</v>
          </cell>
          <cell r="D284">
            <v>2101</v>
          </cell>
          <cell r="E284">
            <v>9011</v>
          </cell>
          <cell r="F284">
            <v>38366</v>
          </cell>
          <cell r="G284" t="str">
            <v>IDR</v>
          </cell>
          <cell r="H284">
            <v>432000</v>
          </cell>
          <cell r="I284">
            <v>432000</v>
          </cell>
          <cell r="J284">
            <v>0</v>
          </cell>
        </row>
        <row r="285">
          <cell r="A285" t="str">
            <v>ID002100</v>
          </cell>
          <cell r="B285">
            <v>5810003742</v>
          </cell>
          <cell r="C285" t="str">
            <v>W45100</v>
          </cell>
          <cell r="D285">
            <v>2101</v>
          </cell>
          <cell r="E285">
            <v>9011</v>
          </cell>
          <cell r="F285">
            <v>38366</v>
          </cell>
          <cell r="G285" t="str">
            <v>IDR</v>
          </cell>
          <cell r="H285">
            <v>352090</v>
          </cell>
          <cell r="I285">
            <v>352090</v>
          </cell>
          <cell r="J285">
            <v>0</v>
          </cell>
        </row>
        <row r="286">
          <cell r="A286" t="str">
            <v>ID002100</v>
          </cell>
          <cell r="B286">
            <v>5810003957</v>
          </cell>
          <cell r="C286" t="str">
            <v>W45100</v>
          </cell>
          <cell r="D286">
            <v>2101</v>
          </cell>
          <cell r="E286">
            <v>9011</v>
          </cell>
          <cell r="F286">
            <v>38405</v>
          </cell>
          <cell r="G286" t="str">
            <v>IDR</v>
          </cell>
          <cell r="H286">
            <v>-97920</v>
          </cell>
          <cell r="I286">
            <v>-97920</v>
          </cell>
          <cell r="J286">
            <v>0</v>
          </cell>
        </row>
        <row r="287">
          <cell r="A287" t="str">
            <v>ID002100</v>
          </cell>
          <cell r="B287">
            <v>5810004026</v>
          </cell>
          <cell r="C287" t="str">
            <v>W50850</v>
          </cell>
          <cell r="D287">
            <v>2101</v>
          </cell>
          <cell r="E287">
            <v>9011</v>
          </cell>
          <cell r="F287">
            <v>38413</v>
          </cell>
          <cell r="G287" t="str">
            <v>IDR</v>
          </cell>
          <cell r="H287">
            <v>1178221</v>
          </cell>
          <cell r="I287">
            <v>1178221</v>
          </cell>
          <cell r="J287">
            <v>0</v>
          </cell>
        </row>
        <row r="288">
          <cell r="A288" t="str">
            <v>ID002100</v>
          </cell>
          <cell r="B288">
            <v>5810004105</v>
          </cell>
          <cell r="C288" t="str">
            <v>W50850</v>
          </cell>
          <cell r="D288">
            <v>2101</v>
          </cell>
          <cell r="E288">
            <v>9011</v>
          </cell>
          <cell r="F288">
            <v>38426</v>
          </cell>
          <cell r="G288" t="str">
            <v>IDR</v>
          </cell>
          <cell r="H288">
            <v>819357</v>
          </cell>
          <cell r="I288">
            <v>819357</v>
          </cell>
          <cell r="J288">
            <v>0</v>
          </cell>
        </row>
        <row r="289">
          <cell r="A289" t="str">
            <v>ID002100</v>
          </cell>
          <cell r="B289">
            <v>5810004130</v>
          </cell>
          <cell r="C289" t="str">
            <v>W45100</v>
          </cell>
          <cell r="D289">
            <v>2101</v>
          </cell>
          <cell r="E289">
            <v>9011</v>
          </cell>
          <cell r="F289">
            <v>38428</v>
          </cell>
          <cell r="G289" t="str">
            <v>IDR</v>
          </cell>
          <cell r="H289">
            <v>966219</v>
          </cell>
          <cell r="I289">
            <v>966219</v>
          </cell>
          <cell r="J289">
            <v>0</v>
          </cell>
        </row>
        <row r="290">
          <cell r="A290" t="str">
            <v>ID002100</v>
          </cell>
          <cell r="B290">
            <v>5810004162</v>
          </cell>
          <cell r="C290" t="str">
            <v>W50850</v>
          </cell>
          <cell r="D290">
            <v>2101</v>
          </cell>
          <cell r="E290">
            <v>9011</v>
          </cell>
          <cell r="F290">
            <v>38432</v>
          </cell>
          <cell r="G290" t="str">
            <v>IDR</v>
          </cell>
          <cell r="H290">
            <v>4034938</v>
          </cell>
          <cell r="I290">
            <v>4034938</v>
          </cell>
          <cell r="J290">
            <v>0</v>
          </cell>
        </row>
        <row r="291">
          <cell r="A291" t="str">
            <v>ID002100</v>
          </cell>
          <cell r="B291">
            <v>5810004168</v>
          </cell>
          <cell r="C291" t="str">
            <v>W50850</v>
          </cell>
          <cell r="D291">
            <v>2101</v>
          </cell>
          <cell r="E291">
            <v>9011</v>
          </cell>
          <cell r="F291">
            <v>38432</v>
          </cell>
          <cell r="G291" t="str">
            <v>IDR</v>
          </cell>
          <cell r="H291">
            <v>1086064</v>
          </cell>
          <cell r="I291">
            <v>1086064</v>
          </cell>
          <cell r="J291">
            <v>0</v>
          </cell>
        </row>
        <row r="292">
          <cell r="A292" t="str">
            <v>ID002100</v>
          </cell>
          <cell r="B292">
            <v>5810004187</v>
          </cell>
          <cell r="C292" t="str">
            <v>W50850</v>
          </cell>
          <cell r="D292">
            <v>2101</v>
          </cell>
          <cell r="E292">
            <v>9011</v>
          </cell>
          <cell r="F292">
            <v>38439</v>
          </cell>
          <cell r="G292" t="str">
            <v>IDR</v>
          </cell>
          <cell r="H292">
            <v>4869</v>
          </cell>
          <cell r="I292">
            <v>4869</v>
          </cell>
          <cell r="J292">
            <v>0</v>
          </cell>
        </row>
        <row r="293">
          <cell r="A293" t="str">
            <v>ID002100</v>
          </cell>
          <cell r="B293">
            <v>5810004188</v>
          </cell>
          <cell r="C293" t="str">
            <v>W50850</v>
          </cell>
          <cell r="D293">
            <v>2101</v>
          </cell>
          <cell r="E293">
            <v>9011</v>
          </cell>
          <cell r="F293">
            <v>38439</v>
          </cell>
          <cell r="G293" t="str">
            <v>IDR</v>
          </cell>
          <cell r="H293">
            <v>215312</v>
          </cell>
          <cell r="I293">
            <v>215312</v>
          </cell>
          <cell r="J293">
            <v>0</v>
          </cell>
        </row>
        <row r="294">
          <cell r="A294" t="str">
            <v>SIGIT MURSIDI</v>
          </cell>
          <cell r="B294">
            <v>1920098119</v>
          </cell>
          <cell r="C294" t="str">
            <v>REPLACE MIRROR GLASS &amp; WASHING CAR</v>
          </cell>
          <cell r="D294">
            <v>2102</v>
          </cell>
          <cell r="E294">
            <v>9012</v>
          </cell>
          <cell r="F294">
            <v>38418</v>
          </cell>
          <cell r="G294" t="str">
            <v>IDR</v>
          </cell>
          <cell r="H294">
            <v>1056613</v>
          </cell>
          <cell r="I294">
            <v>1056613</v>
          </cell>
          <cell r="J294">
            <v>0</v>
          </cell>
        </row>
        <row r="295">
          <cell r="A295" t="str">
            <v>SIGIT MURSIDI</v>
          </cell>
          <cell r="B295">
            <v>1920099200</v>
          </cell>
          <cell r="C295" t="str">
            <v>REPAIR COST GRAND CHEROKEE B.8639 ZH</v>
          </cell>
          <cell r="D295">
            <v>2102</v>
          </cell>
          <cell r="E295">
            <v>9012</v>
          </cell>
          <cell r="F295">
            <v>38447</v>
          </cell>
          <cell r="G295" t="str">
            <v>IDR</v>
          </cell>
          <cell r="H295">
            <v>6034435</v>
          </cell>
          <cell r="I295">
            <v>6034435</v>
          </cell>
          <cell r="J295">
            <v>0</v>
          </cell>
        </row>
        <row r="296">
          <cell r="I296">
            <v>19422264</v>
          </cell>
        </row>
        <row r="297">
          <cell r="A297" t="str">
            <v>ID003100</v>
          </cell>
          <cell r="B297">
            <v>5810003750</v>
          </cell>
          <cell r="C297" t="str">
            <v>W48238</v>
          </cell>
          <cell r="D297">
            <v>3101</v>
          </cell>
          <cell r="E297">
            <v>9011</v>
          </cell>
          <cell r="F297">
            <v>38370</v>
          </cell>
          <cell r="G297" t="str">
            <v>IDR</v>
          </cell>
          <cell r="H297">
            <v>93024</v>
          </cell>
          <cell r="I297">
            <v>93024</v>
          </cell>
          <cell r="J297">
            <v>0</v>
          </cell>
        </row>
        <row r="298">
          <cell r="A298" t="str">
            <v>ID003100</v>
          </cell>
          <cell r="B298">
            <v>5810003794</v>
          </cell>
          <cell r="C298" t="str">
            <v>W48868</v>
          </cell>
          <cell r="D298">
            <v>3101</v>
          </cell>
          <cell r="E298">
            <v>9011</v>
          </cell>
          <cell r="F298">
            <v>38378</v>
          </cell>
          <cell r="G298" t="str">
            <v>IDR</v>
          </cell>
          <cell r="H298">
            <v>4051624</v>
          </cell>
          <cell r="I298">
            <v>4051624</v>
          </cell>
          <cell r="J298">
            <v>0</v>
          </cell>
        </row>
        <row r="299">
          <cell r="A299" t="str">
            <v>ID003100</v>
          </cell>
          <cell r="B299">
            <v>5810003794</v>
          </cell>
          <cell r="C299" t="str">
            <v>W48868</v>
          </cell>
          <cell r="D299">
            <v>3101</v>
          </cell>
          <cell r="E299">
            <v>9011</v>
          </cell>
          <cell r="F299">
            <v>38378</v>
          </cell>
          <cell r="G299" t="str">
            <v>IDR</v>
          </cell>
          <cell r="H299">
            <v>19924</v>
          </cell>
          <cell r="I299">
            <v>19924</v>
          </cell>
          <cell r="J299">
            <v>0</v>
          </cell>
        </row>
        <row r="300">
          <cell r="A300" t="str">
            <v>ID003100</v>
          </cell>
          <cell r="B300">
            <v>5810003804</v>
          </cell>
          <cell r="C300" t="str">
            <v>W48414</v>
          </cell>
          <cell r="D300">
            <v>3101</v>
          </cell>
          <cell r="E300">
            <v>9011</v>
          </cell>
          <cell r="F300">
            <v>38378</v>
          </cell>
          <cell r="G300" t="str">
            <v>IDR</v>
          </cell>
          <cell r="H300">
            <v>5298167</v>
          </cell>
          <cell r="I300">
            <v>5298167</v>
          </cell>
          <cell r="J300">
            <v>0</v>
          </cell>
        </row>
        <row r="301">
          <cell r="A301" t="str">
            <v>ID003100</v>
          </cell>
          <cell r="B301">
            <v>5810003804</v>
          </cell>
          <cell r="C301" t="str">
            <v>W48414</v>
          </cell>
          <cell r="D301">
            <v>3101</v>
          </cell>
          <cell r="E301">
            <v>9011</v>
          </cell>
          <cell r="F301">
            <v>38378</v>
          </cell>
          <cell r="G301" t="str">
            <v>IDR</v>
          </cell>
          <cell r="H301">
            <v>7373088</v>
          </cell>
          <cell r="I301">
            <v>7373088</v>
          </cell>
          <cell r="J301">
            <v>0</v>
          </cell>
        </row>
        <row r="302">
          <cell r="A302" t="str">
            <v>ID003100</v>
          </cell>
          <cell r="B302">
            <v>5810003804</v>
          </cell>
          <cell r="C302" t="str">
            <v>W48414</v>
          </cell>
          <cell r="D302">
            <v>3101</v>
          </cell>
          <cell r="E302">
            <v>9011</v>
          </cell>
          <cell r="F302">
            <v>38378</v>
          </cell>
          <cell r="G302" t="str">
            <v>IDR</v>
          </cell>
          <cell r="H302">
            <v>154729</v>
          </cell>
          <cell r="I302">
            <v>154729</v>
          </cell>
          <cell r="J302">
            <v>0</v>
          </cell>
        </row>
        <row r="303">
          <cell r="A303" t="str">
            <v>ID003100</v>
          </cell>
          <cell r="B303">
            <v>5810003804</v>
          </cell>
          <cell r="C303" t="str">
            <v>W48414</v>
          </cell>
          <cell r="D303">
            <v>3101</v>
          </cell>
          <cell r="E303">
            <v>9011</v>
          </cell>
          <cell r="F303">
            <v>38378</v>
          </cell>
          <cell r="G303" t="str">
            <v>IDR</v>
          </cell>
          <cell r="H303">
            <v>376960</v>
          </cell>
          <cell r="I303">
            <v>376960</v>
          </cell>
          <cell r="J303">
            <v>0</v>
          </cell>
        </row>
        <row r="304">
          <cell r="A304" t="str">
            <v>ID003100</v>
          </cell>
          <cell r="B304">
            <v>5810003898</v>
          </cell>
          <cell r="C304" t="str">
            <v>W48237</v>
          </cell>
          <cell r="D304">
            <v>3101</v>
          </cell>
          <cell r="E304">
            <v>9011</v>
          </cell>
          <cell r="F304">
            <v>38398</v>
          </cell>
          <cell r="G304" t="str">
            <v>IDR</v>
          </cell>
          <cell r="H304">
            <v>93024</v>
          </cell>
          <cell r="I304">
            <v>93024</v>
          </cell>
          <cell r="J304">
            <v>0</v>
          </cell>
        </row>
        <row r="305">
          <cell r="A305" t="str">
            <v>ID003100</v>
          </cell>
          <cell r="B305">
            <v>5810003945</v>
          </cell>
          <cell r="C305" t="str">
            <v>W48414</v>
          </cell>
          <cell r="D305">
            <v>3101</v>
          </cell>
          <cell r="E305">
            <v>9011</v>
          </cell>
          <cell r="F305">
            <v>38404</v>
          </cell>
          <cell r="G305" t="str">
            <v>IDR</v>
          </cell>
          <cell r="H305">
            <v>1161000</v>
          </cell>
          <cell r="I305">
            <v>1161000</v>
          </cell>
          <cell r="J305">
            <v>0</v>
          </cell>
        </row>
        <row r="306">
          <cell r="A306" t="str">
            <v>ID003100</v>
          </cell>
          <cell r="B306">
            <v>5810003945</v>
          </cell>
          <cell r="C306" t="str">
            <v>W48414</v>
          </cell>
          <cell r="D306">
            <v>3101</v>
          </cell>
          <cell r="E306">
            <v>9011</v>
          </cell>
          <cell r="F306">
            <v>38404</v>
          </cell>
          <cell r="G306" t="str">
            <v>IDR</v>
          </cell>
          <cell r="H306">
            <v>17738236</v>
          </cell>
          <cell r="I306">
            <v>17738236</v>
          </cell>
          <cell r="J306">
            <v>0</v>
          </cell>
        </row>
        <row r="307">
          <cell r="A307" t="str">
            <v>ID003100</v>
          </cell>
          <cell r="B307">
            <v>5810003945</v>
          </cell>
          <cell r="C307" t="str">
            <v>W48414</v>
          </cell>
          <cell r="D307">
            <v>3101</v>
          </cell>
          <cell r="E307">
            <v>9011</v>
          </cell>
          <cell r="F307">
            <v>38404</v>
          </cell>
          <cell r="G307" t="str">
            <v>IDR</v>
          </cell>
          <cell r="H307">
            <v>3574248</v>
          </cell>
          <cell r="I307">
            <v>3574248</v>
          </cell>
          <cell r="J307">
            <v>0</v>
          </cell>
        </row>
        <row r="308">
          <cell r="A308" t="str">
            <v>ID003100</v>
          </cell>
          <cell r="B308">
            <v>5810003945</v>
          </cell>
          <cell r="C308" t="str">
            <v>W48414</v>
          </cell>
          <cell r="D308">
            <v>3101</v>
          </cell>
          <cell r="E308">
            <v>9011</v>
          </cell>
          <cell r="F308">
            <v>38404</v>
          </cell>
          <cell r="G308" t="str">
            <v>IDR</v>
          </cell>
          <cell r="H308">
            <v>11357961</v>
          </cell>
          <cell r="I308">
            <v>11357961</v>
          </cell>
          <cell r="J308">
            <v>0</v>
          </cell>
        </row>
        <row r="309">
          <cell r="A309" t="str">
            <v>ID003100</v>
          </cell>
          <cell r="B309">
            <v>5810003945</v>
          </cell>
          <cell r="C309" t="str">
            <v>W48414</v>
          </cell>
          <cell r="D309">
            <v>3101</v>
          </cell>
          <cell r="E309">
            <v>9011</v>
          </cell>
          <cell r="F309">
            <v>38404</v>
          </cell>
          <cell r="G309" t="str">
            <v>IDR</v>
          </cell>
          <cell r="H309">
            <v>1915200</v>
          </cell>
          <cell r="I309">
            <v>1915200</v>
          </cell>
          <cell r="J309">
            <v>0</v>
          </cell>
        </row>
        <row r="310">
          <cell r="A310" t="str">
            <v>ID003100</v>
          </cell>
          <cell r="B310">
            <v>5810004115</v>
          </cell>
          <cell r="C310" t="str">
            <v>W51398</v>
          </cell>
          <cell r="D310">
            <v>3101</v>
          </cell>
          <cell r="E310">
            <v>9011</v>
          </cell>
          <cell r="F310">
            <v>38427</v>
          </cell>
          <cell r="G310" t="str">
            <v>IDR</v>
          </cell>
          <cell r="H310">
            <v>1806063</v>
          </cell>
          <cell r="I310">
            <v>1806063</v>
          </cell>
          <cell r="J310">
            <v>0</v>
          </cell>
        </row>
        <row r="311">
          <cell r="A311" t="str">
            <v>ID003100</v>
          </cell>
          <cell r="B311">
            <v>5810004115</v>
          </cell>
          <cell r="C311" t="str">
            <v>W51398</v>
          </cell>
          <cell r="D311">
            <v>3101</v>
          </cell>
          <cell r="E311">
            <v>9011</v>
          </cell>
          <cell r="F311">
            <v>38427</v>
          </cell>
          <cell r="G311" t="str">
            <v>IDR</v>
          </cell>
          <cell r="H311">
            <v>66912</v>
          </cell>
          <cell r="I311">
            <v>66912</v>
          </cell>
          <cell r="J311">
            <v>0</v>
          </cell>
        </row>
        <row r="312">
          <cell r="A312" t="str">
            <v>ID003100</v>
          </cell>
          <cell r="B312">
            <v>5810004116</v>
          </cell>
          <cell r="C312" t="str">
            <v>W51402</v>
          </cell>
          <cell r="D312">
            <v>3101</v>
          </cell>
          <cell r="E312">
            <v>9011</v>
          </cell>
          <cell r="F312">
            <v>38427</v>
          </cell>
          <cell r="G312" t="str">
            <v>IDR</v>
          </cell>
          <cell r="H312">
            <v>138545</v>
          </cell>
          <cell r="I312">
            <v>138545</v>
          </cell>
          <cell r="J312">
            <v>0</v>
          </cell>
        </row>
        <row r="313">
          <cell r="A313" t="str">
            <v>ID003100</v>
          </cell>
          <cell r="B313">
            <v>5810004116</v>
          </cell>
          <cell r="C313" t="str">
            <v>W51402</v>
          </cell>
          <cell r="D313">
            <v>3101</v>
          </cell>
          <cell r="E313">
            <v>9011</v>
          </cell>
          <cell r="F313">
            <v>38427</v>
          </cell>
          <cell r="G313" t="str">
            <v>IDR</v>
          </cell>
          <cell r="H313">
            <v>66912</v>
          </cell>
          <cell r="I313">
            <v>66912</v>
          </cell>
          <cell r="J313">
            <v>0</v>
          </cell>
        </row>
        <row r="314">
          <cell r="A314" t="str">
            <v>ID003100</v>
          </cell>
          <cell r="B314">
            <v>5810004117</v>
          </cell>
          <cell r="C314" t="str">
            <v>W51397</v>
          </cell>
          <cell r="D314">
            <v>3101</v>
          </cell>
          <cell r="E314">
            <v>9011</v>
          </cell>
          <cell r="F314">
            <v>38427</v>
          </cell>
          <cell r="G314" t="str">
            <v>IDR</v>
          </cell>
          <cell r="H314">
            <v>2703181</v>
          </cell>
          <cell r="I314">
            <v>2703181</v>
          </cell>
          <cell r="J314">
            <v>0</v>
          </cell>
        </row>
        <row r="315">
          <cell r="A315" t="str">
            <v>ID003100</v>
          </cell>
          <cell r="B315">
            <v>5810004117</v>
          </cell>
          <cell r="C315" t="str">
            <v>W51397</v>
          </cell>
          <cell r="D315">
            <v>3101</v>
          </cell>
          <cell r="E315">
            <v>9011</v>
          </cell>
          <cell r="F315">
            <v>38427</v>
          </cell>
          <cell r="G315" t="str">
            <v>IDR</v>
          </cell>
          <cell r="H315">
            <v>66912</v>
          </cell>
          <cell r="I315">
            <v>66912</v>
          </cell>
          <cell r="J315">
            <v>0</v>
          </cell>
        </row>
        <row r="316">
          <cell r="A316" t="str">
            <v>ID003100</v>
          </cell>
          <cell r="B316">
            <v>5810004126</v>
          </cell>
          <cell r="C316" t="str">
            <v>W51402</v>
          </cell>
          <cell r="D316">
            <v>3101</v>
          </cell>
          <cell r="E316">
            <v>9011</v>
          </cell>
          <cell r="F316">
            <v>38428</v>
          </cell>
          <cell r="G316" t="str">
            <v>IDR</v>
          </cell>
          <cell r="H316">
            <v>1910529</v>
          </cell>
          <cell r="I316">
            <v>1910529</v>
          </cell>
          <cell r="J316">
            <v>0</v>
          </cell>
        </row>
        <row r="317">
          <cell r="A317" t="str">
            <v>ID003100</v>
          </cell>
          <cell r="B317">
            <v>5810004126</v>
          </cell>
          <cell r="C317" t="str">
            <v>W51402</v>
          </cell>
          <cell r="D317">
            <v>3101</v>
          </cell>
          <cell r="E317">
            <v>9011</v>
          </cell>
          <cell r="F317">
            <v>38428</v>
          </cell>
          <cell r="G317" t="str">
            <v>IDR</v>
          </cell>
          <cell r="H317">
            <v>76510</v>
          </cell>
          <cell r="I317">
            <v>76510</v>
          </cell>
          <cell r="J317">
            <v>0</v>
          </cell>
        </row>
        <row r="318">
          <cell r="A318" t="str">
            <v>ID003100</v>
          </cell>
          <cell r="B318">
            <v>5810004128</v>
          </cell>
          <cell r="C318" t="str">
            <v>W51397</v>
          </cell>
          <cell r="D318">
            <v>3101</v>
          </cell>
          <cell r="E318">
            <v>9011</v>
          </cell>
          <cell r="F318">
            <v>38428</v>
          </cell>
          <cell r="G318" t="str">
            <v>IDR</v>
          </cell>
          <cell r="H318">
            <v>3640115</v>
          </cell>
          <cell r="I318">
            <v>3640115</v>
          </cell>
          <cell r="J318">
            <v>0</v>
          </cell>
        </row>
        <row r="319">
          <cell r="A319" t="str">
            <v>ID003100</v>
          </cell>
          <cell r="B319">
            <v>5810004128</v>
          </cell>
          <cell r="C319" t="str">
            <v>W51397</v>
          </cell>
          <cell r="D319">
            <v>3101</v>
          </cell>
          <cell r="E319">
            <v>9011</v>
          </cell>
          <cell r="F319">
            <v>38428</v>
          </cell>
          <cell r="G319" t="str">
            <v>IDR</v>
          </cell>
          <cell r="H319">
            <v>145770</v>
          </cell>
          <cell r="I319">
            <v>145770</v>
          </cell>
          <cell r="J319">
            <v>0</v>
          </cell>
        </row>
        <row r="320">
          <cell r="A320" t="str">
            <v>ID003100</v>
          </cell>
          <cell r="B320">
            <v>5810004129</v>
          </cell>
          <cell r="C320" t="str">
            <v>W51398</v>
          </cell>
          <cell r="D320">
            <v>3101</v>
          </cell>
          <cell r="E320">
            <v>9011</v>
          </cell>
          <cell r="F320">
            <v>38428</v>
          </cell>
          <cell r="G320" t="str">
            <v>IDR</v>
          </cell>
          <cell r="H320">
            <v>915568</v>
          </cell>
          <cell r="I320">
            <v>915568</v>
          </cell>
          <cell r="J320">
            <v>0</v>
          </cell>
        </row>
        <row r="321">
          <cell r="A321" t="str">
            <v>ID003100</v>
          </cell>
          <cell r="B321">
            <v>5810004129</v>
          </cell>
          <cell r="C321" t="str">
            <v>W51398</v>
          </cell>
          <cell r="D321">
            <v>3101</v>
          </cell>
          <cell r="E321">
            <v>9011</v>
          </cell>
          <cell r="F321">
            <v>38428</v>
          </cell>
          <cell r="G321" t="str">
            <v>IDR</v>
          </cell>
          <cell r="H321">
            <v>36670</v>
          </cell>
          <cell r="I321">
            <v>36670</v>
          </cell>
          <cell r="J321">
            <v>0</v>
          </cell>
        </row>
        <row r="322">
          <cell r="A322" t="str">
            <v>ID003100</v>
          </cell>
          <cell r="B322">
            <v>5810004170</v>
          </cell>
          <cell r="C322" t="str">
            <v>W51402</v>
          </cell>
          <cell r="D322">
            <v>3101</v>
          </cell>
          <cell r="E322">
            <v>9011</v>
          </cell>
          <cell r="F322">
            <v>38433</v>
          </cell>
          <cell r="G322" t="str">
            <v>IDR</v>
          </cell>
          <cell r="H322">
            <v>2644813</v>
          </cell>
          <cell r="I322">
            <v>2644813</v>
          </cell>
          <cell r="J322">
            <v>0</v>
          </cell>
        </row>
        <row r="323">
          <cell r="A323" t="str">
            <v>ID003100</v>
          </cell>
          <cell r="B323">
            <v>5810004170</v>
          </cell>
          <cell r="C323" t="str">
            <v>W51402</v>
          </cell>
          <cell r="D323">
            <v>3101</v>
          </cell>
          <cell r="E323">
            <v>9011</v>
          </cell>
          <cell r="F323">
            <v>38433</v>
          </cell>
          <cell r="G323" t="str">
            <v>IDR</v>
          </cell>
          <cell r="H323">
            <v>439805</v>
          </cell>
          <cell r="I323">
            <v>439805</v>
          </cell>
          <cell r="J323">
            <v>0</v>
          </cell>
        </row>
        <row r="324">
          <cell r="A324" t="str">
            <v>ID003100</v>
          </cell>
          <cell r="B324">
            <v>5810004171</v>
          </cell>
          <cell r="C324" t="str">
            <v>W51398</v>
          </cell>
          <cell r="D324">
            <v>3101</v>
          </cell>
          <cell r="E324">
            <v>9011</v>
          </cell>
          <cell r="F324">
            <v>38433</v>
          </cell>
          <cell r="G324" t="str">
            <v>IDR</v>
          </cell>
          <cell r="H324">
            <v>472420</v>
          </cell>
          <cell r="I324">
            <v>472420</v>
          </cell>
          <cell r="J324">
            <v>0</v>
          </cell>
        </row>
        <row r="325">
          <cell r="A325" t="str">
            <v>ID003100</v>
          </cell>
          <cell r="B325">
            <v>5810004171</v>
          </cell>
          <cell r="C325" t="str">
            <v>W51398</v>
          </cell>
          <cell r="D325">
            <v>3101</v>
          </cell>
          <cell r="E325">
            <v>9011</v>
          </cell>
          <cell r="F325">
            <v>38433</v>
          </cell>
          <cell r="G325" t="str">
            <v>IDR</v>
          </cell>
          <cell r="H325">
            <v>78565</v>
          </cell>
          <cell r="I325">
            <v>78565</v>
          </cell>
          <cell r="J325">
            <v>0</v>
          </cell>
        </row>
        <row r="326">
          <cell r="A326" t="str">
            <v>ID003100</v>
          </cell>
          <cell r="B326">
            <v>5810004177</v>
          </cell>
          <cell r="C326" t="str">
            <v>W51397</v>
          </cell>
          <cell r="D326">
            <v>3101</v>
          </cell>
          <cell r="E326">
            <v>9011</v>
          </cell>
          <cell r="F326">
            <v>38435</v>
          </cell>
          <cell r="G326" t="str">
            <v>IDR</v>
          </cell>
          <cell r="H326">
            <v>696862</v>
          </cell>
          <cell r="I326">
            <v>696862</v>
          </cell>
          <cell r="J326">
            <v>0</v>
          </cell>
        </row>
        <row r="327">
          <cell r="A327" t="str">
            <v>ID003100</v>
          </cell>
          <cell r="B327">
            <v>5810004177</v>
          </cell>
          <cell r="C327" t="str">
            <v>W51397</v>
          </cell>
          <cell r="D327">
            <v>3101</v>
          </cell>
          <cell r="E327">
            <v>9011</v>
          </cell>
          <cell r="F327">
            <v>38435</v>
          </cell>
          <cell r="G327" t="str">
            <v>IDR</v>
          </cell>
          <cell r="H327">
            <v>132535</v>
          </cell>
          <cell r="I327">
            <v>132535</v>
          </cell>
          <cell r="J327">
            <v>0</v>
          </cell>
        </row>
        <row r="328">
          <cell r="A328" t="str">
            <v>ID003100</v>
          </cell>
          <cell r="B328">
            <v>5810004184</v>
          </cell>
          <cell r="C328" t="str">
            <v>W51402</v>
          </cell>
          <cell r="D328">
            <v>3101</v>
          </cell>
          <cell r="E328">
            <v>9011</v>
          </cell>
          <cell r="F328">
            <v>38435</v>
          </cell>
          <cell r="G328" t="str">
            <v>IDR</v>
          </cell>
          <cell r="H328">
            <v>7088481</v>
          </cell>
          <cell r="I328">
            <v>7088481</v>
          </cell>
          <cell r="J328">
            <v>0</v>
          </cell>
        </row>
        <row r="329">
          <cell r="A329" t="str">
            <v>ID003100</v>
          </cell>
          <cell r="B329">
            <v>5810004185</v>
          </cell>
          <cell r="C329" t="str">
            <v>W51402</v>
          </cell>
          <cell r="D329">
            <v>3101</v>
          </cell>
          <cell r="E329">
            <v>9011</v>
          </cell>
          <cell r="F329">
            <v>38435</v>
          </cell>
          <cell r="G329" t="str">
            <v>IDR</v>
          </cell>
          <cell r="H329">
            <v>696862</v>
          </cell>
          <cell r="I329">
            <v>696862</v>
          </cell>
          <cell r="J329">
            <v>0</v>
          </cell>
        </row>
        <row r="330">
          <cell r="A330" t="str">
            <v>ID003100</v>
          </cell>
          <cell r="B330">
            <v>5810004185</v>
          </cell>
          <cell r="C330" t="str">
            <v>W51402</v>
          </cell>
          <cell r="D330">
            <v>3101</v>
          </cell>
          <cell r="E330">
            <v>9011</v>
          </cell>
          <cell r="F330">
            <v>38435</v>
          </cell>
          <cell r="G330" t="str">
            <v>IDR</v>
          </cell>
          <cell r="H330">
            <v>132535</v>
          </cell>
          <cell r="I330">
            <v>132535</v>
          </cell>
          <cell r="J330">
            <v>0</v>
          </cell>
        </row>
        <row r="331">
          <cell r="A331" t="str">
            <v>ID003100</v>
          </cell>
          <cell r="B331">
            <v>5810004200</v>
          </cell>
          <cell r="C331" t="str">
            <v>W51402</v>
          </cell>
          <cell r="D331">
            <v>3101</v>
          </cell>
          <cell r="E331">
            <v>9011</v>
          </cell>
          <cell r="F331">
            <v>38440</v>
          </cell>
          <cell r="G331" t="str">
            <v>IDR</v>
          </cell>
          <cell r="H331">
            <v>14782805</v>
          </cell>
          <cell r="I331">
            <v>14782805</v>
          </cell>
          <cell r="J331">
            <v>0</v>
          </cell>
        </row>
        <row r="332">
          <cell r="A332" t="str">
            <v>ID003100</v>
          </cell>
          <cell r="B332">
            <v>5810004200</v>
          </cell>
          <cell r="C332" t="str">
            <v>W51402</v>
          </cell>
          <cell r="D332">
            <v>3101</v>
          </cell>
          <cell r="E332">
            <v>9011</v>
          </cell>
          <cell r="F332">
            <v>38440</v>
          </cell>
          <cell r="G332" t="str">
            <v>IDR</v>
          </cell>
          <cell r="H332">
            <v>433600</v>
          </cell>
          <cell r="I332">
            <v>433600</v>
          </cell>
          <cell r="J332">
            <v>0</v>
          </cell>
        </row>
        <row r="333">
          <cell r="A333" t="str">
            <v>ID003100</v>
          </cell>
          <cell r="B333">
            <v>5810004215</v>
          </cell>
          <cell r="C333" t="str">
            <v>W51398</v>
          </cell>
          <cell r="D333">
            <v>3101</v>
          </cell>
          <cell r="E333">
            <v>9011</v>
          </cell>
          <cell r="F333">
            <v>38446</v>
          </cell>
          <cell r="G333" t="str">
            <v>IDR</v>
          </cell>
          <cell r="H333">
            <v>11743094</v>
          </cell>
          <cell r="I333">
            <v>11743094</v>
          </cell>
          <cell r="J333">
            <v>0</v>
          </cell>
        </row>
        <row r="334">
          <cell r="A334" t="str">
            <v>ID003100</v>
          </cell>
          <cell r="B334">
            <v>5810004215</v>
          </cell>
          <cell r="C334" t="str">
            <v>W51398</v>
          </cell>
          <cell r="D334">
            <v>3101</v>
          </cell>
          <cell r="E334">
            <v>9011</v>
          </cell>
          <cell r="F334">
            <v>38446</v>
          </cell>
          <cell r="G334" t="str">
            <v>IDR</v>
          </cell>
          <cell r="H334">
            <v>1010025</v>
          </cell>
          <cell r="I334">
            <v>1010025</v>
          </cell>
          <cell r="J334">
            <v>0</v>
          </cell>
        </row>
        <row r="335">
          <cell r="A335" t="str">
            <v>ID003100</v>
          </cell>
          <cell r="B335">
            <v>5810004293</v>
          </cell>
          <cell r="C335" t="str">
            <v>W48414</v>
          </cell>
          <cell r="D335">
            <v>3101</v>
          </cell>
          <cell r="E335">
            <v>9011</v>
          </cell>
          <cell r="F335">
            <v>38453</v>
          </cell>
          <cell r="G335" t="str">
            <v>IDR</v>
          </cell>
          <cell r="H335">
            <v>3600000</v>
          </cell>
          <cell r="I335">
            <v>3600000</v>
          </cell>
          <cell r="J335">
            <v>0</v>
          </cell>
        </row>
        <row r="336">
          <cell r="A336" t="str">
            <v>ID003100</v>
          </cell>
          <cell r="B336">
            <v>5810004294</v>
          </cell>
          <cell r="C336" t="str">
            <v>W51398</v>
          </cell>
          <cell r="D336">
            <v>3101</v>
          </cell>
          <cell r="E336">
            <v>9011</v>
          </cell>
          <cell r="F336">
            <v>38453</v>
          </cell>
          <cell r="G336" t="str">
            <v>IDR</v>
          </cell>
          <cell r="H336">
            <v>3408147</v>
          </cell>
          <cell r="I336">
            <v>3408147</v>
          </cell>
          <cell r="J336">
            <v>0</v>
          </cell>
        </row>
        <row r="337">
          <cell r="A337" t="str">
            <v>ID003100</v>
          </cell>
          <cell r="B337">
            <v>5810004294</v>
          </cell>
          <cell r="C337" t="str">
            <v>W51398</v>
          </cell>
          <cell r="D337">
            <v>3101</v>
          </cell>
          <cell r="E337">
            <v>9011</v>
          </cell>
          <cell r="F337">
            <v>38453</v>
          </cell>
          <cell r="G337" t="str">
            <v>IDR</v>
          </cell>
          <cell r="H337">
            <v>233515</v>
          </cell>
          <cell r="I337">
            <v>233515</v>
          </cell>
          <cell r="J337">
            <v>0</v>
          </cell>
        </row>
        <row r="338">
          <cell r="A338" t="str">
            <v>ID003100</v>
          </cell>
          <cell r="B338">
            <v>5810004546</v>
          </cell>
          <cell r="C338" t="str">
            <v>W51402</v>
          </cell>
          <cell r="D338">
            <v>3101</v>
          </cell>
          <cell r="E338">
            <v>9011</v>
          </cell>
          <cell r="F338">
            <v>38497</v>
          </cell>
          <cell r="G338" t="str">
            <v>IDR</v>
          </cell>
          <cell r="H338">
            <v>3329589</v>
          </cell>
          <cell r="I338">
            <v>3329589</v>
          </cell>
          <cell r="J338">
            <v>0</v>
          </cell>
        </row>
        <row r="339">
          <cell r="A339" t="str">
            <v>ID003100</v>
          </cell>
          <cell r="B339">
            <v>5810004546</v>
          </cell>
          <cell r="C339" t="str">
            <v>W51402</v>
          </cell>
          <cell r="D339">
            <v>3101</v>
          </cell>
          <cell r="E339">
            <v>9011</v>
          </cell>
          <cell r="F339">
            <v>38497</v>
          </cell>
          <cell r="G339" t="str">
            <v>IDR</v>
          </cell>
          <cell r="H339">
            <v>152650</v>
          </cell>
          <cell r="I339">
            <v>152650</v>
          </cell>
          <cell r="J339">
            <v>0</v>
          </cell>
        </row>
        <row r="340">
          <cell r="I340">
            <v>115857175</v>
          </cell>
        </row>
        <row r="341">
          <cell r="A341" t="str">
            <v>ID003110</v>
          </cell>
          <cell r="B341">
            <v>5810003874</v>
          </cell>
          <cell r="C341" t="str">
            <v>W49490</v>
          </cell>
          <cell r="D341">
            <v>3110</v>
          </cell>
          <cell r="E341">
            <v>9012</v>
          </cell>
          <cell r="F341">
            <v>38391</v>
          </cell>
          <cell r="G341" t="str">
            <v>IDR</v>
          </cell>
          <cell r="H341">
            <v>326855</v>
          </cell>
          <cell r="I341">
            <v>326855</v>
          </cell>
          <cell r="J341">
            <v>0</v>
          </cell>
        </row>
        <row r="342">
          <cell r="A342" t="str">
            <v>ID003110</v>
          </cell>
          <cell r="B342">
            <v>5810004192</v>
          </cell>
          <cell r="C342" t="str">
            <v>W49490</v>
          </cell>
          <cell r="D342">
            <v>3110</v>
          </cell>
          <cell r="E342">
            <v>9012</v>
          </cell>
          <cell r="F342">
            <v>38439</v>
          </cell>
          <cell r="G342" t="str">
            <v>IDR</v>
          </cell>
          <cell r="H342">
            <v>1187190</v>
          </cell>
          <cell r="I342">
            <v>1187190</v>
          </cell>
          <cell r="J342">
            <v>0</v>
          </cell>
        </row>
        <row r="343">
          <cell r="A343" t="str">
            <v>ID003110</v>
          </cell>
          <cell r="B343">
            <v>5810004201</v>
          </cell>
          <cell r="C343" t="str">
            <v>W49490</v>
          </cell>
          <cell r="D343">
            <v>3110</v>
          </cell>
          <cell r="E343">
            <v>9012</v>
          </cell>
          <cell r="F343">
            <v>38440</v>
          </cell>
          <cell r="G343" t="str">
            <v>IDR</v>
          </cell>
          <cell r="H343">
            <v>17383</v>
          </cell>
          <cell r="I343">
            <v>17383</v>
          </cell>
          <cell r="J343">
            <v>0</v>
          </cell>
        </row>
        <row r="344">
          <cell r="I344">
            <v>1531428</v>
          </cell>
        </row>
        <row r="345">
          <cell r="A345" t="str">
            <v>MPK</v>
          </cell>
          <cell r="B345">
            <v>1610020890</v>
          </cell>
          <cell r="C345" t="str">
            <v>SERVICE C 240 AUT B.8919 MP DEMO CARS</v>
          </cell>
          <cell r="D345">
            <v>3200</v>
          </cell>
          <cell r="E345">
            <v>9012</v>
          </cell>
          <cell r="F345">
            <v>38574</v>
          </cell>
          <cell r="G345" t="str">
            <v>IDR</v>
          </cell>
          <cell r="H345">
            <v>650000</v>
          </cell>
          <cell r="I345">
            <v>650000</v>
          </cell>
          <cell r="J345">
            <v>0</v>
          </cell>
        </row>
        <row r="346">
          <cell r="A346" t="str">
            <v>DIPO</v>
          </cell>
          <cell r="B346">
            <v>1610020922</v>
          </cell>
          <cell r="C346" t="str">
            <v>OWN RISK A140 B.8690 VZ &amp; B.8692 VZ</v>
          </cell>
          <cell r="D346">
            <v>3200</v>
          </cell>
          <cell r="E346">
            <v>9012</v>
          </cell>
          <cell r="F346">
            <v>38595</v>
          </cell>
          <cell r="G346" t="str">
            <v>IDR</v>
          </cell>
          <cell r="H346">
            <v>300000</v>
          </cell>
          <cell r="I346">
            <v>300000</v>
          </cell>
          <cell r="J346">
            <v>0</v>
          </cell>
        </row>
        <row r="347">
          <cell r="A347" t="str">
            <v>ID203200</v>
          </cell>
          <cell r="B347">
            <v>1810030856</v>
          </cell>
          <cell r="C347" t="str">
            <v>W54318</v>
          </cell>
          <cell r="D347">
            <v>3200</v>
          </cell>
          <cell r="E347">
            <v>9012</v>
          </cell>
          <cell r="F347">
            <v>38498</v>
          </cell>
          <cell r="G347" t="str">
            <v>IDR</v>
          </cell>
          <cell r="H347">
            <v>3320983</v>
          </cell>
          <cell r="I347">
            <v>3320983</v>
          </cell>
          <cell r="J347">
            <v>0</v>
          </cell>
        </row>
        <row r="348">
          <cell r="A348">
            <v>3200</v>
          </cell>
          <cell r="B348">
            <v>1810031206</v>
          </cell>
          <cell r="C348" t="str">
            <v>18710/01 -W56721-ID103200</v>
          </cell>
          <cell r="D348">
            <v>3200</v>
          </cell>
          <cell r="E348">
            <v>9012</v>
          </cell>
          <cell r="F348">
            <v>38541</v>
          </cell>
          <cell r="G348" t="str">
            <v>IDR</v>
          </cell>
          <cell r="H348">
            <v>5186326</v>
          </cell>
          <cell r="I348">
            <v>5186326</v>
          </cell>
          <cell r="J348">
            <v>0</v>
          </cell>
        </row>
        <row r="349">
          <cell r="A349">
            <v>3200</v>
          </cell>
          <cell r="B349">
            <v>1810031215</v>
          </cell>
          <cell r="C349" t="str">
            <v>19087/02-W57657-ID003200</v>
          </cell>
          <cell r="D349">
            <v>3200</v>
          </cell>
          <cell r="E349">
            <v>9012</v>
          </cell>
          <cell r="F349">
            <v>38559</v>
          </cell>
          <cell r="G349" t="str">
            <v>IDR</v>
          </cell>
          <cell r="H349">
            <v>4808260</v>
          </cell>
          <cell r="I349">
            <v>4808260</v>
          </cell>
          <cell r="J349">
            <v>0</v>
          </cell>
        </row>
        <row r="350">
          <cell r="A350">
            <v>3200</v>
          </cell>
          <cell r="B350">
            <v>1810031216</v>
          </cell>
          <cell r="C350" t="str">
            <v>19139/04-W59439-ID003200</v>
          </cell>
          <cell r="D350">
            <v>3200</v>
          </cell>
          <cell r="E350">
            <v>9012</v>
          </cell>
          <cell r="F350">
            <v>38560</v>
          </cell>
          <cell r="G350" t="str">
            <v>IDR</v>
          </cell>
          <cell r="H350">
            <v>4411470</v>
          </cell>
          <cell r="I350">
            <v>4411470</v>
          </cell>
          <cell r="J350">
            <v>0</v>
          </cell>
        </row>
        <row r="351">
          <cell r="A351">
            <v>3200</v>
          </cell>
          <cell r="B351">
            <v>1810031218</v>
          </cell>
          <cell r="C351" t="str">
            <v>18710/01 -W56721-ID103200</v>
          </cell>
          <cell r="D351">
            <v>3200</v>
          </cell>
          <cell r="E351">
            <v>9012</v>
          </cell>
          <cell r="F351">
            <v>38541</v>
          </cell>
          <cell r="G351" t="str">
            <v>IDR</v>
          </cell>
          <cell r="H351">
            <v>-5186326</v>
          </cell>
          <cell r="I351">
            <v>-5186326</v>
          </cell>
          <cell r="J351">
            <v>0</v>
          </cell>
        </row>
        <row r="352">
          <cell r="A352">
            <v>3200</v>
          </cell>
          <cell r="B352">
            <v>1810031219</v>
          </cell>
          <cell r="C352" t="str">
            <v>18710/04 -W56721-ID103200</v>
          </cell>
          <cell r="D352">
            <v>3200</v>
          </cell>
          <cell r="E352">
            <v>9012</v>
          </cell>
          <cell r="F352">
            <v>38541</v>
          </cell>
          <cell r="G352" t="str">
            <v>IDR</v>
          </cell>
          <cell r="H352">
            <v>5186326</v>
          </cell>
          <cell r="I352">
            <v>5186326</v>
          </cell>
          <cell r="J352">
            <v>0</v>
          </cell>
        </row>
        <row r="353">
          <cell r="A353" t="str">
            <v>PR 2000003693</v>
          </cell>
          <cell r="B353">
            <v>1910064514</v>
          </cell>
          <cell r="C353" t="str">
            <v>6 TYRES BALANCING &amp; SPORING FOR B.1000.MB/B.1740.J</v>
          </cell>
          <cell r="D353">
            <v>3200</v>
          </cell>
          <cell r="E353">
            <v>9012</v>
          </cell>
          <cell r="F353">
            <v>38369</v>
          </cell>
          <cell r="G353" t="str">
            <v>IDR</v>
          </cell>
          <cell r="H353">
            <v>12630000</v>
          </cell>
          <cell r="I353">
            <v>12630000</v>
          </cell>
          <cell r="J353">
            <v>0</v>
          </cell>
        </row>
        <row r="354">
          <cell r="A354" t="str">
            <v>J PRATJOJO</v>
          </cell>
          <cell r="B354">
            <v>1910068933</v>
          </cell>
          <cell r="C354" t="str">
            <v>TAMBAL BAN B.1854.BQ</v>
          </cell>
          <cell r="D354">
            <v>3200</v>
          </cell>
          <cell r="E354">
            <v>9012</v>
          </cell>
          <cell r="F354">
            <v>38511</v>
          </cell>
          <cell r="G354" t="str">
            <v>IDR</v>
          </cell>
          <cell r="H354">
            <v>20000</v>
          </cell>
          <cell r="I354">
            <v>20000</v>
          </cell>
          <cell r="J354">
            <v>0</v>
          </cell>
        </row>
        <row r="355">
          <cell r="A355" t="str">
            <v>BENNIE H</v>
          </cell>
          <cell r="B355">
            <v>1910068949</v>
          </cell>
          <cell r="C355" t="str">
            <v>TAMBAL BAN B.8262.WB</v>
          </cell>
          <cell r="D355">
            <v>3200</v>
          </cell>
          <cell r="E355">
            <v>9012</v>
          </cell>
          <cell r="F355">
            <v>38512</v>
          </cell>
          <cell r="G355" t="str">
            <v>IDR</v>
          </cell>
          <cell r="H355">
            <v>15000</v>
          </cell>
          <cell r="I355">
            <v>15000</v>
          </cell>
          <cell r="J355">
            <v>0</v>
          </cell>
        </row>
        <row r="356">
          <cell r="A356" t="str">
            <v>DEMO CAR</v>
          </cell>
          <cell r="B356">
            <v>1910073364</v>
          </cell>
          <cell r="C356" t="str">
            <v>LIUMAR GLASS FILM B.2223.TE</v>
          </cell>
          <cell r="D356">
            <v>3200</v>
          </cell>
          <cell r="E356">
            <v>9012</v>
          </cell>
          <cell r="F356">
            <v>38670</v>
          </cell>
          <cell r="G356" t="str">
            <v>IDR</v>
          </cell>
          <cell r="H356">
            <v>1768000</v>
          </cell>
          <cell r="I356">
            <v>1768000</v>
          </cell>
          <cell r="J356">
            <v>0</v>
          </cell>
        </row>
        <row r="357">
          <cell r="A357">
            <v>3200</v>
          </cell>
          <cell r="B357">
            <v>5010012252</v>
          </cell>
          <cell r="C357" t="str">
            <v>SARGAS ALLOY WHEELS</v>
          </cell>
          <cell r="D357">
            <v>3200</v>
          </cell>
          <cell r="E357">
            <v>9012</v>
          </cell>
          <cell r="F357">
            <v>38446</v>
          </cell>
          <cell r="G357" t="str">
            <v>IDR</v>
          </cell>
          <cell r="H357">
            <v>5551631</v>
          </cell>
          <cell r="I357">
            <v>5551631</v>
          </cell>
          <cell r="J357">
            <v>1</v>
          </cell>
        </row>
        <row r="358">
          <cell r="A358">
            <v>3200</v>
          </cell>
          <cell r="B358">
            <v>5010012990</v>
          </cell>
          <cell r="C358" t="str">
            <v>Llumar glass film</v>
          </cell>
          <cell r="D358">
            <v>3200</v>
          </cell>
          <cell r="E358">
            <v>9012</v>
          </cell>
          <cell r="F358">
            <v>38680</v>
          </cell>
          <cell r="G358" t="str">
            <v>IDR</v>
          </cell>
          <cell r="H358">
            <v>2175550</v>
          </cell>
          <cell r="I358">
            <v>2175550</v>
          </cell>
          <cell r="J358">
            <v>1</v>
          </cell>
        </row>
        <row r="359">
          <cell r="A359">
            <v>3200</v>
          </cell>
          <cell r="B359">
            <v>5110013597</v>
          </cell>
          <cell r="C359" t="str">
            <v>CORR.DOC.5010012252</v>
          </cell>
          <cell r="D359">
            <v>3200</v>
          </cell>
          <cell r="E359">
            <v>9012</v>
          </cell>
          <cell r="F359">
            <v>38616</v>
          </cell>
          <cell r="G359" t="str">
            <v>IDR</v>
          </cell>
          <cell r="H359">
            <v>-5551631</v>
          </cell>
          <cell r="I359">
            <v>-5551631</v>
          </cell>
          <cell r="J359">
            <v>0</v>
          </cell>
        </row>
        <row r="360">
          <cell r="A360">
            <v>3201</v>
          </cell>
          <cell r="B360">
            <v>110192300</v>
          </cell>
          <cell r="C360" t="str">
            <v>RE:PO.4500038051;PR.2000003815</v>
          </cell>
          <cell r="D360">
            <v>3201</v>
          </cell>
          <cell r="E360">
            <v>9011</v>
          </cell>
          <cell r="F360">
            <v>38442</v>
          </cell>
          <cell r="G360" t="str">
            <v>IDR</v>
          </cell>
          <cell r="H360">
            <v>457641</v>
          </cell>
          <cell r="I360">
            <v>457641</v>
          </cell>
          <cell r="J360">
            <v>0</v>
          </cell>
        </row>
        <row r="361">
          <cell r="A361" t="str">
            <v>ID003200</v>
          </cell>
          <cell r="B361">
            <v>1810031469</v>
          </cell>
          <cell r="C361" t="str">
            <v>W60008</v>
          </cell>
          <cell r="D361">
            <v>3201</v>
          </cell>
          <cell r="E361">
            <v>9011</v>
          </cell>
          <cell r="F361">
            <v>38572</v>
          </cell>
          <cell r="G361" t="str">
            <v>IDR</v>
          </cell>
          <cell r="H361">
            <v>2820070</v>
          </cell>
          <cell r="I361">
            <v>2820070</v>
          </cell>
          <cell r="J361">
            <v>0</v>
          </cell>
        </row>
        <row r="362">
          <cell r="A362" t="str">
            <v>ID003200</v>
          </cell>
          <cell r="B362">
            <v>1810031470</v>
          </cell>
          <cell r="C362" t="str">
            <v>W60509</v>
          </cell>
          <cell r="D362">
            <v>3201</v>
          </cell>
          <cell r="E362">
            <v>9011</v>
          </cell>
          <cell r="F362">
            <v>38573</v>
          </cell>
          <cell r="G362" t="str">
            <v>IDR</v>
          </cell>
          <cell r="H362">
            <v>2378072</v>
          </cell>
          <cell r="I362">
            <v>2378072</v>
          </cell>
          <cell r="J362">
            <v>0</v>
          </cell>
        </row>
        <row r="363">
          <cell r="A363" t="str">
            <v>ID003200</v>
          </cell>
          <cell r="B363">
            <v>1810031484</v>
          </cell>
          <cell r="C363" t="str">
            <v>W61104</v>
          </cell>
          <cell r="D363">
            <v>3201</v>
          </cell>
          <cell r="E363">
            <v>9011</v>
          </cell>
          <cell r="F363">
            <v>38583</v>
          </cell>
          <cell r="G363" t="str">
            <v>IDR</v>
          </cell>
          <cell r="H363">
            <v>2177808</v>
          </cell>
          <cell r="I363">
            <v>2177808</v>
          </cell>
          <cell r="J363">
            <v>0</v>
          </cell>
        </row>
        <row r="364">
          <cell r="A364" t="str">
            <v>ID003200</v>
          </cell>
          <cell r="B364">
            <v>1810031489</v>
          </cell>
          <cell r="C364" t="str">
            <v>W61709</v>
          </cell>
          <cell r="D364">
            <v>3201</v>
          </cell>
          <cell r="E364">
            <v>9011</v>
          </cell>
          <cell r="F364">
            <v>38594</v>
          </cell>
          <cell r="G364" t="str">
            <v>IDR</v>
          </cell>
          <cell r="H364">
            <v>2560720</v>
          </cell>
          <cell r="I364">
            <v>2560720</v>
          </cell>
          <cell r="J364">
            <v>0</v>
          </cell>
        </row>
        <row r="365">
          <cell r="A365" t="str">
            <v>DEMO CAR</v>
          </cell>
          <cell r="B365">
            <v>1910068594</v>
          </cell>
          <cell r="C365" t="str">
            <v>SALON MOBIL B.1854.BQ</v>
          </cell>
          <cell r="D365">
            <v>3201</v>
          </cell>
          <cell r="E365">
            <v>9011</v>
          </cell>
          <cell r="F365">
            <v>38497</v>
          </cell>
          <cell r="G365" t="str">
            <v>IDR</v>
          </cell>
          <cell r="H365">
            <v>825000</v>
          </cell>
          <cell r="I365">
            <v>825000</v>
          </cell>
          <cell r="J365">
            <v>0</v>
          </cell>
        </row>
        <row r="366">
          <cell r="A366" t="str">
            <v>BENNIE H</v>
          </cell>
          <cell r="B366">
            <v>1910072048</v>
          </cell>
          <cell r="C366" t="str">
            <v>CUCI VACUMP DAN SEMIR BAN B.8925.MP DEMO CAR</v>
          </cell>
          <cell r="D366">
            <v>3201</v>
          </cell>
          <cell r="E366">
            <v>9011</v>
          </cell>
          <cell r="F366">
            <v>38623</v>
          </cell>
          <cell r="G366" t="str">
            <v>IDR</v>
          </cell>
          <cell r="H366">
            <v>175000</v>
          </cell>
          <cell r="I366">
            <v>175000</v>
          </cell>
          <cell r="J366">
            <v>0</v>
          </cell>
        </row>
        <row r="367">
          <cell r="A367" t="str">
            <v>ID003200</v>
          </cell>
          <cell r="B367">
            <v>5810003468</v>
          </cell>
          <cell r="C367" t="str">
            <v>W47567</v>
          </cell>
          <cell r="D367">
            <v>3201</v>
          </cell>
          <cell r="E367">
            <v>9011</v>
          </cell>
          <cell r="F367">
            <v>38357</v>
          </cell>
          <cell r="G367" t="str">
            <v>IDR</v>
          </cell>
          <cell r="H367">
            <v>31259</v>
          </cell>
          <cell r="I367">
            <v>31259</v>
          </cell>
          <cell r="J367">
            <v>0</v>
          </cell>
        </row>
        <row r="368">
          <cell r="A368" t="str">
            <v>ID003200</v>
          </cell>
          <cell r="B368">
            <v>5810003469</v>
          </cell>
          <cell r="C368" t="str">
            <v>W47567</v>
          </cell>
          <cell r="D368">
            <v>3201</v>
          </cell>
          <cell r="E368">
            <v>9011</v>
          </cell>
          <cell r="F368">
            <v>38357</v>
          </cell>
          <cell r="G368" t="str">
            <v>IDR</v>
          </cell>
          <cell r="H368">
            <v>88817</v>
          </cell>
          <cell r="I368">
            <v>88817</v>
          </cell>
          <cell r="J368">
            <v>0</v>
          </cell>
        </row>
        <row r="369">
          <cell r="A369" t="str">
            <v>ID003200</v>
          </cell>
          <cell r="B369">
            <v>5810003469</v>
          </cell>
          <cell r="C369" t="str">
            <v>W47567</v>
          </cell>
          <cell r="D369">
            <v>3201</v>
          </cell>
          <cell r="E369">
            <v>9011</v>
          </cell>
          <cell r="F369">
            <v>38357</v>
          </cell>
          <cell r="G369" t="str">
            <v>IDR</v>
          </cell>
          <cell r="H369">
            <v>169878</v>
          </cell>
          <cell r="I369">
            <v>169878</v>
          </cell>
          <cell r="J369">
            <v>0</v>
          </cell>
        </row>
        <row r="370">
          <cell r="A370" t="str">
            <v>ID003200</v>
          </cell>
          <cell r="B370">
            <v>5810003469</v>
          </cell>
          <cell r="C370" t="str">
            <v>W47567</v>
          </cell>
          <cell r="D370">
            <v>3201</v>
          </cell>
          <cell r="E370">
            <v>9011</v>
          </cell>
          <cell r="F370">
            <v>38357</v>
          </cell>
          <cell r="G370" t="str">
            <v>IDR</v>
          </cell>
          <cell r="H370">
            <v>18759</v>
          </cell>
          <cell r="I370">
            <v>18759</v>
          </cell>
          <cell r="J370">
            <v>0</v>
          </cell>
        </row>
        <row r="371">
          <cell r="A371" t="str">
            <v>ID003200</v>
          </cell>
          <cell r="B371">
            <v>5810003470</v>
          </cell>
          <cell r="C371" t="str">
            <v>W47568</v>
          </cell>
          <cell r="D371">
            <v>3201</v>
          </cell>
          <cell r="E371">
            <v>9011</v>
          </cell>
          <cell r="F371">
            <v>38357</v>
          </cell>
          <cell r="G371" t="str">
            <v>IDR</v>
          </cell>
          <cell r="H371">
            <v>308357</v>
          </cell>
          <cell r="I371">
            <v>308357</v>
          </cell>
          <cell r="J371">
            <v>0</v>
          </cell>
        </row>
        <row r="372">
          <cell r="A372" t="str">
            <v>ID003200</v>
          </cell>
          <cell r="B372">
            <v>5810003470</v>
          </cell>
          <cell r="C372" t="str">
            <v>W47568</v>
          </cell>
          <cell r="D372">
            <v>3201</v>
          </cell>
          <cell r="E372">
            <v>9011</v>
          </cell>
          <cell r="F372">
            <v>38357</v>
          </cell>
          <cell r="G372" t="str">
            <v>IDR</v>
          </cell>
          <cell r="H372">
            <v>31259</v>
          </cell>
          <cell r="I372">
            <v>31259</v>
          </cell>
          <cell r="J372">
            <v>0</v>
          </cell>
        </row>
        <row r="373">
          <cell r="A373" t="str">
            <v>ID003200</v>
          </cell>
          <cell r="B373">
            <v>5810003500</v>
          </cell>
          <cell r="C373" t="str">
            <v>W47567</v>
          </cell>
          <cell r="D373">
            <v>3201</v>
          </cell>
          <cell r="E373">
            <v>9011</v>
          </cell>
          <cell r="F373">
            <v>38363</v>
          </cell>
          <cell r="G373" t="str">
            <v>IDR</v>
          </cell>
          <cell r="H373">
            <v>230554</v>
          </cell>
          <cell r="I373">
            <v>230554</v>
          </cell>
          <cell r="J373">
            <v>0</v>
          </cell>
        </row>
        <row r="374">
          <cell r="A374" t="str">
            <v>ID003200</v>
          </cell>
          <cell r="B374">
            <v>5810003503</v>
          </cell>
          <cell r="C374" t="str">
            <v>W47567</v>
          </cell>
          <cell r="D374">
            <v>3201</v>
          </cell>
          <cell r="E374">
            <v>9011</v>
          </cell>
          <cell r="F374">
            <v>38363</v>
          </cell>
          <cell r="G374" t="str">
            <v>IDR</v>
          </cell>
          <cell r="H374">
            <v>68830</v>
          </cell>
          <cell r="I374">
            <v>68830</v>
          </cell>
          <cell r="J374">
            <v>0</v>
          </cell>
        </row>
        <row r="375">
          <cell r="A375" t="str">
            <v>ID003200</v>
          </cell>
          <cell r="B375">
            <v>5810003503</v>
          </cell>
          <cell r="C375" t="str">
            <v>W47567</v>
          </cell>
          <cell r="D375">
            <v>3201</v>
          </cell>
          <cell r="E375">
            <v>9011</v>
          </cell>
          <cell r="F375">
            <v>38363</v>
          </cell>
          <cell r="G375" t="str">
            <v>IDR</v>
          </cell>
          <cell r="H375">
            <v>52610</v>
          </cell>
          <cell r="I375">
            <v>52610</v>
          </cell>
          <cell r="J375">
            <v>0</v>
          </cell>
        </row>
        <row r="376">
          <cell r="A376" t="str">
            <v>ID003200</v>
          </cell>
          <cell r="B376">
            <v>5810003503</v>
          </cell>
          <cell r="C376" t="str">
            <v>W47567</v>
          </cell>
          <cell r="D376">
            <v>3201</v>
          </cell>
          <cell r="E376">
            <v>9011</v>
          </cell>
          <cell r="F376">
            <v>38363</v>
          </cell>
          <cell r="G376" t="str">
            <v>IDR</v>
          </cell>
          <cell r="H376">
            <v>38398</v>
          </cell>
          <cell r="I376">
            <v>38398</v>
          </cell>
          <cell r="J376">
            <v>0</v>
          </cell>
        </row>
        <row r="377">
          <cell r="A377" t="str">
            <v>ID003200</v>
          </cell>
          <cell r="B377">
            <v>5810003514</v>
          </cell>
          <cell r="C377" t="str">
            <v>W47568</v>
          </cell>
          <cell r="D377">
            <v>3201</v>
          </cell>
          <cell r="E377">
            <v>9011</v>
          </cell>
          <cell r="F377">
            <v>38364</v>
          </cell>
          <cell r="G377" t="str">
            <v>IDR</v>
          </cell>
          <cell r="H377">
            <v>231000</v>
          </cell>
          <cell r="I377">
            <v>231000</v>
          </cell>
          <cell r="J377">
            <v>0</v>
          </cell>
        </row>
        <row r="378">
          <cell r="A378" t="str">
            <v>ID003200</v>
          </cell>
          <cell r="B378">
            <v>5810003514</v>
          </cell>
          <cell r="C378" t="str">
            <v>W47568</v>
          </cell>
          <cell r="D378">
            <v>3201</v>
          </cell>
          <cell r="E378">
            <v>9011</v>
          </cell>
          <cell r="F378">
            <v>38364</v>
          </cell>
          <cell r="G378" t="str">
            <v>IDR</v>
          </cell>
          <cell r="H378">
            <v>52610</v>
          </cell>
          <cell r="I378">
            <v>52610</v>
          </cell>
          <cell r="J378">
            <v>0</v>
          </cell>
        </row>
        <row r="379">
          <cell r="A379" t="str">
            <v>ID003200</v>
          </cell>
          <cell r="B379">
            <v>5810003514</v>
          </cell>
          <cell r="C379" t="str">
            <v>W47568</v>
          </cell>
          <cell r="D379">
            <v>3201</v>
          </cell>
          <cell r="E379">
            <v>9011</v>
          </cell>
          <cell r="F379">
            <v>38364</v>
          </cell>
          <cell r="G379" t="str">
            <v>IDR</v>
          </cell>
          <cell r="H379">
            <v>68830</v>
          </cell>
          <cell r="I379">
            <v>68830</v>
          </cell>
          <cell r="J379">
            <v>0</v>
          </cell>
        </row>
        <row r="380">
          <cell r="A380" t="str">
            <v>ID003200</v>
          </cell>
          <cell r="B380">
            <v>5810003514</v>
          </cell>
          <cell r="C380" t="str">
            <v>W47568</v>
          </cell>
          <cell r="D380">
            <v>3201</v>
          </cell>
          <cell r="E380">
            <v>9011</v>
          </cell>
          <cell r="F380">
            <v>38364</v>
          </cell>
          <cell r="G380" t="str">
            <v>IDR</v>
          </cell>
          <cell r="H380">
            <v>38398</v>
          </cell>
          <cell r="I380">
            <v>38398</v>
          </cell>
          <cell r="J380">
            <v>0</v>
          </cell>
        </row>
        <row r="381">
          <cell r="A381" t="str">
            <v>ID003200</v>
          </cell>
          <cell r="B381">
            <v>5810003517</v>
          </cell>
          <cell r="C381" t="str">
            <v>W47568</v>
          </cell>
          <cell r="D381">
            <v>3201</v>
          </cell>
          <cell r="E381">
            <v>9011</v>
          </cell>
          <cell r="F381">
            <v>38364</v>
          </cell>
          <cell r="G381" t="str">
            <v>IDR</v>
          </cell>
          <cell r="H381">
            <v>268952</v>
          </cell>
          <cell r="I381">
            <v>268952</v>
          </cell>
          <cell r="J381">
            <v>0</v>
          </cell>
        </row>
        <row r="382">
          <cell r="A382" t="str">
            <v>ID003200</v>
          </cell>
          <cell r="B382">
            <v>5810003517</v>
          </cell>
          <cell r="C382" t="str">
            <v>W47568</v>
          </cell>
          <cell r="D382">
            <v>3201</v>
          </cell>
          <cell r="E382">
            <v>9011</v>
          </cell>
          <cell r="F382">
            <v>38364</v>
          </cell>
          <cell r="G382" t="str">
            <v>IDR</v>
          </cell>
          <cell r="H382">
            <v>68830</v>
          </cell>
          <cell r="I382">
            <v>68830</v>
          </cell>
          <cell r="J382">
            <v>0</v>
          </cell>
        </row>
        <row r="383">
          <cell r="A383" t="str">
            <v>ID003200</v>
          </cell>
          <cell r="B383">
            <v>5810003517</v>
          </cell>
          <cell r="C383" t="str">
            <v>W47568</v>
          </cell>
          <cell r="D383">
            <v>3201</v>
          </cell>
          <cell r="E383">
            <v>9011</v>
          </cell>
          <cell r="F383">
            <v>38364</v>
          </cell>
          <cell r="G383" t="str">
            <v>IDR</v>
          </cell>
          <cell r="H383">
            <v>52610</v>
          </cell>
          <cell r="I383">
            <v>52610</v>
          </cell>
          <cell r="J383">
            <v>0</v>
          </cell>
        </row>
        <row r="384">
          <cell r="A384" t="str">
            <v>ID003200</v>
          </cell>
          <cell r="B384">
            <v>5810003520</v>
          </cell>
          <cell r="C384" t="str">
            <v>W47567</v>
          </cell>
          <cell r="D384">
            <v>3201</v>
          </cell>
          <cell r="E384">
            <v>9011</v>
          </cell>
          <cell r="F384">
            <v>38364</v>
          </cell>
          <cell r="G384" t="str">
            <v>IDR</v>
          </cell>
          <cell r="H384">
            <v>231000</v>
          </cell>
          <cell r="I384">
            <v>231000</v>
          </cell>
          <cell r="J384">
            <v>0</v>
          </cell>
        </row>
        <row r="385">
          <cell r="A385" t="str">
            <v>ID003200</v>
          </cell>
          <cell r="B385">
            <v>5810003786</v>
          </cell>
          <cell r="C385" t="str">
            <v>W34692</v>
          </cell>
          <cell r="D385">
            <v>3201</v>
          </cell>
          <cell r="E385">
            <v>9011</v>
          </cell>
          <cell r="F385">
            <v>38377</v>
          </cell>
          <cell r="G385" t="str">
            <v>IDR</v>
          </cell>
          <cell r="H385">
            <v>495000</v>
          </cell>
          <cell r="I385">
            <v>495000</v>
          </cell>
          <cell r="J385">
            <v>0</v>
          </cell>
        </row>
        <row r="386">
          <cell r="A386" t="str">
            <v>ID003200</v>
          </cell>
          <cell r="B386">
            <v>5810003786</v>
          </cell>
          <cell r="C386" t="str">
            <v>W34692</v>
          </cell>
          <cell r="D386">
            <v>3201</v>
          </cell>
          <cell r="E386">
            <v>9011</v>
          </cell>
          <cell r="F386">
            <v>38377</v>
          </cell>
          <cell r="G386" t="str">
            <v>IDR</v>
          </cell>
          <cell r="H386">
            <v>2156799</v>
          </cell>
          <cell r="I386">
            <v>2156799</v>
          </cell>
          <cell r="J386">
            <v>0</v>
          </cell>
        </row>
        <row r="387">
          <cell r="A387" t="str">
            <v>ID003200</v>
          </cell>
          <cell r="B387">
            <v>5810003786</v>
          </cell>
          <cell r="C387" t="str">
            <v>W34692</v>
          </cell>
          <cell r="D387">
            <v>3201</v>
          </cell>
          <cell r="E387">
            <v>9011</v>
          </cell>
          <cell r="F387">
            <v>38377</v>
          </cell>
          <cell r="G387" t="str">
            <v>IDR</v>
          </cell>
          <cell r="H387">
            <v>53615</v>
          </cell>
          <cell r="I387">
            <v>53615</v>
          </cell>
          <cell r="J387">
            <v>0</v>
          </cell>
        </row>
        <row r="388">
          <cell r="A388" t="str">
            <v>ID003200</v>
          </cell>
          <cell r="B388">
            <v>5810003786</v>
          </cell>
          <cell r="C388" t="str">
            <v>W34692</v>
          </cell>
          <cell r="D388">
            <v>3201</v>
          </cell>
          <cell r="E388">
            <v>9011</v>
          </cell>
          <cell r="F388">
            <v>38377</v>
          </cell>
          <cell r="G388" t="str">
            <v>IDR</v>
          </cell>
          <cell r="H388">
            <v>2430545</v>
          </cell>
          <cell r="I388">
            <v>2430545</v>
          </cell>
          <cell r="J388">
            <v>0</v>
          </cell>
        </row>
        <row r="389">
          <cell r="A389" t="str">
            <v>ID003200</v>
          </cell>
          <cell r="B389">
            <v>5810003896</v>
          </cell>
          <cell r="C389" t="str">
            <v>P49880</v>
          </cell>
          <cell r="D389">
            <v>3201</v>
          </cell>
          <cell r="E389">
            <v>9011</v>
          </cell>
          <cell r="F389">
            <v>38398</v>
          </cell>
          <cell r="G389" t="str">
            <v>IDR</v>
          </cell>
          <cell r="H389">
            <v>5511682</v>
          </cell>
          <cell r="I389">
            <v>5511682</v>
          </cell>
          <cell r="J389">
            <v>0</v>
          </cell>
        </row>
        <row r="390">
          <cell r="A390" t="str">
            <v>ID003200</v>
          </cell>
          <cell r="B390">
            <v>5810003946</v>
          </cell>
          <cell r="C390" t="str">
            <v>W47773</v>
          </cell>
          <cell r="D390">
            <v>3201</v>
          </cell>
          <cell r="E390">
            <v>9011</v>
          </cell>
          <cell r="F390">
            <v>38404</v>
          </cell>
          <cell r="G390" t="str">
            <v>IDR</v>
          </cell>
          <cell r="H390">
            <v>408000</v>
          </cell>
          <cell r="I390">
            <v>408000</v>
          </cell>
          <cell r="J390">
            <v>0</v>
          </cell>
        </row>
        <row r="391">
          <cell r="A391" t="str">
            <v>ID003200</v>
          </cell>
          <cell r="B391">
            <v>5810003946</v>
          </cell>
          <cell r="C391" t="str">
            <v>W47773</v>
          </cell>
          <cell r="D391">
            <v>3201</v>
          </cell>
          <cell r="E391">
            <v>9011</v>
          </cell>
          <cell r="F391">
            <v>38404</v>
          </cell>
          <cell r="G391" t="str">
            <v>IDR</v>
          </cell>
          <cell r="H391">
            <v>657452</v>
          </cell>
          <cell r="I391">
            <v>657452</v>
          </cell>
          <cell r="J391">
            <v>0</v>
          </cell>
        </row>
        <row r="392">
          <cell r="A392" t="str">
            <v>ID003200</v>
          </cell>
          <cell r="B392">
            <v>5810003946</v>
          </cell>
          <cell r="C392" t="str">
            <v>W47773</v>
          </cell>
          <cell r="D392">
            <v>3201</v>
          </cell>
          <cell r="E392">
            <v>9011</v>
          </cell>
          <cell r="F392">
            <v>38404</v>
          </cell>
          <cell r="G392" t="str">
            <v>IDR</v>
          </cell>
          <cell r="H392">
            <v>265042</v>
          </cell>
          <cell r="I392">
            <v>265042</v>
          </cell>
          <cell r="J392">
            <v>0</v>
          </cell>
        </row>
        <row r="393">
          <cell r="A393" t="str">
            <v>ID003200</v>
          </cell>
          <cell r="B393">
            <v>5810003946</v>
          </cell>
          <cell r="C393" t="str">
            <v>W47773</v>
          </cell>
          <cell r="D393">
            <v>3201</v>
          </cell>
          <cell r="E393">
            <v>9011</v>
          </cell>
          <cell r="F393">
            <v>38404</v>
          </cell>
          <cell r="G393" t="str">
            <v>IDR</v>
          </cell>
          <cell r="H393">
            <v>17130</v>
          </cell>
          <cell r="I393">
            <v>17130</v>
          </cell>
          <cell r="J393">
            <v>0</v>
          </cell>
        </row>
        <row r="394">
          <cell r="A394" t="str">
            <v>ID003200</v>
          </cell>
          <cell r="B394">
            <v>5810003959</v>
          </cell>
          <cell r="C394" t="str">
            <v>P49880</v>
          </cell>
          <cell r="D394">
            <v>3201</v>
          </cell>
          <cell r="E394">
            <v>9011</v>
          </cell>
          <cell r="F394">
            <v>38405</v>
          </cell>
          <cell r="G394" t="str">
            <v>IDR</v>
          </cell>
          <cell r="H394">
            <v>39949</v>
          </cell>
          <cell r="I394">
            <v>39949</v>
          </cell>
          <cell r="J394">
            <v>0</v>
          </cell>
        </row>
        <row r="395">
          <cell r="A395" t="str">
            <v>ID003200</v>
          </cell>
          <cell r="B395">
            <v>5810004058</v>
          </cell>
          <cell r="C395" t="str">
            <v>W23400</v>
          </cell>
          <cell r="D395">
            <v>3201</v>
          </cell>
          <cell r="E395">
            <v>9011</v>
          </cell>
          <cell r="F395">
            <v>38418</v>
          </cell>
          <cell r="G395" t="str">
            <v>IDR</v>
          </cell>
          <cell r="H395">
            <v>181633</v>
          </cell>
          <cell r="I395">
            <v>181633</v>
          </cell>
          <cell r="J395">
            <v>0</v>
          </cell>
        </row>
        <row r="396">
          <cell r="A396" t="str">
            <v>ID003200</v>
          </cell>
          <cell r="B396">
            <v>5810004104</v>
          </cell>
          <cell r="C396" t="str">
            <v>W51219</v>
          </cell>
          <cell r="D396">
            <v>3201</v>
          </cell>
          <cell r="E396">
            <v>9011</v>
          </cell>
          <cell r="F396">
            <v>38426</v>
          </cell>
          <cell r="G396" t="str">
            <v>IDR</v>
          </cell>
          <cell r="H396">
            <v>5109858</v>
          </cell>
          <cell r="I396">
            <v>5109858</v>
          </cell>
          <cell r="J396">
            <v>0</v>
          </cell>
        </row>
        <row r="397">
          <cell r="A397" t="str">
            <v>ID003200</v>
          </cell>
          <cell r="B397">
            <v>5810004161</v>
          </cell>
          <cell r="C397" t="str">
            <v>W51219</v>
          </cell>
          <cell r="D397">
            <v>3201</v>
          </cell>
          <cell r="E397">
            <v>9011</v>
          </cell>
          <cell r="F397">
            <v>38432</v>
          </cell>
          <cell r="G397" t="str">
            <v>IDR</v>
          </cell>
          <cell r="H397">
            <v>38133</v>
          </cell>
          <cell r="I397">
            <v>38133</v>
          </cell>
          <cell r="J397">
            <v>0</v>
          </cell>
        </row>
        <row r="398">
          <cell r="A398" t="str">
            <v>ID003200</v>
          </cell>
          <cell r="B398">
            <v>5810004213</v>
          </cell>
          <cell r="C398" t="str">
            <v>W51219</v>
          </cell>
          <cell r="D398">
            <v>3201</v>
          </cell>
          <cell r="E398">
            <v>9011</v>
          </cell>
          <cell r="F398">
            <v>38446</v>
          </cell>
          <cell r="G398" t="str">
            <v>IDR</v>
          </cell>
          <cell r="H398">
            <v>3277695</v>
          </cell>
          <cell r="I398">
            <v>3277695</v>
          </cell>
          <cell r="J398">
            <v>0</v>
          </cell>
        </row>
        <row r="399">
          <cell r="A399" t="str">
            <v>ID003200</v>
          </cell>
          <cell r="B399">
            <v>5810004263</v>
          </cell>
          <cell r="C399" t="str">
            <v>P53017</v>
          </cell>
          <cell r="D399">
            <v>3201</v>
          </cell>
          <cell r="E399">
            <v>9011</v>
          </cell>
          <cell r="F399">
            <v>38450</v>
          </cell>
          <cell r="G399" t="str">
            <v>IDR</v>
          </cell>
          <cell r="H399">
            <v>323520</v>
          </cell>
          <cell r="I399">
            <v>323520</v>
          </cell>
          <cell r="J399">
            <v>0</v>
          </cell>
        </row>
        <row r="400">
          <cell r="A400" t="str">
            <v>ID003200</v>
          </cell>
          <cell r="B400">
            <v>5810004366</v>
          </cell>
          <cell r="C400" t="str">
            <v>W47831</v>
          </cell>
          <cell r="D400">
            <v>3201</v>
          </cell>
          <cell r="E400">
            <v>9011</v>
          </cell>
          <cell r="F400">
            <v>38460</v>
          </cell>
          <cell r="G400" t="str">
            <v>IDR</v>
          </cell>
          <cell r="H400">
            <v>234141</v>
          </cell>
          <cell r="I400">
            <v>234141</v>
          </cell>
          <cell r="J400">
            <v>0</v>
          </cell>
        </row>
        <row r="401">
          <cell r="A401" t="str">
            <v>ID003200</v>
          </cell>
          <cell r="B401">
            <v>5810004366</v>
          </cell>
          <cell r="C401" t="str">
            <v>W47831</v>
          </cell>
          <cell r="D401">
            <v>3201</v>
          </cell>
          <cell r="E401">
            <v>9011</v>
          </cell>
          <cell r="F401">
            <v>38460</v>
          </cell>
          <cell r="G401" t="str">
            <v>IDR</v>
          </cell>
          <cell r="H401">
            <v>700265</v>
          </cell>
          <cell r="I401">
            <v>700265</v>
          </cell>
          <cell r="J401">
            <v>0</v>
          </cell>
        </row>
        <row r="402">
          <cell r="A402" t="str">
            <v>ID003200</v>
          </cell>
          <cell r="B402">
            <v>5810004367</v>
          </cell>
          <cell r="C402" t="str">
            <v>W47832</v>
          </cell>
          <cell r="D402">
            <v>3201</v>
          </cell>
          <cell r="E402">
            <v>9011</v>
          </cell>
          <cell r="F402">
            <v>38460</v>
          </cell>
          <cell r="G402" t="str">
            <v>IDR</v>
          </cell>
          <cell r="H402">
            <v>169631</v>
          </cell>
          <cell r="I402">
            <v>169631</v>
          </cell>
          <cell r="J402">
            <v>0</v>
          </cell>
        </row>
        <row r="403">
          <cell r="A403" t="str">
            <v>ID003200</v>
          </cell>
          <cell r="B403">
            <v>5810004367</v>
          </cell>
          <cell r="C403" t="str">
            <v>W47832</v>
          </cell>
          <cell r="D403">
            <v>3201</v>
          </cell>
          <cell r="E403">
            <v>9011</v>
          </cell>
          <cell r="F403">
            <v>38460</v>
          </cell>
          <cell r="G403" t="str">
            <v>IDR</v>
          </cell>
          <cell r="H403">
            <v>613670</v>
          </cell>
          <cell r="I403">
            <v>613670</v>
          </cell>
          <cell r="J403">
            <v>0</v>
          </cell>
        </row>
        <row r="404">
          <cell r="A404" t="str">
            <v>ID003200</v>
          </cell>
          <cell r="B404">
            <v>5810004407</v>
          </cell>
          <cell r="C404" t="str">
            <v>W47831</v>
          </cell>
          <cell r="D404">
            <v>3201</v>
          </cell>
          <cell r="E404">
            <v>9011</v>
          </cell>
          <cell r="F404">
            <v>38468</v>
          </cell>
          <cell r="G404" t="str">
            <v>IDR</v>
          </cell>
          <cell r="H404">
            <v>20750484</v>
          </cell>
          <cell r="I404">
            <v>20750484</v>
          </cell>
          <cell r="J404">
            <v>0</v>
          </cell>
        </row>
        <row r="405">
          <cell r="A405" t="str">
            <v>ID003200</v>
          </cell>
          <cell r="B405">
            <v>5810004412</v>
          </cell>
          <cell r="C405" t="str">
            <v>W47832</v>
          </cell>
          <cell r="D405">
            <v>3201</v>
          </cell>
          <cell r="E405">
            <v>9011</v>
          </cell>
          <cell r="F405">
            <v>38468</v>
          </cell>
          <cell r="G405" t="str">
            <v>IDR</v>
          </cell>
          <cell r="H405">
            <v>5022523</v>
          </cell>
          <cell r="I405">
            <v>5022523</v>
          </cell>
          <cell r="J405">
            <v>0</v>
          </cell>
        </row>
        <row r="406">
          <cell r="A406" t="str">
            <v>ID003200</v>
          </cell>
          <cell r="B406">
            <v>5810004432</v>
          </cell>
          <cell r="C406" t="str">
            <v>W54188</v>
          </cell>
          <cell r="D406">
            <v>3201</v>
          </cell>
          <cell r="E406">
            <v>9011</v>
          </cell>
          <cell r="F406">
            <v>38470</v>
          </cell>
          <cell r="G406" t="str">
            <v>IDR</v>
          </cell>
          <cell r="H406">
            <v>108000</v>
          </cell>
          <cell r="I406">
            <v>108000</v>
          </cell>
          <cell r="J406">
            <v>0</v>
          </cell>
        </row>
        <row r="407">
          <cell r="A407" t="str">
            <v>ID003200</v>
          </cell>
          <cell r="B407">
            <v>5810004432</v>
          </cell>
          <cell r="C407" t="str">
            <v>W54188</v>
          </cell>
          <cell r="D407">
            <v>3201</v>
          </cell>
          <cell r="E407">
            <v>9011</v>
          </cell>
          <cell r="F407">
            <v>38470</v>
          </cell>
          <cell r="G407" t="str">
            <v>IDR</v>
          </cell>
          <cell r="H407">
            <v>1154629</v>
          </cell>
          <cell r="I407">
            <v>1154629</v>
          </cell>
          <cell r="J407">
            <v>0</v>
          </cell>
        </row>
        <row r="408">
          <cell r="A408" t="str">
            <v>ID003200</v>
          </cell>
          <cell r="B408">
            <v>5810004525</v>
          </cell>
          <cell r="C408" t="str">
            <v>P55687</v>
          </cell>
          <cell r="D408">
            <v>3201</v>
          </cell>
          <cell r="E408">
            <v>9011</v>
          </cell>
          <cell r="F408">
            <v>38492</v>
          </cell>
          <cell r="G408" t="str">
            <v>IDR</v>
          </cell>
          <cell r="H408">
            <v>1526998</v>
          </cell>
          <cell r="I408">
            <v>1526998</v>
          </cell>
          <cell r="J408">
            <v>0</v>
          </cell>
        </row>
        <row r="409">
          <cell r="A409" t="str">
            <v>ID003200</v>
          </cell>
          <cell r="B409">
            <v>5810004556</v>
          </cell>
          <cell r="C409" t="str">
            <v>W54875</v>
          </cell>
          <cell r="D409">
            <v>3201</v>
          </cell>
          <cell r="E409">
            <v>9011</v>
          </cell>
          <cell r="F409">
            <v>38498</v>
          </cell>
          <cell r="G409" t="str">
            <v>IDR</v>
          </cell>
          <cell r="H409">
            <v>18000</v>
          </cell>
          <cell r="I409">
            <v>18000</v>
          </cell>
          <cell r="J409">
            <v>0</v>
          </cell>
        </row>
        <row r="410">
          <cell r="A410" t="str">
            <v>ID003200</v>
          </cell>
          <cell r="B410">
            <v>5810004556</v>
          </cell>
          <cell r="C410" t="str">
            <v>W54875</v>
          </cell>
          <cell r="D410">
            <v>3201</v>
          </cell>
          <cell r="E410">
            <v>9011</v>
          </cell>
          <cell r="F410">
            <v>38498</v>
          </cell>
          <cell r="G410" t="str">
            <v>IDR</v>
          </cell>
          <cell r="H410">
            <v>313664</v>
          </cell>
          <cell r="I410">
            <v>313664</v>
          </cell>
          <cell r="J410">
            <v>0</v>
          </cell>
        </row>
        <row r="411">
          <cell r="A411" t="str">
            <v>ID003200</v>
          </cell>
          <cell r="B411">
            <v>5810004557</v>
          </cell>
          <cell r="C411" t="str">
            <v>W55933</v>
          </cell>
          <cell r="D411">
            <v>3201</v>
          </cell>
          <cell r="E411">
            <v>9011</v>
          </cell>
          <cell r="F411">
            <v>38498</v>
          </cell>
          <cell r="G411" t="str">
            <v>IDR</v>
          </cell>
          <cell r="H411">
            <v>45000</v>
          </cell>
          <cell r="I411">
            <v>45000</v>
          </cell>
          <cell r="J411">
            <v>0</v>
          </cell>
        </row>
        <row r="412">
          <cell r="A412" t="str">
            <v>ID003200</v>
          </cell>
          <cell r="B412">
            <v>5810004557</v>
          </cell>
          <cell r="C412" t="str">
            <v>W55933</v>
          </cell>
          <cell r="D412">
            <v>3201</v>
          </cell>
          <cell r="E412">
            <v>9011</v>
          </cell>
          <cell r="F412">
            <v>38498</v>
          </cell>
          <cell r="G412" t="str">
            <v>IDR</v>
          </cell>
          <cell r="H412">
            <v>33744</v>
          </cell>
          <cell r="I412">
            <v>33744</v>
          </cell>
          <cell r="J412">
            <v>0</v>
          </cell>
        </row>
        <row r="413">
          <cell r="A413" t="str">
            <v>ID003200</v>
          </cell>
          <cell r="B413">
            <v>5810004571</v>
          </cell>
          <cell r="C413" t="str">
            <v>P55687</v>
          </cell>
          <cell r="D413">
            <v>3201</v>
          </cell>
          <cell r="E413">
            <v>9011</v>
          </cell>
          <cell r="F413">
            <v>38498</v>
          </cell>
          <cell r="G413" t="str">
            <v>IDR</v>
          </cell>
          <cell r="H413">
            <v>62455</v>
          </cell>
          <cell r="I413">
            <v>62455</v>
          </cell>
          <cell r="J413">
            <v>0</v>
          </cell>
        </row>
        <row r="414">
          <cell r="A414" t="str">
            <v>ID003200</v>
          </cell>
          <cell r="B414">
            <v>5810004655</v>
          </cell>
          <cell r="C414" t="str">
            <v>W56230</v>
          </cell>
          <cell r="D414">
            <v>3201</v>
          </cell>
          <cell r="E414">
            <v>9011</v>
          </cell>
          <cell r="F414">
            <v>38518</v>
          </cell>
          <cell r="G414" t="str">
            <v>IDR</v>
          </cell>
          <cell r="H414">
            <v>306000</v>
          </cell>
          <cell r="I414">
            <v>306000</v>
          </cell>
          <cell r="J414">
            <v>0</v>
          </cell>
        </row>
        <row r="415">
          <cell r="A415" t="str">
            <v>ID003200</v>
          </cell>
          <cell r="B415">
            <v>5810004655</v>
          </cell>
          <cell r="C415" t="str">
            <v>W56230</v>
          </cell>
          <cell r="D415">
            <v>3201</v>
          </cell>
          <cell r="E415">
            <v>9011</v>
          </cell>
          <cell r="F415">
            <v>38518</v>
          </cell>
          <cell r="G415" t="str">
            <v>IDR</v>
          </cell>
          <cell r="H415">
            <v>3436209</v>
          </cell>
          <cell r="I415">
            <v>3436209</v>
          </cell>
          <cell r="J415">
            <v>0</v>
          </cell>
        </row>
        <row r="416">
          <cell r="A416" t="str">
            <v>ID003200</v>
          </cell>
          <cell r="B416">
            <v>5810004655</v>
          </cell>
          <cell r="C416" t="str">
            <v>W56230</v>
          </cell>
          <cell r="D416">
            <v>3201</v>
          </cell>
          <cell r="E416">
            <v>9011</v>
          </cell>
          <cell r="F416">
            <v>38518</v>
          </cell>
          <cell r="G416" t="str">
            <v>IDR</v>
          </cell>
          <cell r="H416">
            <v>900</v>
          </cell>
          <cell r="I416">
            <v>900</v>
          </cell>
          <cell r="J416">
            <v>0</v>
          </cell>
        </row>
        <row r="417">
          <cell r="A417" t="str">
            <v>ID003200</v>
          </cell>
          <cell r="B417">
            <v>5810004716</v>
          </cell>
          <cell r="C417" t="str">
            <v>P58376</v>
          </cell>
          <cell r="D417">
            <v>3201</v>
          </cell>
          <cell r="E417">
            <v>9011</v>
          </cell>
          <cell r="F417">
            <v>38538</v>
          </cell>
          <cell r="G417" t="str">
            <v>IDR</v>
          </cell>
          <cell r="H417">
            <v>40855</v>
          </cell>
          <cell r="I417">
            <v>40855</v>
          </cell>
          <cell r="J417">
            <v>0</v>
          </cell>
        </row>
        <row r="418">
          <cell r="A418" t="str">
            <v>ID003200</v>
          </cell>
          <cell r="B418">
            <v>5810004719</v>
          </cell>
          <cell r="C418" t="str">
            <v>P58376</v>
          </cell>
          <cell r="D418">
            <v>3201</v>
          </cell>
          <cell r="E418">
            <v>9011</v>
          </cell>
          <cell r="F418">
            <v>38538</v>
          </cell>
          <cell r="G418" t="str">
            <v>IDR</v>
          </cell>
          <cell r="H418">
            <v>5425807</v>
          </cell>
          <cell r="I418">
            <v>5425807</v>
          </cell>
          <cell r="J418">
            <v>0</v>
          </cell>
        </row>
        <row r="419">
          <cell r="A419" t="str">
            <v>ID003200</v>
          </cell>
          <cell r="B419">
            <v>5810004827</v>
          </cell>
          <cell r="C419" t="str">
            <v>W56929</v>
          </cell>
          <cell r="D419">
            <v>3201</v>
          </cell>
          <cell r="E419">
            <v>9011</v>
          </cell>
          <cell r="F419">
            <v>38562</v>
          </cell>
          <cell r="G419" t="str">
            <v>IDR</v>
          </cell>
          <cell r="H419">
            <v>6008168</v>
          </cell>
          <cell r="I419">
            <v>6008168</v>
          </cell>
          <cell r="J419">
            <v>0</v>
          </cell>
        </row>
        <row r="420">
          <cell r="A420" t="str">
            <v>ID003200</v>
          </cell>
          <cell r="B420">
            <v>5810004827</v>
          </cell>
          <cell r="C420" t="str">
            <v>W56929</v>
          </cell>
          <cell r="D420">
            <v>3201</v>
          </cell>
          <cell r="E420">
            <v>9011</v>
          </cell>
          <cell r="F420">
            <v>38562</v>
          </cell>
          <cell r="G420" t="str">
            <v>IDR</v>
          </cell>
          <cell r="H420">
            <v>114605</v>
          </cell>
          <cell r="I420">
            <v>114605</v>
          </cell>
          <cell r="J420">
            <v>0</v>
          </cell>
        </row>
        <row r="421">
          <cell r="A421" t="str">
            <v>ID003200</v>
          </cell>
          <cell r="B421">
            <v>5810004827</v>
          </cell>
          <cell r="C421" t="str">
            <v>W56929</v>
          </cell>
          <cell r="D421">
            <v>3201</v>
          </cell>
          <cell r="E421">
            <v>9011</v>
          </cell>
          <cell r="F421">
            <v>38562</v>
          </cell>
          <cell r="G421" t="str">
            <v>IDR</v>
          </cell>
          <cell r="H421">
            <v>50150</v>
          </cell>
          <cell r="I421">
            <v>50150</v>
          </cell>
          <cell r="J421">
            <v>0</v>
          </cell>
        </row>
        <row r="422">
          <cell r="A422" t="str">
            <v>ID003200</v>
          </cell>
          <cell r="B422">
            <v>5810005000</v>
          </cell>
          <cell r="C422" t="str">
            <v>P62422</v>
          </cell>
          <cell r="D422">
            <v>3201</v>
          </cell>
          <cell r="E422">
            <v>9011</v>
          </cell>
          <cell r="F422">
            <v>38602</v>
          </cell>
          <cell r="G422" t="str">
            <v>IDR</v>
          </cell>
          <cell r="H422">
            <v>461266</v>
          </cell>
          <cell r="I422">
            <v>461266</v>
          </cell>
          <cell r="J422">
            <v>0</v>
          </cell>
        </row>
        <row r="423">
          <cell r="A423" t="str">
            <v>ID003200</v>
          </cell>
          <cell r="B423">
            <v>5810005034</v>
          </cell>
          <cell r="C423" t="str">
            <v>P62926</v>
          </cell>
          <cell r="D423">
            <v>3201</v>
          </cell>
          <cell r="E423">
            <v>9011</v>
          </cell>
          <cell r="F423">
            <v>38608</v>
          </cell>
          <cell r="G423" t="str">
            <v>IDR</v>
          </cell>
          <cell r="H423">
            <v>92898</v>
          </cell>
          <cell r="I423">
            <v>92898</v>
          </cell>
          <cell r="J423">
            <v>0</v>
          </cell>
        </row>
        <row r="424">
          <cell r="A424" t="str">
            <v>ID003200</v>
          </cell>
          <cell r="B424">
            <v>5810005083</v>
          </cell>
          <cell r="C424" t="str">
            <v>W62187</v>
          </cell>
          <cell r="D424">
            <v>3201</v>
          </cell>
          <cell r="E424">
            <v>9011</v>
          </cell>
          <cell r="F424">
            <v>38617</v>
          </cell>
          <cell r="G424" t="str">
            <v>IDR</v>
          </cell>
          <cell r="H424">
            <v>6174920</v>
          </cell>
          <cell r="I424">
            <v>6174920</v>
          </cell>
          <cell r="J424">
            <v>0</v>
          </cell>
        </row>
        <row r="425">
          <cell r="A425" t="str">
            <v>ID003200</v>
          </cell>
          <cell r="B425">
            <v>5810005265</v>
          </cell>
          <cell r="C425" t="str">
            <v>P10251</v>
          </cell>
          <cell r="D425">
            <v>3201</v>
          </cell>
          <cell r="E425">
            <v>9011</v>
          </cell>
          <cell r="F425">
            <v>38664</v>
          </cell>
          <cell r="G425" t="str">
            <v>IDR</v>
          </cell>
          <cell r="H425">
            <v>9759127</v>
          </cell>
          <cell r="I425">
            <v>9759127</v>
          </cell>
          <cell r="J425">
            <v>0</v>
          </cell>
        </row>
        <row r="426">
          <cell r="A426" t="str">
            <v>ID003200</v>
          </cell>
          <cell r="B426">
            <v>5810005272</v>
          </cell>
          <cell r="C426" t="str">
            <v>P10251</v>
          </cell>
          <cell r="D426">
            <v>3201</v>
          </cell>
          <cell r="E426">
            <v>9011</v>
          </cell>
          <cell r="F426">
            <v>38664</v>
          </cell>
          <cell r="G426" t="str">
            <v>IDR</v>
          </cell>
          <cell r="H426">
            <v>3809631</v>
          </cell>
          <cell r="I426">
            <v>3809631</v>
          </cell>
          <cell r="J426">
            <v>0</v>
          </cell>
        </row>
        <row r="427">
          <cell r="A427" t="str">
            <v>ID003200</v>
          </cell>
          <cell r="B427">
            <v>5810005272</v>
          </cell>
          <cell r="C427" t="str">
            <v>P10251</v>
          </cell>
          <cell r="D427">
            <v>3201</v>
          </cell>
          <cell r="E427">
            <v>9011</v>
          </cell>
          <cell r="F427">
            <v>38664</v>
          </cell>
          <cell r="G427" t="str">
            <v>IDR</v>
          </cell>
          <cell r="H427">
            <v>6890</v>
          </cell>
          <cell r="I427">
            <v>6890</v>
          </cell>
          <cell r="J427">
            <v>0</v>
          </cell>
        </row>
        <row r="428">
          <cell r="I428">
            <v>136137534</v>
          </cell>
        </row>
        <row r="429">
          <cell r="A429" t="str">
            <v>STEFANUS</v>
          </cell>
          <cell r="B429">
            <v>1610019464</v>
          </cell>
          <cell r="C429" t="str">
            <v>EMERGENCY SERVICE CHEROKEE B.8037 D</v>
          </cell>
          <cell r="D429">
            <v>3300</v>
          </cell>
          <cell r="E429">
            <v>9012</v>
          </cell>
          <cell r="F429">
            <v>38377</v>
          </cell>
          <cell r="G429" t="str">
            <v>IDR</v>
          </cell>
          <cell r="H429">
            <v>750000</v>
          </cell>
          <cell r="I429">
            <v>750000</v>
          </cell>
          <cell r="J429">
            <v>0</v>
          </cell>
        </row>
        <row r="430">
          <cell r="I430">
            <v>750000</v>
          </cell>
        </row>
        <row r="431">
          <cell r="A431" t="str">
            <v>ID003310</v>
          </cell>
          <cell r="B431">
            <v>5810004214</v>
          </cell>
          <cell r="C431" t="str">
            <v>W52520</v>
          </cell>
          <cell r="D431">
            <v>3311</v>
          </cell>
          <cell r="E431">
            <v>9011</v>
          </cell>
          <cell r="F431">
            <v>38446</v>
          </cell>
          <cell r="G431" t="str">
            <v>IDR</v>
          </cell>
          <cell r="H431">
            <v>28143495</v>
          </cell>
          <cell r="I431">
            <v>28143495</v>
          </cell>
          <cell r="J431">
            <v>0</v>
          </cell>
        </row>
        <row r="432">
          <cell r="A432" t="str">
            <v>ID003310</v>
          </cell>
          <cell r="B432">
            <v>5810005012</v>
          </cell>
          <cell r="C432" t="str">
            <v>W61974</v>
          </cell>
          <cell r="D432">
            <v>3311</v>
          </cell>
          <cell r="E432">
            <v>9011</v>
          </cell>
          <cell r="F432">
            <v>38604</v>
          </cell>
          <cell r="G432" t="str">
            <v>IDR</v>
          </cell>
          <cell r="H432">
            <v>45062950</v>
          </cell>
          <cell r="I432">
            <v>45062950</v>
          </cell>
          <cell r="J432">
            <v>0</v>
          </cell>
        </row>
        <row r="433">
          <cell r="A433" t="str">
            <v>ID003310</v>
          </cell>
          <cell r="B433">
            <v>5810005012</v>
          </cell>
          <cell r="C433" t="str">
            <v>W61974</v>
          </cell>
          <cell r="D433">
            <v>3311</v>
          </cell>
          <cell r="E433">
            <v>9011</v>
          </cell>
          <cell r="F433">
            <v>38604</v>
          </cell>
          <cell r="G433" t="str">
            <v>IDR</v>
          </cell>
          <cell r="H433">
            <v>5391</v>
          </cell>
          <cell r="I433">
            <v>5391</v>
          </cell>
          <cell r="J433">
            <v>0</v>
          </cell>
        </row>
        <row r="434">
          <cell r="A434" t="str">
            <v>ID003310</v>
          </cell>
          <cell r="B434">
            <v>5810005012</v>
          </cell>
          <cell r="C434" t="str">
            <v>W61974</v>
          </cell>
          <cell r="D434">
            <v>3311</v>
          </cell>
          <cell r="E434">
            <v>9011</v>
          </cell>
          <cell r="F434">
            <v>38604</v>
          </cell>
          <cell r="G434" t="str">
            <v>IDR</v>
          </cell>
          <cell r="H434">
            <v>959380</v>
          </cell>
          <cell r="I434">
            <v>959380</v>
          </cell>
          <cell r="J434">
            <v>0</v>
          </cell>
        </row>
        <row r="435">
          <cell r="A435" t="str">
            <v>ID003310</v>
          </cell>
          <cell r="B435">
            <v>5810005084</v>
          </cell>
          <cell r="C435" t="str">
            <v>W61974</v>
          </cell>
          <cell r="D435">
            <v>3311</v>
          </cell>
          <cell r="E435">
            <v>9011</v>
          </cell>
          <cell r="F435">
            <v>38617</v>
          </cell>
          <cell r="G435" t="str">
            <v>IDR</v>
          </cell>
          <cell r="H435">
            <v>52365403</v>
          </cell>
          <cell r="I435">
            <v>52365403</v>
          </cell>
          <cell r="J435">
            <v>0</v>
          </cell>
        </row>
        <row r="436">
          <cell r="A436" t="str">
            <v>ID003310</v>
          </cell>
          <cell r="B436">
            <v>5810005084</v>
          </cell>
          <cell r="C436" t="str">
            <v>W61974</v>
          </cell>
          <cell r="D436">
            <v>3311</v>
          </cell>
          <cell r="E436">
            <v>9011</v>
          </cell>
          <cell r="F436">
            <v>38617</v>
          </cell>
          <cell r="G436" t="str">
            <v>IDR</v>
          </cell>
          <cell r="H436">
            <v>1782930</v>
          </cell>
          <cell r="I436">
            <v>1782930</v>
          </cell>
          <cell r="J436">
            <v>0</v>
          </cell>
        </row>
        <row r="437">
          <cell r="A437" t="str">
            <v>ID003310</v>
          </cell>
          <cell r="B437">
            <v>5810005084</v>
          </cell>
          <cell r="C437" t="str">
            <v>W61974</v>
          </cell>
          <cell r="D437">
            <v>3311</v>
          </cell>
          <cell r="E437">
            <v>9011</v>
          </cell>
          <cell r="F437">
            <v>38617</v>
          </cell>
          <cell r="G437" t="str">
            <v>IDR</v>
          </cell>
          <cell r="H437">
            <v>310876</v>
          </cell>
          <cell r="I437">
            <v>310876</v>
          </cell>
          <cell r="J437">
            <v>0</v>
          </cell>
        </row>
        <row r="438">
          <cell r="A438" t="str">
            <v>ID003310</v>
          </cell>
          <cell r="B438">
            <v>5810005142</v>
          </cell>
          <cell r="C438" t="str">
            <v>P64011</v>
          </cell>
          <cell r="D438">
            <v>3311</v>
          </cell>
          <cell r="E438">
            <v>9011</v>
          </cell>
          <cell r="F438">
            <v>38624</v>
          </cell>
          <cell r="G438" t="str">
            <v>IDR</v>
          </cell>
          <cell r="H438">
            <v>586543</v>
          </cell>
          <cell r="I438">
            <v>586543</v>
          </cell>
          <cell r="J438">
            <v>0</v>
          </cell>
        </row>
        <row r="439">
          <cell r="A439" t="str">
            <v>ID003310</v>
          </cell>
          <cell r="B439">
            <v>5810005362</v>
          </cell>
          <cell r="C439" t="str">
            <v>W10355</v>
          </cell>
          <cell r="D439">
            <v>3311</v>
          </cell>
          <cell r="E439">
            <v>9011</v>
          </cell>
          <cell r="F439">
            <v>38681</v>
          </cell>
          <cell r="G439" t="str">
            <v>IDR</v>
          </cell>
          <cell r="H439">
            <v>36000</v>
          </cell>
          <cell r="I439">
            <v>36000</v>
          </cell>
          <cell r="J439">
            <v>0</v>
          </cell>
        </row>
        <row r="440">
          <cell r="A440" t="str">
            <v>ID003310</v>
          </cell>
          <cell r="B440">
            <v>5810005362</v>
          </cell>
          <cell r="C440" t="str">
            <v>W10355</v>
          </cell>
          <cell r="D440">
            <v>3311</v>
          </cell>
          <cell r="E440">
            <v>9011</v>
          </cell>
          <cell r="F440">
            <v>38681</v>
          </cell>
          <cell r="G440" t="str">
            <v>IDR</v>
          </cell>
          <cell r="H440">
            <v>28220</v>
          </cell>
          <cell r="I440">
            <v>28220</v>
          </cell>
          <cell r="J440">
            <v>0</v>
          </cell>
        </row>
        <row r="441">
          <cell r="A441" t="str">
            <v>ID003310</v>
          </cell>
          <cell r="B441">
            <v>5810005454</v>
          </cell>
          <cell r="C441" t="str">
            <v>W12902</v>
          </cell>
          <cell r="D441">
            <v>3311</v>
          </cell>
          <cell r="E441">
            <v>9011</v>
          </cell>
          <cell r="F441">
            <v>38705</v>
          </cell>
          <cell r="G441" t="str">
            <v>IDR</v>
          </cell>
          <cell r="H441">
            <v>135000</v>
          </cell>
          <cell r="I441">
            <v>135000</v>
          </cell>
          <cell r="J441">
            <v>0</v>
          </cell>
        </row>
        <row r="442">
          <cell r="A442" t="str">
            <v>ID003310</v>
          </cell>
          <cell r="B442">
            <v>5810005454</v>
          </cell>
          <cell r="C442" t="str">
            <v>W12902</v>
          </cell>
          <cell r="D442">
            <v>3311</v>
          </cell>
          <cell r="E442">
            <v>9011</v>
          </cell>
          <cell r="F442">
            <v>38705</v>
          </cell>
          <cell r="G442" t="str">
            <v>IDR</v>
          </cell>
          <cell r="H442">
            <v>1868548</v>
          </cell>
          <cell r="I442">
            <v>1868548</v>
          </cell>
          <cell r="J442">
            <v>0</v>
          </cell>
        </row>
        <row r="443">
          <cell r="I443">
            <v>131284736</v>
          </cell>
        </row>
        <row r="444">
          <cell r="A444">
            <v>3400</v>
          </cell>
          <cell r="B444">
            <v>5010012013</v>
          </cell>
          <cell r="C444" t="str">
            <v>Tyre for 300GE Service - B 1751 BR</v>
          </cell>
          <cell r="D444">
            <v>3400</v>
          </cell>
          <cell r="E444">
            <v>9012</v>
          </cell>
          <cell r="F444">
            <v>38383</v>
          </cell>
          <cell r="G444" t="str">
            <v>IDR</v>
          </cell>
          <cell r="H444">
            <v>1160000</v>
          </cell>
          <cell r="I444">
            <v>1160000</v>
          </cell>
          <cell r="J444">
            <v>2</v>
          </cell>
        </row>
        <row r="445">
          <cell r="A445" t="str">
            <v>DIPO SERVICE</v>
          </cell>
          <cell r="B445">
            <v>1610020768</v>
          </cell>
          <cell r="C445" t="str">
            <v>SERVICE C 240 B.8924 MP CARS OF MR.KAPITZKI</v>
          </cell>
          <cell r="D445">
            <v>3401</v>
          </cell>
          <cell r="E445">
            <v>9011</v>
          </cell>
          <cell r="F445">
            <v>38503</v>
          </cell>
          <cell r="G445" t="str">
            <v>IDR</v>
          </cell>
          <cell r="H445">
            <v>2374800</v>
          </cell>
          <cell r="I445">
            <v>2374800</v>
          </cell>
          <cell r="J445">
            <v>0</v>
          </cell>
        </row>
        <row r="446">
          <cell r="A446" t="str">
            <v>ID003400</v>
          </cell>
          <cell r="B446">
            <v>1810031467</v>
          </cell>
          <cell r="C446" t="str">
            <v>W54647</v>
          </cell>
          <cell r="D446">
            <v>3401</v>
          </cell>
          <cell r="E446">
            <v>9011</v>
          </cell>
          <cell r="F446">
            <v>38572</v>
          </cell>
          <cell r="G446" t="str">
            <v>IDR</v>
          </cell>
          <cell r="H446">
            <v>4910985</v>
          </cell>
          <cell r="I446">
            <v>4910985</v>
          </cell>
          <cell r="J446">
            <v>0</v>
          </cell>
        </row>
        <row r="447">
          <cell r="A447" t="str">
            <v>ID003400</v>
          </cell>
          <cell r="B447">
            <v>5810003754</v>
          </cell>
          <cell r="C447" t="str">
            <v>W46949</v>
          </cell>
          <cell r="D447">
            <v>3401</v>
          </cell>
          <cell r="E447">
            <v>9011</v>
          </cell>
          <cell r="F447">
            <v>38370</v>
          </cell>
          <cell r="G447" t="str">
            <v>IDR</v>
          </cell>
          <cell r="H447">
            <v>333905</v>
          </cell>
          <cell r="I447">
            <v>333905</v>
          </cell>
          <cell r="J447">
            <v>0</v>
          </cell>
        </row>
        <row r="448">
          <cell r="A448" t="str">
            <v>ID003400</v>
          </cell>
          <cell r="B448">
            <v>5810003785</v>
          </cell>
          <cell r="C448" t="str">
            <v>W46949</v>
          </cell>
          <cell r="D448">
            <v>3401</v>
          </cell>
          <cell r="E448">
            <v>9011</v>
          </cell>
          <cell r="F448">
            <v>38377</v>
          </cell>
          <cell r="G448" t="str">
            <v>IDR</v>
          </cell>
          <cell r="H448">
            <v>2287599</v>
          </cell>
          <cell r="I448">
            <v>2287599</v>
          </cell>
          <cell r="J448">
            <v>0</v>
          </cell>
        </row>
        <row r="449">
          <cell r="A449" t="str">
            <v>ID003400</v>
          </cell>
          <cell r="B449">
            <v>5810003785</v>
          </cell>
          <cell r="C449" t="str">
            <v>W46949</v>
          </cell>
          <cell r="D449">
            <v>3401</v>
          </cell>
          <cell r="E449">
            <v>9011</v>
          </cell>
          <cell r="F449">
            <v>38377</v>
          </cell>
          <cell r="G449" t="str">
            <v>IDR</v>
          </cell>
          <cell r="H449">
            <v>146050</v>
          </cell>
          <cell r="I449">
            <v>146050</v>
          </cell>
          <cell r="J449">
            <v>0</v>
          </cell>
        </row>
        <row r="450">
          <cell r="A450" t="str">
            <v>ID003400</v>
          </cell>
          <cell r="B450">
            <v>5810003796</v>
          </cell>
          <cell r="C450" t="str">
            <v>W46949</v>
          </cell>
          <cell r="D450">
            <v>3401</v>
          </cell>
          <cell r="E450">
            <v>9011</v>
          </cell>
          <cell r="F450">
            <v>38378</v>
          </cell>
          <cell r="G450" t="str">
            <v>IDR</v>
          </cell>
          <cell r="H450">
            <v>156579</v>
          </cell>
          <cell r="I450">
            <v>156579</v>
          </cell>
          <cell r="J450">
            <v>0</v>
          </cell>
        </row>
        <row r="451">
          <cell r="A451" t="str">
            <v>ID003400</v>
          </cell>
          <cell r="B451">
            <v>5810003802</v>
          </cell>
          <cell r="C451" t="str">
            <v>W46949</v>
          </cell>
          <cell r="D451">
            <v>3401</v>
          </cell>
          <cell r="E451">
            <v>9011</v>
          </cell>
          <cell r="F451">
            <v>38378</v>
          </cell>
          <cell r="G451" t="str">
            <v>IDR</v>
          </cell>
          <cell r="H451">
            <v>2299445</v>
          </cell>
          <cell r="I451">
            <v>2299445</v>
          </cell>
          <cell r="J451">
            <v>0</v>
          </cell>
        </row>
        <row r="452">
          <cell r="A452" t="str">
            <v>ID003400</v>
          </cell>
          <cell r="B452">
            <v>5810003802</v>
          </cell>
          <cell r="C452" t="str">
            <v>W46949</v>
          </cell>
          <cell r="D452">
            <v>3401</v>
          </cell>
          <cell r="E452">
            <v>9011</v>
          </cell>
          <cell r="F452">
            <v>38378</v>
          </cell>
          <cell r="G452" t="str">
            <v>IDR</v>
          </cell>
          <cell r="H452">
            <v>105290</v>
          </cell>
          <cell r="I452">
            <v>105290</v>
          </cell>
          <cell r="J452">
            <v>0</v>
          </cell>
        </row>
        <row r="453">
          <cell r="A453" t="str">
            <v>ID003400</v>
          </cell>
          <cell r="B453">
            <v>5810003809</v>
          </cell>
          <cell r="C453" t="str">
            <v>W46949</v>
          </cell>
          <cell r="D453">
            <v>3401</v>
          </cell>
          <cell r="E453">
            <v>9011</v>
          </cell>
          <cell r="F453">
            <v>38380</v>
          </cell>
          <cell r="G453" t="str">
            <v>IDR</v>
          </cell>
          <cell r="H453">
            <v>298562</v>
          </cell>
          <cell r="I453">
            <v>298562</v>
          </cell>
          <cell r="J453">
            <v>0</v>
          </cell>
        </row>
        <row r="454">
          <cell r="A454" t="str">
            <v>ID003400</v>
          </cell>
          <cell r="B454">
            <v>5810003821</v>
          </cell>
          <cell r="C454" t="str">
            <v>W46949</v>
          </cell>
          <cell r="D454">
            <v>3401</v>
          </cell>
          <cell r="E454">
            <v>9011</v>
          </cell>
          <cell r="F454">
            <v>38383</v>
          </cell>
          <cell r="G454" t="str">
            <v>IDR</v>
          </cell>
          <cell r="H454">
            <v>161448</v>
          </cell>
          <cell r="I454">
            <v>161448</v>
          </cell>
          <cell r="J454">
            <v>0</v>
          </cell>
        </row>
        <row r="455">
          <cell r="A455" t="str">
            <v>ID003400</v>
          </cell>
          <cell r="B455">
            <v>5810003821</v>
          </cell>
          <cell r="C455" t="str">
            <v>W46949</v>
          </cell>
          <cell r="D455">
            <v>3401</v>
          </cell>
          <cell r="E455">
            <v>9011</v>
          </cell>
          <cell r="F455">
            <v>38383</v>
          </cell>
          <cell r="G455" t="str">
            <v>IDR</v>
          </cell>
          <cell r="H455">
            <v>13200</v>
          </cell>
          <cell r="I455">
            <v>13200</v>
          </cell>
          <cell r="J455">
            <v>0</v>
          </cell>
        </row>
        <row r="456">
          <cell r="A456" t="str">
            <v>ID003400</v>
          </cell>
          <cell r="B456">
            <v>5810003852</v>
          </cell>
          <cell r="C456" t="str">
            <v>W46949</v>
          </cell>
          <cell r="D456">
            <v>3401</v>
          </cell>
          <cell r="E456">
            <v>9011</v>
          </cell>
          <cell r="F456">
            <v>38387</v>
          </cell>
          <cell r="G456" t="str">
            <v>IDR</v>
          </cell>
          <cell r="H456">
            <v>2893601</v>
          </cell>
          <cell r="I456">
            <v>2893601</v>
          </cell>
          <cell r="J456">
            <v>0</v>
          </cell>
        </row>
        <row r="457">
          <cell r="A457" t="str">
            <v>ID003400</v>
          </cell>
          <cell r="B457">
            <v>5810003852</v>
          </cell>
          <cell r="C457" t="str">
            <v>W46949</v>
          </cell>
          <cell r="D457">
            <v>3401</v>
          </cell>
          <cell r="E457">
            <v>9011</v>
          </cell>
          <cell r="F457">
            <v>38387</v>
          </cell>
          <cell r="G457" t="str">
            <v>IDR</v>
          </cell>
          <cell r="H457">
            <v>9302</v>
          </cell>
          <cell r="I457">
            <v>9302</v>
          </cell>
          <cell r="J457">
            <v>0</v>
          </cell>
        </row>
        <row r="458">
          <cell r="A458" t="str">
            <v>ID003400</v>
          </cell>
          <cell r="B458">
            <v>5810003852</v>
          </cell>
          <cell r="C458" t="str">
            <v>W46949</v>
          </cell>
          <cell r="D458">
            <v>3401</v>
          </cell>
          <cell r="E458">
            <v>9011</v>
          </cell>
          <cell r="F458">
            <v>38387</v>
          </cell>
          <cell r="G458" t="str">
            <v>IDR</v>
          </cell>
          <cell r="H458">
            <v>135820</v>
          </cell>
          <cell r="I458">
            <v>135820</v>
          </cell>
          <cell r="J458">
            <v>0</v>
          </cell>
        </row>
        <row r="459">
          <cell r="A459" t="str">
            <v>ID003400</v>
          </cell>
          <cell r="B459">
            <v>5810003935</v>
          </cell>
          <cell r="C459" t="str">
            <v>W46949</v>
          </cell>
          <cell r="D459">
            <v>3401</v>
          </cell>
          <cell r="E459">
            <v>9011</v>
          </cell>
          <cell r="F459">
            <v>38404</v>
          </cell>
          <cell r="G459" t="str">
            <v>IDR</v>
          </cell>
          <cell r="H459">
            <v>3101576</v>
          </cell>
          <cell r="I459">
            <v>3101576</v>
          </cell>
          <cell r="J459">
            <v>0</v>
          </cell>
        </row>
        <row r="460">
          <cell r="A460" t="str">
            <v>ID003400</v>
          </cell>
          <cell r="B460">
            <v>5810003935</v>
          </cell>
          <cell r="C460" t="str">
            <v>W46949</v>
          </cell>
          <cell r="D460">
            <v>3401</v>
          </cell>
          <cell r="E460">
            <v>9011</v>
          </cell>
          <cell r="F460">
            <v>38404</v>
          </cell>
          <cell r="G460" t="str">
            <v>IDR</v>
          </cell>
          <cell r="H460">
            <v>282285</v>
          </cell>
          <cell r="I460">
            <v>282285</v>
          </cell>
          <cell r="J460">
            <v>0</v>
          </cell>
        </row>
        <row r="461">
          <cell r="A461" t="str">
            <v>ID003400</v>
          </cell>
          <cell r="B461">
            <v>5810003972</v>
          </cell>
          <cell r="C461" t="str">
            <v>W46949</v>
          </cell>
          <cell r="D461">
            <v>3401</v>
          </cell>
          <cell r="E461">
            <v>9011</v>
          </cell>
          <cell r="F461">
            <v>38406</v>
          </cell>
          <cell r="G461" t="str">
            <v>IDR</v>
          </cell>
          <cell r="H461">
            <v>124505</v>
          </cell>
          <cell r="I461">
            <v>124505</v>
          </cell>
          <cell r="J461">
            <v>0</v>
          </cell>
        </row>
        <row r="462">
          <cell r="A462" t="str">
            <v>ID003400</v>
          </cell>
          <cell r="B462">
            <v>5810003972</v>
          </cell>
          <cell r="C462" t="str">
            <v>W46949</v>
          </cell>
          <cell r="D462">
            <v>3401</v>
          </cell>
          <cell r="E462">
            <v>9011</v>
          </cell>
          <cell r="F462">
            <v>38406</v>
          </cell>
          <cell r="G462" t="str">
            <v>IDR</v>
          </cell>
          <cell r="H462">
            <v>2670</v>
          </cell>
          <cell r="I462">
            <v>2670</v>
          </cell>
          <cell r="J462">
            <v>0</v>
          </cell>
        </row>
        <row r="463">
          <cell r="A463" t="str">
            <v>ID003400</v>
          </cell>
          <cell r="B463">
            <v>5810003993</v>
          </cell>
          <cell r="C463" t="str">
            <v>W46949</v>
          </cell>
          <cell r="D463">
            <v>3401</v>
          </cell>
          <cell r="E463">
            <v>9011</v>
          </cell>
          <cell r="F463">
            <v>38408</v>
          </cell>
          <cell r="G463" t="str">
            <v>IDR</v>
          </cell>
          <cell r="H463">
            <v>-314914</v>
          </cell>
          <cell r="I463">
            <v>-314914</v>
          </cell>
          <cell r="J463">
            <v>0</v>
          </cell>
        </row>
        <row r="464">
          <cell r="A464" t="str">
            <v>ID003400</v>
          </cell>
          <cell r="B464">
            <v>5810004010</v>
          </cell>
          <cell r="C464" t="str">
            <v>W50345</v>
          </cell>
          <cell r="D464">
            <v>3401</v>
          </cell>
          <cell r="E464">
            <v>9011</v>
          </cell>
          <cell r="F464">
            <v>38411</v>
          </cell>
          <cell r="G464" t="str">
            <v>IDR</v>
          </cell>
          <cell r="H464">
            <v>45265</v>
          </cell>
          <cell r="I464">
            <v>45265</v>
          </cell>
          <cell r="J464">
            <v>0</v>
          </cell>
        </row>
        <row r="465">
          <cell r="A465" t="str">
            <v>ID003400</v>
          </cell>
          <cell r="B465">
            <v>5810004010</v>
          </cell>
          <cell r="C465" t="str">
            <v>W50345</v>
          </cell>
          <cell r="D465">
            <v>3401</v>
          </cell>
          <cell r="E465">
            <v>9011</v>
          </cell>
          <cell r="F465">
            <v>38411</v>
          </cell>
          <cell r="G465" t="str">
            <v>IDR</v>
          </cell>
          <cell r="H465">
            <v>824</v>
          </cell>
          <cell r="I465">
            <v>824</v>
          </cell>
          <cell r="J465">
            <v>0</v>
          </cell>
        </row>
        <row r="466">
          <cell r="A466" t="str">
            <v>ID003400</v>
          </cell>
          <cell r="B466">
            <v>5810004036</v>
          </cell>
          <cell r="C466" t="str">
            <v>W46949</v>
          </cell>
          <cell r="D466">
            <v>3401</v>
          </cell>
          <cell r="E466">
            <v>9011</v>
          </cell>
          <cell r="F466">
            <v>38414</v>
          </cell>
          <cell r="G466" t="str">
            <v>IDR</v>
          </cell>
          <cell r="H466">
            <v>766634</v>
          </cell>
          <cell r="I466">
            <v>766634</v>
          </cell>
          <cell r="J466">
            <v>0</v>
          </cell>
        </row>
        <row r="467">
          <cell r="A467" t="str">
            <v>ID003400</v>
          </cell>
          <cell r="B467">
            <v>5810004036</v>
          </cell>
          <cell r="C467" t="str">
            <v>W46949</v>
          </cell>
          <cell r="D467">
            <v>3401</v>
          </cell>
          <cell r="E467">
            <v>9011</v>
          </cell>
          <cell r="F467">
            <v>38414</v>
          </cell>
          <cell r="G467" t="str">
            <v>IDR</v>
          </cell>
          <cell r="H467">
            <v>178293</v>
          </cell>
          <cell r="I467">
            <v>178293</v>
          </cell>
          <cell r="J467">
            <v>0</v>
          </cell>
        </row>
        <row r="468">
          <cell r="A468" t="str">
            <v>ID003400</v>
          </cell>
          <cell r="B468">
            <v>5810004315</v>
          </cell>
          <cell r="C468" t="str">
            <v>W50345</v>
          </cell>
          <cell r="D468">
            <v>3401</v>
          </cell>
          <cell r="E468">
            <v>9011</v>
          </cell>
          <cell r="F468">
            <v>38455</v>
          </cell>
          <cell r="G468" t="str">
            <v>IDR</v>
          </cell>
          <cell r="H468">
            <v>180000</v>
          </cell>
          <cell r="I468">
            <v>180000</v>
          </cell>
          <cell r="J468">
            <v>0</v>
          </cell>
        </row>
        <row r="469">
          <cell r="A469" t="str">
            <v>ID003400</v>
          </cell>
          <cell r="B469">
            <v>5810004822</v>
          </cell>
          <cell r="C469" t="str">
            <v>W44505</v>
          </cell>
          <cell r="D469">
            <v>3401</v>
          </cell>
          <cell r="E469">
            <v>9011</v>
          </cell>
          <cell r="F469">
            <v>38561</v>
          </cell>
          <cell r="G469" t="str">
            <v>IDR</v>
          </cell>
          <cell r="H469">
            <v>685000</v>
          </cell>
          <cell r="I469">
            <v>685000</v>
          </cell>
          <cell r="J469">
            <v>0</v>
          </cell>
        </row>
        <row r="470">
          <cell r="A470" t="str">
            <v>ID003400</v>
          </cell>
          <cell r="B470">
            <v>5810004882</v>
          </cell>
          <cell r="C470" t="str">
            <v>P61059</v>
          </cell>
          <cell r="D470">
            <v>3401</v>
          </cell>
          <cell r="E470">
            <v>9011</v>
          </cell>
          <cell r="F470">
            <v>38576</v>
          </cell>
          <cell r="G470" t="str">
            <v>IDR</v>
          </cell>
          <cell r="H470">
            <v>147590</v>
          </cell>
          <cell r="I470">
            <v>147590</v>
          </cell>
          <cell r="J470">
            <v>0</v>
          </cell>
        </row>
        <row r="471">
          <cell r="A471" t="str">
            <v>ID003400</v>
          </cell>
          <cell r="B471">
            <v>5810004916</v>
          </cell>
          <cell r="C471" t="str">
            <v>P61059</v>
          </cell>
          <cell r="D471">
            <v>3401</v>
          </cell>
          <cell r="E471">
            <v>9011</v>
          </cell>
          <cell r="F471">
            <v>38586</v>
          </cell>
          <cell r="G471" t="str">
            <v>IDR</v>
          </cell>
          <cell r="H471">
            <v>416935</v>
          </cell>
          <cell r="I471">
            <v>416935</v>
          </cell>
          <cell r="J471">
            <v>0</v>
          </cell>
        </row>
        <row r="472">
          <cell r="A472" t="str">
            <v>ID003400</v>
          </cell>
          <cell r="B472">
            <v>5810004916</v>
          </cell>
          <cell r="C472" t="str">
            <v>P61059</v>
          </cell>
          <cell r="D472">
            <v>3401</v>
          </cell>
          <cell r="E472">
            <v>9011</v>
          </cell>
          <cell r="F472">
            <v>38586</v>
          </cell>
          <cell r="G472" t="str">
            <v>IDR</v>
          </cell>
          <cell r="H472">
            <v>31390</v>
          </cell>
          <cell r="I472">
            <v>31390</v>
          </cell>
          <cell r="J472">
            <v>0</v>
          </cell>
        </row>
        <row r="473">
          <cell r="A473" t="str">
            <v>ID003400</v>
          </cell>
          <cell r="B473">
            <v>5810005301</v>
          </cell>
          <cell r="C473" t="str">
            <v>P61059</v>
          </cell>
          <cell r="D473">
            <v>3401</v>
          </cell>
          <cell r="E473">
            <v>9011</v>
          </cell>
          <cell r="F473">
            <v>38672</v>
          </cell>
          <cell r="G473" t="str">
            <v>IDR</v>
          </cell>
          <cell r="H473">
            <v>277770</v>
          </cell>
          <cell r="I473">
            <v>277770</v>
          </cell>
          <cell r="J473">
            <v>0</v>
          </cell>
        </row>
        <row r="474">
          <cell r="I474">
            <v>23212409</v>
          </cell>
        </row>
        <row r="475">
          <cell r="A475" t="str">
            <v>ARMIN OTT</v>
          </cell>
          <cell r="B475">
            <v>110188962</v>
          </cell>
          <cell r="C475" t="str">
            <v>PATCH TYRE EXP.FOR MR.ARMIN OTT'S CAR</v>
          </cell>
          <cell r="D475">
            <v>3411</v>
          </cell>
          <cell r="E475">
            <v>9011</v>
          </cell>
          <cell r="F475">
            <v>38398</v>
          </cell>
          <cell r="G475" t="str">
            <v>IDR</v>
          </cell>
          <cell r="H475">
            <v>8000</v>
          </cell>
          <cell r="I475">
            <v>8000</v>
          </cell>
          <cell r="J475">
            <v>0</v>
          </cell>
        </row>
        <row r="476">
          <cell r="A476">
            <v>3411</v>
          </cell>
          <cell r="B476">
            <v>1810031217</v>
          </cell>
          <cell r="C476" t="str">
            <v>19227/04-W55180-ID003410</v>
          </cell>
          <cell r="D476">
            <v>3411</v>
          </cell>
          <cell r="E476">
            <v>9011</v>
          </cell>
          <cell r="F476">
            <v>38562</v>
          </cell>
          <cell r="G476" t="str">
            <v>IDR</v>
          </cell>
          <cell r="H476">
            <v>14453791</v>
          </cell>
          <cell r="I476">
            <v>14453791</v>
          </cell>
          <cell r="J476">
            <v>0</v>
          </cell>
        </row>
        <row r="477">
          <cell r="A477" t="str">
            <v>ID003410</v>
          </cell>
          <cell r="B477">
            <v>1810031473</v>
          </cell>
          <cell r="C477" t="str">
            <v>W60313</v>
          </cell>
          <cell r="D477">
            <v>3411</v>
          </cell>
          <cell r="E477">
            <v>9011</v>
          </cell>
          <cell r="F477">
            <v>38575</v>
          </cell>
          <cell r="G477" t="str">
            <v>IDR</v>
          </cell>
          <cell r="H477">
            <v>4040164</v>
          </cell>
          <cell r="I477">
            <v>4040164</v>
          </cell>
          <cell r="J477">
            <v>0</v>
          </cell>
        </row>
        <row r="478">
          <cell r="A478" t="str">
            <v>ID103410</v>
          </cell>
          <cell r="B478">
            <v>1810031859</v>
          </cell>
          <cell r="C478" t="str">
            <v>W64396</v>
          </cell>
          <cell r="D478">
            <v>3411</v>
          </cell>
          <cell r="E478">
            <v>9011</v>
          </cell>
          <cell r="F478">
            <v>38643</v>
          </cell>
          <cell r="G478" t="str">
            <v>IDR</v>
          </cell>
          <cell r="H478">
            <v>5193264</v>
          </cell>
          <cell r="I478">
            <v>5193264</v>
          </cell>
          <cell r="J478">
            <v>0</v>
          </cell>
        </row>
        <row r="479">
          <cell r="A479" t="str">
            <v>ID003410</v>
          </cell>
          <cell r="B479">
            <v>5810003467</v>
          </cell>
          <cell r="C479" t="str">
            <v>W47518</v>
          </cell>
          <cell r="D479">
            <v>3411</v>
          </cell>
          <cell r="E479">
            <v>9011</v>
          </cell>
          <cell r="F479">
            <v>38357</v>
          </cell>
          <cell r="G479" t="str">
            <v>IDR</v>
          </cell>
          <cell r="H479">
            <v>1943579</v>
          </cell>
          <cell r="I479">
            <v>1943579</v>
          </cell>
          <cell r="J479">
            <v>0</v>
          </cell>
        </row>
        <row r="480">
          <cell r="A480" t="str">
            <v>ID003410</v>
          </cell>
          <cell r="B480">
            <v>5810003467</v>
          </cell>
          <cell r="C480" t="str">
            <v>W47518</v>
          </cell>
          <cell r="D480">
            <v>3411</v>
          </cell>
          <cell r="E480">
            <v>9011</v>
          </cell>
          <cell r="F480">
            <v>38357</v>
          </cell>
          <cell r="G480" t="str">
            <v>IDR</v>
          </cell>
          <cell r="H480">
            <v>68830</v>
          </cell>
          <cell r="I480">
            <v>68830</v>
          </cell>
          <cell r="J480">
            <v>0</v>
          </cell>
        </row>
        <row r="481">
          <cell r="A481" t="str">
            <v>ID003410</v>
          </cell>
          <cell r="B481">
            <v>5810003467</v>
          </cell>
          <cell r="C481" t="str">
            <v>W47518</v>
          </cell>
          <cell r="D481">
            <v>3411</v>
          </cell>
          <cell r="E481">
            <v>9011</v>
          </cell>
          <cell r="F481">
            <v>38357</v>
          </cell>
          <cell r="G481" t="str">
            <v>IDR</v>
          </cell>
          <cell r="H481">
            <v>52610</v>
          </cell>
          <cell r="I481">
            <v>52610</v>
          </cell>
          <cell r="J481">
            <v>0</v>
          </cell>
        </row>
        <row r="482">
          <cell r="A482" t="str">
            <v>ID003410</v>
          </cell>
          <cell r="B482">
            <v>5810003467</v>
          </cell>
          <cell r="C482" t="str">
            <v>W47518</v>
          </cell>
          <cell r="D482">
            <v>3411</v>
          </cell>
          <cell r="E482">
            <v>9011</v>
          </cell>
          <cell r="F482">
            <v>38357</v>
          </cell>
          <cell r="G482" t="str">
            <v>IDR</v>
          </cell>
          <cell r="H482">
            <v>135305</v>
          </cell>
          <cell r="I482">
            <v>135305</v>
          </cell>
          <cell r="J482">
            <v>0</v>
          </cell>
        </row>
        <row r="483">
          <cell r="A483" t="str">
            <v>ID003410</v>
          </cell>
          <cell r="B483">
            <v>5810003483</v>
          </cell>
          <cell r="C483" t="str">
            <v>W46970</v>
          </cell>
          <cell r="D483">
            <v>3411</v>
          </cell>
          <cell r="E483">
            <v>9011</v>
          </cell>
          <cell r="F483">
            <v>38358</v>
          </cell>
          <cell r="G483" t="str">
            <v>IDR</v>
          </cell>
          <cell r="H483">
            <v>163935</v>
          </cell>
          <cell r="I483">
            <v>163935</v>
          </cell>
          <cell r="J483">
            <v>0</v>
          </cell>
        </row>
        <row r="484">
          <cell r="A484" t="str">
            <v>ID003410</v>
          </cell>
          <cell r="B484">
            <v>5810003483</v>
          </cell>
          <cell r="C484" t="str">
            <v>W46970</v>
          </cell>
          <cell r="D484">
            <v>3411</v>
          </cell>
          <cell r="E484">
            <v>9011</v>
          </cell>
          <cell r="F484">
            <v>38358</v>
          </cell>
          <cell r="G484" t="str">
            <v>IDR</v>
          </cell>
          <cell r="H484">
            <v>479685</v>
          </cell>
          <cell r="I484">
            <v>479685</v>
          </cell>
          <cell r="J484">
            <v>0</v>
          </cell>
        </row>
        <row r="485">
          <cell r="A485" t="str">
            <v>ID003410</v>
          </cell>
          <cell r="B485">
            <v>5810003486</v>
          </cell>
          <cell r="C485" t="str">
            <v>P47657</v>
          </cell>
          <cell r="D485">
            <v>3411</v>
          </cell>
          <cell r="E485">
            <v>9011</v>
          </cell>
          <cell r="F485">
            <v>38358</v>
          </cell>
          <cell r="G485" t="str">
            <v>IDR</v>
          </cell>
          <cell r="H485">
            <v>2694802</v>
          </cell>
          <cell r="I485">
            <v>2694802</v>
          </cell>
          <cell r="J485">
            <v>0</v>
          </cell>
        </row>
        <row r="486">
          <cell r="A486" t="str">
            <v>ID003410</v>
          </cell>
          <cell r="B486">
            <v>5810003532</v>
          </cell>
          <cell r="C486" t="str">
            <v>P44422</v>
          </cell>
          <cell r="D486">
            <v>3411</v>
          </cell>
          <cell r="E486">
            <v>9011</v>
          </cell>
          <cell r="F486">
            <v>38365</v>
          </cell>
          <cell r="G486" t="str">
            <v>IDR</v>
          </cell>
          <cell r="H486">
            <v>-116686</v>
          </cell>
          <cell r="I486">
            <v>-116686</v>
          </cell>
          <cell r="J486">
            <v>0</v>
          </cell>
        </row>
        <row r="487">
          <cell r="A487" t="str">
            <v>ID003410</v>
          </cell>
          <cell r="B487">
            <v>5810003538</v>
          </cell>
          <cell r="C487" t="str">
            <v>P44422</v>
          </cell>
          <cell r="D487">
            <v>3411</v>
          </cell>
          <cell r="E487">
            <v>9011</v>
          </cell>
          <cell r="F487">
            <v>38365</v>
          </cell>
          <cell r="G487" t="str">
            <v>IDR</v>
          </cell>
          <cell r="H487">
            <v>-157229</v>
          </cell>
          <cell r="I487">
            <v>-157229</v>
          </cell>
          <cell r="J487">
            <v>0</v>
          </cell>
        </row>
        <row r="488">
          <cell r="A488" t="str">
            <v>ID003410</v>
          </cell>
          <cell r="B488">
            <v>5810003738</v>
          </cell>
          <cell r="C488" t="str">
            <v>W48078</v>
          </cell>
          <cell r="D488">
            <v>3411</v>
          </cell>
          <cell r="E488">
            <v>9011</v>
          </cell>
          <cell r="F488">
            <v>38366</v>
          </cell>
          <cell r="G488" t="str">
            <v>IDR</v>
          </cell>
          <cell r="H488">
            <v>27000</v>
          </cell>
          <cell r="I488">
            <v>27000</v>
          </cell>
          <cell r="J488">
            <v>0</v>
          </cell>
        </row>
        <row r="489">
          <cell r="A489" t="str">
            <v>ID003410</v>
          </cell>
          <cell r="B489">
            <v>5810003738</v>
          </cell>
          <cell r="C489" t="str">
            <v>W48078</v>
          </cell>
          <cell r="D489">
            <v>3411</v>
          </cell>
          <cell r="E489">
            <v>9011</v>
          </cell>
          <cell r="F489">
            <v>38366</v>
          </cell>
          <cell r="G489" t="str">
            <v>IDR</v>
          </cell>
          <cell r="H489">
            <v>1080000</v>
          </cell>
          <cell r="I489">
            <v>1080000</v>
          </cell>
          <cell r="J489">
            <v>0</v>
          </cell>
        </row>
        <row r="490">
          <cell r="A490" t="str">
            <v>ID003410</v>
          </cell>
          <cell r="B490">
            <v>5810003748</v>
          </cell>
          <cell r="C490" t="str">
            <v>P48254</v>
          </cell>
          <cell r="D490">
            <v>3411</v>
          </cell>
          <cell r="E490">
            <v>9011</v>
          </cell>
          <cell r="F490">
            <v>38369</v>
          </cell>
          <cell r="G490" t="str">
            <v>IDR</v>
          </cell>
          <cell r="H490">
            <v>2423873</v>
          </cell>
          <cell r="I490">
            <v>2423873</v>
          </cell>
          <cell r="J490">
            <v>0</v>
          </cell>
        </row>
        <row r="491">
          <cell r="A491" t="str">
            <v>ID003410</v>
          </cell>
          <cell r="B491">
            <v>5810003756</v>
          </cell>
          <cell r="C491" t="str">
            <v>P22414</v>
          </cell>
          <cell r="D491">
            <v>3411</v>
          </cell>
          <cell r="E491">
            <v>9011</v>
          </cell>
          <cell r="F491">
            <v>38370</v>
          </cell>
          <cell r="G491" t="str">
            <v>IDR</v>
          </cell>
          <cell r="H491">
            <v>334389</v>
          </cell>
          <cell r="I491">
            <v>334389</v>
          </cell>
          <cell r="J491">
            <v>0</v>
          </cell>
        </row>
        <row r="492">
          <cell r="A492" t="str">
            <v>ID003410</v>
          </cell>
          <cell r="B492">
            <v>5810003757</v>
          </cell>
          <cell r="C492" t="str">
            <v>P32449</v>
          </cell>
          <cell r="D492">
            <v>3411</v>
          </cell>
          <cell r="E492">
            <v>9011</v>
          </cell>
          <cell r="F492">
            <v>38370</v>
          </cell>
          <cell r="G492" t="str">
            <v>IDR</v>
          </cell>
          <cell r="H492">
            <v>203564</v>
          </cell>
          <cell r="I492">
            <v>203564</v>
          </cell>
          <cell r="J492">
            <v>0</v>
          </cell>
        </row>
        <row r="493">
          <cell r="A493" t="str">
            <v>ID003410</v>
          </cell>
          <cell r="B493">
            <v>5810003758</v>
          </cell>
          <cell r="C493" t="str">
            <v>P32451</v>
          </cell>
          <cell r="D493">
            <v>3411</v>
          </cell>
          <cell r="E493">
            <v>9011</v>
          </cell>
          <cell r="F493">
            <v>38370</v>
          </cell>
          <cell r="G493" t="str">
            <v>IDR</v>
          </cell>
          <cell r="H493">
            <v>82711</v>
          </cell>
          <cell r="I493">
            <v>82711</v>
          </cell>
          <cell r="J493">
            <v>0</v>
          </cell>
        </row>
        <row r="494">
          <cell r="A494" t="str">
            <v>ID003410</v>
          </cell>
          <cell r="B494">
            <v>5810003758</v>
          </cell>
          <cell r="C494" t="str">
            <v>P32451</v>
          </cell>
          <cell r="D494">
            <v>3411</v>
          </cell>
          <cell r="E494">
            <v>9011</v>
          </cell>
          <cell r="F494">
            <v>38370</v>
          </cell>
          <cell r="G494" t="str">
            <v>IDR</v>
          </cell>
          <cell r="H494">
            <v>266196</v>
          </cell>
          <cell r="I494">
            <v>266196</v>
          </cell>
          <cell r="J494">
            <v>0</v>
          </cell>
        </row>
        <row r="495">
          <cell r="A495" t="str">
            <v>ID003410</v>
          </cell>
          <cell r="B495">
            <v>5810003784</v>
          </cell>
          <cell r="C495" t="str">
            <v>W44618</v>
          </cell>
          <cell r="D495">
            <v>3411</v>
          </cell>
          <cell r="E495">
            <v>9011</v>
          </cell>
          <cell r="F495">
            <v>38377</v>
          </cell>
          <cell r="G495" t="str">
            <v>IDR</v>
          </cell>
          <cell r="H495">
            <v>4051624</v>
          </cell>
          <cell r="I495">
            <v>4051624</v>
          </cell>
          <cell r="J495">
            <v>0</v>
          </cell>
        </row>
        <row r="496">
          <cell r="A496" t="str">
            <v>ID003410</v>
          </cell>
          <cell r="B496">
            <v>5810003784</v>
          </cell>
          <cell r="C496" t="str">
            <v>W44618</v>
          </cell>
          <cell r="D496">
            <v>3411</v>
          </cell>
          <cell r="E496">
            <v>9011</v>
          </cell>
          <cell r="F496">
            <v>38377</v>
          </cell>
          <cell r="G496" t="str">
            <v>IDR</v>
          </cell>
          <cell r="H496">
            <v>19924</v>
          </cell>
          <cell r="I496">
            <v>19924</v>
          </cell>
          <cell r="J496">
            <v>0</v>
          </cell>
        </row>
        <row r="497">
          <cell r="A497" t="str">
            <v>ID003410</v>
          </cell>
          <cell r="B497">
            <v>5810003790</v>
          </cell>
          <cell r="C497" t="str">
            <v>W45539</v>
          </cell>
          <cell r="D497">
            <v>3411</v>
          </cell>
          <cell r="E497">
            <v>9011</v>
          </cell>
          <cell r="F497">
            <v>38377</v>
          </cell>
          <cell r="G497" t="str">
            <v>IDR</v>
          </cell>
          <cell r="H497">
            <v>135000</v>
          </cell>
          <cell r="I497">
            <v>135000</v>
          </cell>
          <cell r="J497">
            <v>0</v>
          </cell>
        </row>
        <row r="498">
          <cell r="A498" t="str">
            <v>ID003410</v>
          </cell>
          <cell r="B498">
            <v>5810003790</v>
          </cell>
          <cell r="C498" t="str">
            <v>W45539</v>
          </cell>
          <cell r="D498">
            <v>3411</v>
          </cell>
          <cell r="E498">
            <v>9011</v>
          </cell>
          <cell r="F498">
            <v>38377</v>
          </cell>
          <cell r="G498" t="str">
            <v>IDR</v>
          </cell>
          <cell r="H498">
            <v>1660620</v>
          </cell>
          <cell r="I498">
            <v>1660620</v>
          </cell>
          <cell r="J498">
            <v>0</v>
          </cell>
        </row>
        <row r="499">
          <cell r="A499" t="str">
            <v>ID003410</v>
          </cell>
          <cell r="B499">
            <v>5810003790</v>
          </cell>
          <cell r="C499" t="str">
            <v>W45539</v>
          </cell>
          <cell r="D499">
            <v>3411</v>
          </cell>
          <cell r="E499">
            <v>9011</v>
          </cell>
          <cell r="F499">
            <v>38377</v>
          </cell>
          <cell r="G499" t="str">
            <v>IDR</v>
          </cell>
          <cell r="H499">
            <v>139335</v>
          </cell>
          <cell r="I499">
            <v>139335</v>
          </cell>
          <cell r="J499">
            <v>0</v>
          </cell>
        </row>
        <row r="500">
          <cell r="A500" t="str">
            <v>ID003410</v>
          </cell>
          <cell r="B500">
            <v>5810003797</v>
          </cell>
          <cell r="C500" t="str">
            <v>P48918</v>
          </cell>
          <cell r="D500">
            <v>3411</v>
          </cell>
          <cell r="E500">
            <v>9011</v>
          </cell>
          <cell r="F500">
            <v>38378</v>
          </cell>
          <cell r="G500" t="str">
            <v>IDR</v>
          </cell>
          <cell r="H500">
            <v>57134</v>
          </cell>
          <cell r="I500">
            <v>57134</v>
          </cell>
          <cell r="J500">
            <v>0</v>
          </cell>
        </row>
        <row r="501">
          <cell r="A501" t="str">
            <v>ID003410</v>
          </cell>
          <cell r="B501">
            <v>5810003943</v>
          </cell>
          <cell r="C501" t="str">
            <v>W50114</v>
          </cell>
          <cell r="D501">
            <v>3411</v>
          </cell>
          <cell r="E501">
            <v>9011</v>
          </cell>
          <cell r="F501">
            <v>38404</v>
          </cell>
          <cell r="G501" t="str">
            <v>IDR</v>
          </cell>
          <cell r="H501">
            <v>63000</v>
          </cell>
          <cell r="I501">
            <v>63000</v>
          </cell>
          <cell r="J501">
            <v>0</v>
          </cell>
        </row>
        <row r="502">
          <cell r="A502" t="str">
            <v>ID003410</v>
          </cell>
          <cell r="B502">
            <v>5810003943</v>
          </cell>
          <cell r="C502" t="str">
            <v>W50114</v>
          </cell>
          <cell r="D502">
            <v>3411</v>
          </cell>
          <cell r="E502">
            <v>9011</v>
          </cell>
          <cell r="F502">
            <v>38404</v>
          </cell>
          <cell r="G502" t="str">
            <v>IDR</v>
          </cell>
          <cell r="H502">
            <v>3240000</v>
          </cell>
          <cell r="I502">
            <v>3240000</v>
          </cell>
          <cell r="J502">
            <v>0</v>
          </cell>
        </row>
        <row r="503">
          <cell r="A503" t="str">
            <v>ID003410</v>
          </cell>
          <cell r="B503">
            <v>5810003963</v>
          </cell>
          <cell r="C503" t="str">
            <v>W49987</v>
          </cell>
          <cell r="D503">
            <v>3411</v>
          </cell>
          <cell r="E503">
            <v>9011</v>
          </cell>
          <cell r="F503">
            <v>38405</v>
          </cell>
          <cell r="G503" t="str">
            <v>IDR</v>
          </cell>
          <cell r="H503">
            <v>90000</v>
          </cell>
          <cell r="I503">
            <v>90000</v>
          </cell>
          <cell r="J503">
            <v>0</v>
          </cell>
        </row>
        <row r="504">
          <cell r="A504" t="str">
            <v>ID003410</v>
          </cell>
          <cell r="B504">
            <v>5810003980</v>
          </cell>
          <cell r="C504" t="str">
            <v>P50455</v>
          </cell>
          <cell r="D504">
            <v>3411</v>
          </cell>
          <cell r="E504">
            <v>9011</v>
          </cell>
          <cell r="F504">
            <v>38407</v>
          </cell>
          <cell r="G504" t="str">
            <v>IDR</v>
          </cell>
          <cell r="H504">
            <v>87912</v>
          </cell>
          <cell r="I504">
            <v>87912</v>
          </cell>
          <cell r="J504">
            <v>0</v>
          </cell>
        </row>
        <row r="505">
          <cell r="A505" t="str">
            <v>ID003410</v>
          </cell>
          <cell r="B505">
            <v>5810004028</v>
          </cell>
          <cell r="C505" t="str">
            <v>W50114</v>
          </cell>
          <cell r="D505">
            <v>3411</v>
          </cell>
          <cell r="E505">
            <v>9011</v>
          </cell>
          <cell r="F505">
            <v>38413</v>
          </cell>
          <cell r="G505" t="str">
            <v>IDR</v>
          </cell>
          <cell r="H505">
            <v>306000</v>
          </cell>
          <cell r="I505">
            <v>306000</v>
          </cell>
          <cell r="J505">
            <v>0</v>
          </cell>
        </row>
        <row r="506">
          <cell r="A506" t="str">
            <v>ID003410</v>
          </cell>
          <cell r="B506">
            <v>5810004028</v>
          </cell>
          <cell r="C506" t="str">
            <v>W50114</v>
          </cell>
          <cell r="D506">
            <v>3411</v>
          </cell>
          <cell r="E506">
            <v>9011</v>
          </cell>
          <cell r="F506">
            <v>38413</v>
          </cell>
          <cell r="G506" t="str">
            <v>IDR</v>
          </cell>
          <cell r="H506">
            <v>167201</v>
          </cell>
          <cell r="I506">
            <v>167201</v>
          </cell>
          <cell r="J506">
            <v>0</v>
          </cell>
        </row>
        <row r="507">
          <cell r="A507" t="str">
            <v>ID003410</v>
          </cell>
          <cell r="B507">
            <v>5810004079</v>
          </cell>
          <cell r="C507" t="str">
            <v>P50455</v>
          </cell>
          <cell r="D507">
            <v>3411</v>
          </cell>
          <cell r="E507">
            <v>9011</v>
          </cell>
          <cell r="F507">
            <v>38420</v>
          </cell>
          <cell r="G507" t="str">
            <v>IDR</v>
          </cell>
          <cell r="H507">
            <v>57843963</v>
          </cell>
          <cell r="I507">
            <v>57843963</v>
          </cell>
          <cell r="J507">
            <v>0</v>
          </cell>
        </row>
        <row r="508">
          <cell r="A508" t="str">
            <v>ID003410</v>
          </cell>
          <cell r="B508">
            <v>5810004079</v>
          </cell>
          <cell r="C508" t="str">
            <v>P50455</v>
          </cell>
          <cell r="D508">
            <v>3411</v>
          </cell>
          <cell r="E508">
            <v>9011</v>
          </cell>
          <cell r="F508">
            <v>38420</v>
          </cell>
          <cell r="G508" t="str">
            <v>IDR</v>
          </cell>
          <cell r="H508">
            <v>2581030</v>
          </cell>
          <cell r="I508">
            <v>2581030</v>
          </cell>
          <cell r="J508">
            <v>0</v>
          </cell>
        </row>
        <row r="509">
          <cell r="A509" t="str">
            <v>ID003410</v>
          </cell>
          <cell r="B509">
            <v>5810004098</v>
          </cell>
          <cell r="C509" t="str">
            <v>P51489</v>
          </cell>
          <cell r="D509">
            <v>3411</v>
          </cell>
          <cell r="E509">
            <v>9011</v>
          </cell>
          <cell r="F509">
            <v>38425</v>
          </cell>
          <cell r="G509" t="str">
            <v>IDR</v>
          </cell>
          <cell r="H509">
            <v>2739090</v>
          </cell>
          <cell r="I509">
            <v>2739090</v>
          </cell>
          <cell r="J509">
            <v>0</v>
          </cell>
        </row>
        <row r="510">
          <cell r="A510" t="str">
            <v>ID003410</v>
          </cell>
          <cell r="B510">
            <v>5810004098</v>
          </cell>
          <cell r="C510" t="str">
            <v>P51489</v>
          </cell>
          <cell r="D510">
            <v>3411</v>
          </cell>
          <cell r="E510">
            <v>9011</v>
          </cell>
          <cell r="F510">
            <v>38425</v>
          </cell>
          <cell r="G510" t="str">
            <v>IDR</v>
          </cell>
          <cell r="H510">
            <v>3345389</v>
          </cell>
          <cell r="I510">
            <v>3345389</v>
          </cell>
          <cell r="J510">
            <v>0</v>
          </cell>
        </row>
        <row r="511">
          <cell r="A511" t="str">
            <v>ID003410</v>
          </cell>
          <cell r="B511">
            <v>5810004101</v>
          </cell>
          <cell r="C511" t="str">
            <v>P51439</v>
          </cell>
          <cell r="D511">
            <v>3411</v>
          </cell>
          <cell r="E511">
            <v>9011</v>
          </cell>
          <cell r="F511">
            <v>38425</v>
          </cell>
          <cell r="G511" t="str">
            <v>IDR</v>
          </cell>
          <cell r="H511">
            <v>3171736</v>
          </cell>
          <cell r="I511">
            <v>3171736</v>
          </cell>
          <cell r="J511">
            <v>0</v>
          </cell>
        </row>
        <row r="512">
          <cell r="A512" t="str">
            <v>ID003410</v>
          </cell>
          <cell r="B512">
            <v>5810004101</v>
          </cell>
          <cell r="C512" t="str">
            <v>P51439</v>
          </cell>
          <cell r="D512">
            <v>3411</v>
          </cell>
          <cell r="E512">
            <v>9011</v>
          </cell>
          <cell r="F512">
            <v>38425</v>
          </cell>
          <cell r="G512" t="str">
            <v>IDR</v>
          </cell>
          <cell r="H512">
            <v>858760</v>
          </cell>
          <cell r="I512">
            <v>858760</v>
          </cell>
          <cell r="J512">
            <v>0</v>
          </cell>
        </row>
        <row r="513">
          <cell r="A513" t="str">
            <v>ID003410</v>
          </cell>
          <cell r="B513">
            <v>5810004123</v>
          </cell>
          <cell r="C513" t="str">
            <v>P50455</v>
          </cell>
          <cell r="D513">
            <v>3411</v>
          </cell>
          <cell r="E513">
            <v>9011</v>
          </cell>
          <cell r="F513">
            <v>38427</v>
          </cell>
          <cell r="G513" t="str">
            <v>IDR</v>
          </cell>
          <cell r="H513">
            <v>7810354</v>
          </cell>
          <cell r="I513">
            <v>7810354</v>
          </cell>
          <cell r="J513">
            <v>0</v>
          </cell>
        </row>
        <row r="514">
          <cell r="A514" t="str">
            <v>ID003410</v>
          </cell>
          <cell r="B514">
            <v>5810004123</v>
          </cell>
          <cell r="C514" t="str">
            <v>P50455</v>
          </cell>
          <cell r="D514">
            <v>3411</v>
          </cell>
          <cell r="E514">
            <v>9011</v>
          </cell>
          <cell r="F514">
            <v>38427</v>
          </cell>
          <cell r="G514" t="str">
            <v>IDR</v>
          </cell>
          <cell r="H514">
            <v>408240</v>
          </cell>
          <cell r="I514">
            <v>408240</v>
          </cell>
          <cell r="J514">
            <v>0</v>
          </cell>
        </row>
        <row r="515">
          <cell r="A515" t="str">
            <v>ID003410</v>
          </cell>
          <cell r="B515">
            <v>5810004194</v>
          </cell>
          <cell r="C515" t="str">
            <v>P51489</v>
          </cell>
          <cell r="D515">
            <v>3411</v>
          </cell>
          <cell r="E515">
            <v>9011</v>
          </cell>
          <cell r="F515">
            <v>38440</v>
          </cell>
          <cell r="G515" t="str">
            <v>IDR</v>
          </cell>
          <cell r="H515">
            <v>-2291505</v>
          </cell>
          <cell r="I515">
            <v>-2291505</v>
          </cell>
          <cell r="J515">
            <v>0</v>
          </cell>
        </row>
        <row r="516">
          <cell r="A516" t="str">
            <v>ID003410</v>
          </cell>
          <cell r="B516">
            <v>5810004195</v>
          </cell>
          <cell r="C516" t="str">
            <v>P51439</v>
          </cell>
          <cell r="D516">
            <v>3411</v>
          </cell>
          <cell r="E516">
            <v>9011</v>
          </cell>
          <cell r="F516">
            <v>38440</v>
          </cell>
          <cell r="G516" t="str">
            <v>IDR</v>
          </cell>
          <cell r="H516">
            <v>-2967483</v>
          </cell>
          <cell r="I516">
            <v>-2967483</v>
          </cell>
          <cell r="J516">
            <v>0</v>
          </cell>
        </row>
        <row r="517">
          <cell r="A517" t="str">
            <v>ID003410</v>
          </cell>
          <cell r="B517">
            <v>5810004218</v>
          </cell>
          <cell r="C517" t="str">
            <v>P51489</v>
          </cell>
          <cell r="D517">
            <v>3411</v>
          </cell>
          <cell r="E517">
            <v>9011</v>
          </cell>
          <cell r="F517">
            <v>38446</v>
          </cell>
          <cell r="G517" t="str">
            <v>IDR</v>
          </cell>
          <cell r="H517">
            <v>453225</v>
          </cell>
          <cell r="I517">
            <v>453225</v>
          </cell>
          <cell r="J517">
            <v>0</v>
          </cell>
        </row>
        <row r="518">
          <cell r="A518" t="str">
            <v>ID003410</v>
          </cell>
          <cell r="B518">
            <v>5810004245</v>
          </cell>
          <cell r="C518" t="str">
            <v>P51439</v>
          </cell>
          <cell r="D518">
            <v>3411</v>
          </cell>
          <cell r="E518">
            <v>9011</v>
          </cell>
          <cell r="F518">
            <v>38447</v>
          </cell>
          <cell r="G518" t="str">
            <v>IDR</v>
          </cell>
          <cell r="H518">
            <v>2436386</v>
          </cell>
          <cell r="I518">
            <v>2436386</v>
          </cell>
          <cell r="J518">
            <v>0</v>
          </cell>
        </row>
        <row r="519">
          <cell r="A519" t="str">
            <v>ID003410</v>
          </cell>
          <cell r="B519">
            <v>5810004257</v>
          </cell>
          <cell r="C519" t="str">
            <v>P50969</v>
          </cell>
          <cell r="D519">
            <v>3411</v>
          </cell>
          <cell r="E519">
            <v>9011</v>
          </cell>
          <cell r="F519">
            <v>38448</v>
          </cell>
          <cell r="G519" t="str">
            <v>IDR</v>
          </cell>
          <cell r="H519">
            <v>601086</v>
          </cell>
          <cell r="I519">
            <v>601086</v>
          </cell>
          <cell r="J519">
            <v>0</v>
          </cell>
        </row>
        <row r="520">
          <cell r="A520" t="str">
            <v>ID003410</v>
          </cell>
          <cell r="B520">
            <v>5810004357</v>
          </cell>
          <cell r="C520" t="str">
            <v>P51439</v>
          </cell>
          <cell r="D520">
            <v>3411</v>
          </cell>
          <cell r="E520">
            <v>9011</v>
          </cell>
          <cell r="F520">
            <v>38457</v>
          </cell>
          <cell r="G520" t="str">
            <v>IDR</v>
          </cell>
          <cell r="H520">
            <v>1711144</v>
          </cell>
          <cell r="I520">
            <v>1711144</v>
          </cell>
          <cell r="J520">
            <v>0</v>
          </cell>
        </row>
        <row r="521">
          <cell r="A521" t="str">
            <v>ID003410</v>
          </cell>
          <cell r="B521">
            <v>5810004358</v>
          </cell>
          <cell r="C521" t="str">
            <v>P53615</v>
          </cell>
          <cell r="D521">
            <v>3411</v>
          </cell>
          <cell r="E521">
            <v>9011</v>
          </cell>
          <cell r="F521">
            <v>38457</v>
          </cell>
          <cell r="G521" t="str">
            <v>IDR</v>
          </cell>
          <cell r="H521">
            <v>951836</v>
          </cell>
          <cell r="I521">
            <v>951836</v>
          </cell>
          <cell r="J521">
            <v>0</v>
          </cell>
        </row>
        <row r="522">
          <cell r="A522" t="str">
            <v>ID003410</v>
          </cell>
          <cell r="B522">
            <v>5810004358</v>
          </cell>
          <cell r="C522" t="str">
            <v>P53615</v>
          </cell>
          <cell r="D522">
            <v>3411</v>
          </cell>
          <cell r="E522">
            <v>9011</v>
          </cell>
          <cell r="F522">
            <v>38457</v>
          </cell>
          <cell r="G522" t="str">
            <v>IDR</v>
          </cell>
          <cell r="H522">
            <v>50865</v>
          </cell>
          <cell r="I522">
            <v>50865</v>
          </cell>
          <cell r="J522">
            <v>0</v>
          </cell>
        </row>
        <row r="523">
          <cell r="A523" t="str">
            <v>ID003410</v>
          </cell>
          <cell r="B523">
            <v>5810004380</v>
          </cell>
          <cell r="C523" t="str">
            <v>P50455</v>
          </cell>
          <cell r="D523">
            <v>3411</v>
          </cell>
          <cell r="E523">
            <v>9011</v>
          </cell>
          <cell r="F523">
            <v>38460</v>
          </cell>
          <cell r="G523" t="str">
            <v>IDR</v>
          </cell>
          <cell r="H523">
            <v>472076</v>
          </cell>
          <cell r="I523">
            <v>472076</v>
          </cell>
          <cell r="J523">
            <v>0</v>
          </cell>
        </row>
        <row r="524">
          <cell r="A524" t="str">
            <v>ID003410</v>
          </cell>
          <cell r="B524">
            <v>5810005107</v>
          </cell>
          <cell r="C524" t="str">
            <v>P63871</v>
          </cell>
          <cell r="D524">
            <v>3411</v>
          </cell>
          <cell r="E524">
            <v>9011</v>
          </cell>
          <cell r="F524">
            <v>38623</v>
          </cell>
          <cell r="G524" t="str">
            <v>IDR</v>
          </cell>
          <cell r="H524">
            <v>2672743</v>
          </cell>
          <cell r="I524">
            <v>2672743</v>
          </cell>
          <cell r="J524">
            <v>0</v>
          </cell>
        </row>
        <row r="525">
          <cell r="A525" t="str">
            <v>ID003410</v>
          </cell>
          <cell r="B525">
            <v>5810005145</v>
          </cell>
          <cell r="C525" t="str">
            <v>P63871</v>
          </cell>
          <cell r="D525">
            <v>3411</v>
          </cell>
          <cell r="E525">
            <v>9011</v>
          </cell>
          <cell r="F525">
            <v>38625</v>
          </cell>
          <cell r="G525" t="str">
            <v>IDR</v>
          </cell>
          <cell r="H525">
            <v>-2672743</v>
          </cell>
          <cell r="I525">
            <v>-2672743</v>
          </cell>
          <cell r="J525">
            <v>0</v>
          </cell>
        </row>
        <row r="526">
          <cell r="A526" t="str">
            <v>ID003410</v>
          </cell>
          <cell r="B526">
            <v>5810005202</v>
          </cell>
          <cell r="C526" t="str">
            <v>W64396</v>
          </cell>
          <cell r="D526">
            <v>3411</v>
          </cell>
          <cell r="E526">
            <v>9011</v>
          </cell>
          <cell r="F526">
            <v>38642</v>
          </cell>
          <cell r="G526" t="str">
            <v>IDR</v>
          </cell>
          <cell r="H526">
            <v>4709734</v>
          </cell>
          <cell r="I526">
            <v>4709734</v>
          </cell>
          <cell r="J526">
            <v>0</v>
          </cell>
        </row>
        <row r="527">
          <cell r="A527" t="str">
            <v>ID003410</v>
          </cell>
          <cell r="B527">
            <v>5810005202</v>
          </cell>
          <cell r="C527" t="str">
            <v>W64396</v>
          </cell>
          <cell r="D527">
            <v>3411</v>
          </cell>
          <cell r="E527">
            <v>9011</v>
          </cell>
          <cell r="F527">
            <v>38642</v>
          </cell>
          <cell r="G527" t="str">
            <v>IDR</v>
          </cell>
          <cell r="H527">
            <v>60530</v>
          </cell>
          <cell r="I527">
            <v>60530</v>
          </cell>
          <cell r="J527">
            <v>0</v>
          </cell>
        </row>
        <row r="528">
          <cell r="A528" t="str">
            <v>ID003410</v>
          </cell>
          <cell r="B528">
            <v>5810005204</v>
          </cell>
          <cell r="C528" t="str">
            <v>W64396</v>
          </cell>
          <cell r="D528">
            <v>3411</v>
          </cell>
          <cell r="E528">
            <v>9011</v>
          </cell>
          <cell r="F528">
            <v>38643</v>
          </cell>
          <cell r="G528" t="str">
            <v>IDR</v>
          </cell>
          <cell r="H528">
            <v>-4709734</v>
          </cell>
          <cell r="I528">
            <v>-4709734</v>
          </cell>
          <cell r="J528">
            <v>0</v>
          </cell>
        </row>
        <row r="529">
          <cell r="A529" t="str">
            <v>ID003410</v>
          </cell>
          <cell r="B529">
            <v>5810005204</v>
          </cell>
          <cell r="C529" t="str">
            <v>W64396</v>
          </cell>
          <cell r="D529">
            <v>3411</v>
          </cell>
          <cell r="E529">
            <v>9011</v>
          </cell>
          <cell r="F529">
            <v>38643</v>
          </cell>
          <cell r="G529" t="str">
            <v>IDR</v>
          </cell>
          <cell r="H529">
            <v>-60530</v>
          </cell>
          <cell r="I529">
            <v>-60530</v>
          </cell>
          <cell r="J529">
            <v>0</v>
          </cell>
        </row>
        <row r="530">
          <cell r="A530" t="str">
            <v>ID003410</v>
          </cell>
          <cell r="B530">
            <v>5810005253</v>
          </cell>
          <cell r="C530" t="str">
            <v>W64396</v>
          </cell>
          <cell r="D530">
            <v>3411</v>
          </cell>
          <cell r="E530">
            <v>9011</v>
          </cell>
          <cell r="F530">
            <v>38650</v>
          </cell>
          <cell r="G530" t="str">
            <v>IDR</v>
          </cell>
          <cell r="H530">
            <v>1910671</v>
          </cell>
          <cell r="I530">
            <v>1910671</v>
          </cell>
          <cell r="J530">
            <v>0</v>
          </cell>
        </row>
        <row r="531">
          <cell r="A531" t="str">
            <v>ID003410</v>
          </cell>
          <cell r="B531">
            <v>5810005313</v>
          </cell>
          <cell r="C531" t="str">
            <v>P63609</v>
          </cell>
          <cell r="D531">
            <v>3411</v>
          </cell>
          <cell r="E531">
            <v>9011</v>
          </cell>
          <cell r="F531">
            <v>38672</v>
          </cell>
          <cell r="G531" t="str">
            <v>IDR</v>
          </cell>
          <cell r="H531">
            <v>1795709</v>
          </cell>
          <cell r="I531">
            <v>1795709</v>
          </cell>
          <cell r="J531">
            <v>0</v>
          </cell>
        </row>
        <row r="532">
          <cell r="A532" t="str">
            <v>ID003410</v>
          </cell>
          <cell r="B532">
            <v>5810005313</v>
          </cell>
          <cell r="C532" t="str">
            <v>P63609</v>
          </cell>
          <cell r="D532">
            <v>3411</v>
          </cell>
          <cell r="E532">
            <v>9011</v>
          </cell>
          <cell r="F532">
            <v>38672</v>
          </cell>
          <cell r="G532" t="str">
            <v>IDR</v>
          </cell>
          <cell r="H532">
            <v>156985</v>
          </cell>
          <cell r="I532">
            <v>156985</v>
          </cell>
          <cell r="J532">
            <v>0</v>
          </cell>
        </row>
        <row r="533">
          <cell r="A533" t="str">
            <v>ID003410</v>
          </cell>
          <cell r="B533">
            <v>5810005371</v>
          </cell>
          <cell r="C533" t="str">
            <v>P10607</v>
          </cell>
          <cell r="D533">
            <v>3411</v>
          </cell>
          <cell r="E533">
            <v>9011</v>
          </cell>
          <cell r="F533">
            <v>38684</v>
          </cell>
          <cell r="G533" t="str">
            <v>IDR</v>
          </cell>
          <cell r="H533">
            <v>1008697</v>
          </cell>
          <cell r="I533">
            <v>1008697</v>
          </cell>
          <cell r="J533">
            <v>0</v>
          </cell>
        </row>
        <row r="534">
          <cell r="A534" t="str">
            <v>ID003410</v>
          </cell>
          <cell r="B534">
            <v>5810005417</v>
          </cell>
          <cell r="C534" t="str">
            <v>W10283</v>
          </cell>
          <cell r="D534">
            <v>3411</v>
          </cell>
          <cell r="E534">
            <v>9011</v>
          </cell>
          <cell r="F534">
            <v>38693</v>
          </cell>
          <cell r="G534" t="str">
            <v>IDR</v>
          </cell>
          <cell r="H534">
            <v>909000</v>
          </cell>
          <cell r="I534">
            <v>909000</v>
          </cell>
          <cell r="J534">
            <v>0</v>
          </cell>
        </row>
        <row r="535">
          <cell r="A535" t="str">
            <v>ID003410</v>
          </cell>
          <cell r="B535">
            <v>5810005417</v>
          </cell>
          <cell r="C535" t="str">
            <v>W10283</v>
          </cell>
          <cell r="D535">
            <v>3411</v>
          </cell>
          <cell r="E535">
            <v>9011</v>
          </cell>
          <cell r="F535">
            <v>38693</v>
          </cell>
          <cell r="G535" t="str">
            <v>IDR</v>
          </cell>
          <cell r="H535">
            <v>9544047</v>
          </cell>
          <cell r="I535">
            <v>9544047</v>
          </cell>
          <cell r="J535">
            <v>0</v>
          </cell>
        </row>
        <row r="536">
          <cell r="A536" t="str">
            <v>ID003410</v>
          </cell>
          <cell r="B536">
            <v>5810005417</v>
          </cell>
          <cell r="C536" t="str">
            <v>W10283</v>
          </cell>
          <cell r="D536">
            <v>3411</v>
          </cell>
          <cell r="E536">
            <v>9011</v>
          </cell>
          <cell r="F536">
            <v>38693</v>
          </cell>
          <cell r="G536" t="str">
            <v>IDR</v>
          </cell>
          <cell r="H536">
            <v>533645</v>
          </cell>
          <cell r="I536">
            <v>533645</v>
          </cell>
          <cell r="J536">
            <v>0</v>
          </cell>
        </row>
        <row r="537">
          <cell r="A537" t="str">
            <v>ID003410</v>
          </cell>
          <cell r="B537">
            <v>5810005417</v>
          </cell>
          <cell r="C537" t="str">
            <v>W10283</v>
          </cell>
          <cell r="D537">
            <v>3411</v>
          </cell>
          <cell r="E537">
            <v>9011</v>
          </cell>
          <cell r="F537">
            <v>38693</v>
          </cell>
          <cell r="G537" t="str">
            <v>IDR</v>
          </cell>
          <cell r="H537">
            <v>286215</v>
          </cell>
          <cell r="I537">
            <v>286215</v>
          </cell>
          <cell r="J537">
            <v>0</v>
          </cell>
        </row>
        <row r="538">
          <cell r="A538" t="str">
            <v>341A</v>
          </cell>
          <cell r="B538">
            <v>110192902</v>
          </cell>
          <cell r="C538" t="str">
            <v>CSMIPLG05005</v>
          </cell>
          <cell r="D538" t="str">
            <v>341A</v>
          </cell>
          <cell r="E538">
            <v>9011</v>
          </cell>
          <cell r="F538">
            <v>38453</v>
          </cell>
          <cell r="G538" t="str">
            <v>IDR</v>
          </cell>
          <cell r="H538">
            <v>-57843963</v>
          </cell>
          <cell r="I538">
            <v>-57843963</v>
          </cell>
          <cell r="J538">
            <v>0</v>
          </cell>
        </row>
        <row r="539">
          <cell r="A539" t="str">
            <v>341A</v>
          </cell>
          <cell r="B539">
            <v>110192902</v>
          </cell>
          <cell r="C539" t="str">
            <v>CSMIPLG05005</v>
          </cell>
          <cell r="D539" t="str">
            <v>341A</v>
          </cell>
          <cell r="E539">
            <v>9011</v>
          </cell>
          <cell r="F539">
            <v>38453</v>
          </cell>
          <cell r="G539" t="str">
            <v>IDR</v>
          </cell>
          <cell r="H539">
            <v>-2581030</v>
          </cell>
          <cell r="I539">
            <v>-2581030</v>
          </cell>
          <cell r="J539">
            <v>0</v>
          </cell>
        </row>
        <row r="540">
          <cell r="A540" t="str">
            <v>341A</v>
          </cell>
          <cell r="B540">
            <v>110192908</v>
          </cell>
          <cell r="C540" t="str">
            <v>CSMIPLG05005</v>
          </cell>
          <cell r="D540" t="str">
            <v>341A</v>
          </cell>
          <cell r="E540">
            <v>9011</v>
          </cell>
          <cell r="F540">
            <v>38453</v>
          </cell>
          <cell r="G540" t="str">
            <v>IDR</v>
          </cell>
          <cell r="H540">
            <v>57843963</v>
          </cell>
          <cell r="I540">
            <v>57843963</v>
          </cell>
          <cell r="J540">
            <v>0</v>
          </cell>
        </row>
        <row r="541">
          <cell r="A541" t="str">
            <v>341A</v>
          </cell>
          <cell r="B541">
            <v>110192908</v>
          </cell>
          <cell r="C541" t="str">
            <v>CSMIPLG05005</v>
          </cell>
          <cell r="D541" t="str">
            <v>341A</v>
          </cell>
          <cell r="E541">
            <v>9011</v>
          </cell>
          <cell r="F541">
            <v>38453</v>
          </cell>
          <cell r="G541" t="str">
            <v>IDR</v>
          </cell>
          <cell r="H541">
            <v>2581030</v>
          </cell>
          <cell r="I541">
            <v>2581030</v>
          </cell>
          <cell r="J541">
            <v>0</v>
          </cell>
        </row>
        <row r="542">
          <cell r="A542" t="str">
            <v>341A</v>
          </cell>
          <cell r="B542">
            <v>110192909</v>
          </cell>
          <cell r="C542" t="str">
            <v>CSMIPLG05005</v>
          </cell>
          <cell r="D542" t="str">
            <v>341A</v>
          </cell>
          <cell r="E542">
            <v>9011</v>
          </cell>
          <cell r="F542">
            <v>38453</v>
          </cell>
          <cell r="G542" t="str">
            <v>IDR</v>
          </cell>
          <cell r="H542">
            <v>-57843963</v>
          </cell>
          <cell r="I542">
            <v>-57843963</v>
          </cell>
          <cell r="J542">
            <v>0</v>
          </cell>
        </row>
        <row r="543">
          <cell r="A543" t="str">
            <v>341A</v>
          </cell>
          <cell r="B543">
            <v>110192909</v>
          </cell>
          <cell r="C543" t="str">
            <v>CSMIPLG05005</v>
          </cell>
          <cell r="D543" t="str">
            <v>341A</v>
          </cell>
          <cell r="E543">
            <v>9011</v>
          </cell>
          <cell r="F543">
            <v>38453</v>
          </cell>
          <cell r="G543" t="str">
            <v>IDR</v>
          </cell>
          <cell r="H543">
            <v>-2581030</v>
          </cell>
          <cell r="I543">
            <v>-2581030</v>
          </cell>
          <cell r="J543">
            <v>0</v>
          </cell>
        </row>
        <row r="544">
          <cell r="I544">
            <v>79291701</v>
          </cell>
        </row>
        <row r="545">
          <cell r="A545" t="str">
            <v>ID003420</v>
          </cell>
          <cell r="B545">
            <v>5810003746</v>
          </cell>
          <cell r="C545" t="str">
            <v>P48246</v>
          </cell>
          <cell r="D545">
            <v>3421</v>
          </cell>
          <cell r="E545">
            <v>9011</v>
          </cell>
          <cell r="F545">
            <v>38369</v>
          </cell>
          <cell r="G545" t="str">
            <v>IDR</v>
          </cell>
          <cell r="H545">
            <v>285377</v>
          </cell>
          <cell r="I545">
            <v>285377</v>
          </cell>
          <cell r="J545">
            <v>0</v>
          </cell>
        </row>
        <row r="546">
          <cell r="A546" t="str">
            <v>ID003420</v>
          </cell>
          <cell r="B546">
            <v>5810003747</v>
          </cell>
          <cell r="C546" t="str">
            <v>P48052</v>
          </cell>
          <cell r="D546">
            <v>3421</v>
          </cell>
          <cell r="E546">
            <v>9011</v>
          </cell>
          <cell r="F546">
            <v>38369</v>
          </cell>
          <cell r="G546" t="str">
            <v>IDR</v>
          </cell>
          <cell r="H546">
            <v>123374</v>
          </cell>
          <cell r="I546">
            <v>123374</v>
          </cell>
          <cell r="J546">
            <v>0</v>
          </cell>
        </row>
        <row r="547">
          <cell r="A547" t="str">
            <v>ID003420</v>
          </cell>
          <cell r="B547">
            <v>5810003747</v>
          </cell>
          <cell r="C547" t="str">
            <v>P48052</v>
          </cell>
          <cell r="D547">
            <v>3421</v>
          </cell>
          <cell r="E547">
            <v>9011</v>
          </cell>
          <cell r="F547">
            <v>38369</v>
          </cell>
          <cell r="G547" t="str">
            <v>IDR</v>
          </cell>
          <cell r="H547">
            <v>75830</v>
          </cell>
          <cell r="I547">
            <v>75830</v>
          </cell>
          <cell r="J547">
            <v>0</v>
          </cell>
        </row>
        <row r="548">
          <cell r="A548" t="str">
            <v>ID003420</v>
          </cell>
          <cell r="B548">
            <v>5810003747</v>
          </cell>
          <cell r="C548" t="str">
            <v>P48052</v>
          </cell>
          <cell r="D548">
            <v>3421</v>
          </cell>
          <cell r="E548">
            <v>9011</v>
          </cell>
          <cell r="F548">
            <v>38369</v>
          </cell>
          <cell r="G548" t="str">
            <v>IDR</v>
          </cell>
          <cell r="H548">
            <v>163020</v>
          </cell>
          <cell r="I548">
            <v>163020</v>
          </cell>
          <cell r="J548">
            <v>0</v>
          </cell>
        </row>
        <row r="549">
          <cell r="A549" t="str">
            <v>ID003420</v>
          </cell>
          <cell r="B549">
            <v>5810003779</v>
          </cell>
          <cell r="C549" t="str">
            <v>P42305</v>
          </cell>
          <cell r="D549">
            <v>3421</v>
          </cell>
          <cell r="E549">
            <v>9011</v>
          </cell>
          <cell r="F549">
            <v>38376</v>
          </cell>
          <cell r="G549" t="str">
            <v>IDR</v>
          </cell>
          <cell r="H549">
            <v>60422</v>
          </cell>
          <cell r="I549">
            <v>60422</v>
          </cell>
          <cell r="J549">
            <v>0</v>
          </cell>
        </row>
        <row r="550">
          <cell r="A550" t="str">
            <v>ID003420</v>
          </cell>
          <cell r="B550">
            <v>5810003793</v>
          </cell>
          <cell r="C550" t="str">
            <v>P48052</v>
          </cell>
          <cell r="D550">
            <v>3421</v>
          </cell>
          <cell r="E550">
            <v>9011</v>
          </cell>
          <cell r="F550">
            <v>38378</v>
          </cell>
          <cell r="G550" t="str">
            <v>IDR</v>
          </cell>
          <cell r="H550">
            <v>650698</v>
          </cell>
          <cell r="I550">
            <v>650698</v>
          </cell>
          <cell r="J550">
            <v>0</v>
          </cell>
        </row>
        <row r="551">
          <cell r="A551" t="str">
            <v>ID003420</v>
          </cell>
          <cell r="B551">
            <v>5810003793</v>
          </cell>
          <cell r="C551" t="str">
            <v>P48052</v>
          </cell>
          <cell r="D551">
            <v>3421</v>
          </cell>
          <cell r="E551">
            <v>9011</v>
          </cell>
          <cell r="F551">
            <v>38378</v>
          </cell>
          <cell r="G551" t="str">
            <v>IDR</v>
          </cell>
          <cell r="H551">
            <v>90880</v>
          </cell>
          <cell r="I551">
            <v>90880</v>
          </cell>
          <cell r="J551">
            <v>0</v>
          </cell>
        </row>
        <row r="552">
          <cell r="A552" t="str">
            <v>ID003420</v>
          </cell>
          <cell r="B552">
            <v>5810003793</v>
          </cell>
          <cell r="C552" t="str">
            <v>P48052</v>
          </cell>
          <cell r="D552">
            <v>3421</v>
          </cell>
          <cell r="E552">
            <v>9011</v>
          </cell>
          <cell r="F552">
            <v>38378</v>
          </cell>
          <cell r="G552" t="str">
            <v>IDR</v>
          </cell>
          <cell r="H552">
            <v>74023</v>
          </cell>
          <cell r="I552">
            <v>74023</v>
          </cell>
          <cell r="J552">
            <v>0</v>
          </cell>
        </row>
        <row r="553">
          <cell r="A553" t="str">
            <v>ID003420</v>
          </cell>
          <cell r="B553">
            <v>5810004266</v>
          </cell>
          <cell r="C553" t="str">
            <v>P53043</v>
          </cell>
          <cell r="D553">
            <v>3421</v>
          </cell>
          <cell r="E553">
            <v>9011</v>
          </cell>
          <cell r="F553">
            <v>38450</v>
          </cell>
          <cell r="G553" t="str">
            <v>IDR</v>
          </cell>
          <cell r="H553">
            <v>503371</v>
          </cell>
          <cell r="I553">
            <v>503371</v>
          </cell>
          <cell r="J553">
            <v>0</v>
          </cell>
        </row>
        <row r="554">
          <cell r="A554" t="str">
            <v>ID003420</v>
          </cell>
          <cell r="B554">
            <v>5810004310</v>
          </cell>
          <cell r="C554" t="str">
            <v>P53185</v>
          </cell>
          <cell r="D554">
            <v>3421</v>
          </cell>
          <cell r="E554">
            <v>9011</v>
          </cell>
          <cell r="F554">
            <v>38455</v>
          </cell>
          <cell r="G554" t="str">
            <v>IDR</v>
          </cell>
          <cell r="H554">
            <v>61774</v>
          </cell>
          <cell r="I554">
            <v>61774</v>
          </cell>
          <cell r="J554">
            <v>0</v>
          </cell>
        </row>
        <row r="555">
          <cell r="A555" t="str">
            <v>ID003420</v>
          </cell>
          <cell r="B555">
            <v>5810004347</v>
          </cell>
          <cell r="C555" t="str">
            <v>P53355</v>
          </cell>
          <cell r="D555">
            <v>3421</v>
          </cell>
          <cell r="E555">
            <v>9011</v>
          </cell>
          <cell r="F555">
            <v>38456</v>
          </cell>
          <cell r="G555" t="str">
            <v>IDR</v>
          </cell>
          <cell r="H555">
            <v>176171</v>
          </cell>
          <cell r="I555">
            <v>176171</v>
          </cell>
          <cell r="J555">
            <v>0</v>
          </cell>
        </row>
        <row r="556">
          <cell r="I556">
            <v>2264940</v>
          </cell>
        </row>
        <row r="557">
          <cell r="A557" t="str">
            <v>DCINA</v>
          </cell>
          <cell r="B557">
            <v>1910073042</v>
          </cell>
          <cell r="C557" t="str">
            <v>TIRES BRIDGESTONE A 684 401 05 10</v>
          </cell>
          <cell r="D557">
            <v>3431</v>
          </cell>
          <cell r="E557">
            <v>9011</v>
          </cell>
          <cell r="F557">
            <v>38639</v>
          </cell>
          <cell r="G557" t="str">
            <v>IDR</v>
          </cell>
          <cell r="H557">
            <v>4965100</v>
          </cell>
          <cell r="I557">
            <v>4965100</v>
          </cell>
          <cell r="J557">
            <v>0</v>
          </cell>
        </row>
        <row r="558">
          <cell r="A558" t="str">
            <v>ID003430</v>
          </cell>
          <cell r="B558">
            <v>5810004012</v>
          </cell>
          <cell r="C558" t="str">
            <v>W50645</v>
          </cell>
          <cell r="D558">
            <v>3431</v>
          </cell>
          <cell r="E558">
            <v>9011</v>
          </cell>
          <cell r="F558">
            <v>38411</v>
          </cell>
          <cell r="G558" t="str">
            <v>IDR</v>
          </cell>
          <cell r="H558">
            <v>135000</v>
          </cell>
          <cell r="I558">
            <v>135000</v>
          </cell>
          <cell r="J558">
            <v>0</v>
          </cell>
        </row>
        <row r="559">
          <cell r="A559" t="str">
            <v>ID003430</v>
          </cell>
          <cell r="B559">
            <v>5810004012</v>
          </cell>
          <cell r="C559" t="str">
            <v>W50645</v>
          </cell>
          <cell r="D559">
            <v>3431</v>
          </cell>
          <cell r="E559">
            <v>9011</v>
          </cell>
          <cell r="F559">
            <v>38411</v>
          </cell>
          <cell r="G559" t="str">
            <v>IDR</v>
          </cell>
          <cell r="H559">
            <v>141786</v>
          </cell>
          <cell r="I559">
            <v>141786</v>
          </cell>
          <cell r="J559">
            <v>0</v>
          </cell>
        </row>
        <row r="560">
          <cell r="I560">
            <v>5241886</v>
          </cell>
        </row>
        <row r="561">
          <cell r="A561" t="str">
            <v>ADEDANMAS</v>
          </cell>
          <cell r="B561">
            <v>1610021382</v>
          </cell>
          <cell r="C561" t="str">
            <v>TOWING COST S500L FROM SUNTER TO CIPUTAT</v>
          </cell>
          <cell r="D561">
            <v>3461</v>
          </cell>
          <cell r="E561">
            <v>9011</v>
          </cell>
          <cell r="F561">
            <v>38551</v>
          </cell>
          <cell r="G561" t="str">
            <v>IDR</v>
          </cell>
          <cell r="H561">
            <v>834600</v>
          </cell>
          <cell r="I561">
            <v>834600</v>
          </cell>
          <cell r="J561">
            <v>0</v>
          </cell>
        </row>
        <row r="562">
          <cell r="A562" t="str">
            <v>ID003461</v>
          </cell>
          <cell r="B562">
            <v>1810030745</v>
          </cell>
          <cell r="C562" t="str">
            <v>P54662</v>
          </cell>
          <cell r="D562">
            <v>3461</v>
          </cell>
          <cell r="E562">
            <v>9011</v>
          </cell>
          <cell r="F562">
            <v>38489</v>
          </cell>
          <cell r="G562" t="str">
            <v>IDR</v>
          </cell>
          <cell r="H562">
            <v>-223480</v>
          </cell>
          <cell r="I562">
            <v>-223480</v>
          </cell>
          <cell r="J562">
            <v>0</v>
          </cell>
        </row>
        <row r="563">
          <cell r="A563" t="str">
            <v>ID003461</v>
          </cell>
          <cell r="B563">
            <v>1810030745</v>
          </cell>
          <cell r="C563" t="str">
            <v>P54662</v>
          </cell>
          <cell r="D563">
            <v>3461</v>
          </cell>
          <cell r="E563">
            <v>9011</v>
          </cell>
          <cell r="F563">
            <v>38489</v>
          </cell>
          <cell r="G563" t="str">
            <v>IDR</v>
          </cell>
          <cell r="H563">
            <v>-1828850</v>
          </cell>
          <cell r="I563">
            <v>-1828850</v>
          </cell>
          <cell r="J563">
            <v>0</v>
          </cell>
        </row>
        <row r="564">
          <cell r="A564" t="str">
            <v>ID003461</v>
          </cell>
          <cell r="B564">
            <v>1810030745</v>
          </cell>
          <cell r="C564" t="str">
            <v>P54662</v>
          </cell>
          <cell r="D564">
            <v>3461</v>
          </cell>
          <cell r="E564">
            <v>9011</v>
          </cell>
          <cell r="F564">
            <v>38489</v>
          </cell>
          <cell r="G564" t="str">
            <v>IDR</v>
          </cell>
          <cell r="H564">
            <v>-833123</v>
          </cell>
          <cell r="I564">
            <v>-833123</v>
          </cell>
          <cell r="J564">
            <v>0</v>
          </cell>
        </row>
        <row r="565">
          <cell r="A565" t="str">
            <v>ID003461</v>
          </cell>
          <cell r="B565">
            <v>1810030755</v>
          </cell>
          <cell r="C565" t="str">
            <v>P54662</v>
          </cell>
          <cell r="D565">
            <v>3461</v>
          </cell>
          <cell r="E565">
            <v>9011</v>
          </cell>
          <cell r="F565">
            <v>38489</v>
          </cell>
          <cell r="G565" t="str">
            <v>IDR</v>
          </cell>
          <cell r="H565">
            <v>223480</v>
          </cell>
          <cell r="I565">
            <v>223480</v>
          </cell>
          <cell r="J565">
            <v>0</v>
          </cell>
        </row>
        <row r="566">
          <cell r="A566" t="str">
            <v>ID003461</v>
          </cell>
          <cell r="B566">
            <v>1810030755</v>
          </cell>
          <cell r="C566" t="str">
            <v>P54662</v>
          </cell>
          <cell r="D566">
            <v>3461</v>
          </cell>
          <cell r="E566">
            <v>9011</v>
          </cell>
          <cell r="F566">
            <v>38489</v>
          </cell>
          <cell r="G566" t="str">
            <v>IDR</v>
          </cell>
          <cell r="H566">
            <v>1828850</v>
          </cell>
          <cell r="I566">
            <v>1828850</v>
          </cell>
          <cell r="J566">
            <v>0</v>
          </cell>
        </row>
        <row r="567">
          <cell r="A567" t="str">
            <v>ID003461</v>
          </cell>
          <cell r="B567">
            <v>1810030755</v>
          </cell>
          <cell r="C567" t="str">
            <v>P54662</v>
          </cell>
          <cell r="D567">
            <v>3461</v>
          </cell>
          <cell r="E567">
            <v>9011</v>
          </cell>
          <cell r="F567">
            <v>38489</v>
          </cell>
          <cell r="G567" t="str">
            <v>IDR</v>
          </cell>
          <cell r="H567">
            <v>833123</v>
          </cell>
          <cell r="I567">
            <v>833123</v>
          </cell>
          <cell r="J567">
            <v>0</v>
          </cell>
        </row>
        <row r="568">
          <cell r="A568" t="str">
            <v>ID003461</v>
          </cell>
          <cell r="B568">
            <v>1810030763</v>
          </cell>
          <cell r="C568" t="str">
            <v>P54662</v>
          </cell>
          <cell r="D568">
            <v>3461</v>
          </cell>
          <cell r="E568">
            <v>9011</v>
          </cell>
          <cell r="F568">
            <v>38489</v>
          </cell>
          <cell r="G568" t="str">
            <v>IDR</v>
          </cell>
          <cell r="H568">
            <v>223480</v>
          </cell>
          <cell r="I568">
            <v>223480</v>
          </cell>
          <cell r="J568">
            <v>0</v>
          </cell>
        </row>
        <row r="569">
          <cell r="A569" t="str">
            <v>ID003461</v>
          </cell>
          <cell r="B569">
            <v>1810030763</v>
          </cell>
          <cell r="C569" t="str">
            <v>P54662</v>
          </cell>
          <cell r="D569">
            <v>3461</v>
          </cell>
          <cell r="E569">
            <v>9011</v>
          </cell>
          <cell r="F569">
            <v>38489</v>
          </cell>
          <cell r="G569" t="str">
            <v>IDR</v>
          </cell>
          <cell r="H569">
            <v>1828850</v>
          </cell>
          <cell r="I569">
            <v>1828850</v>
          </cell>
          <cell r="J569">
            <v>0</v>
          </cell>
        </row>
        <row r="570">
          <cell r="A570" t="str">
            <v>ID003461</v>
          </cell>
          <cell r="B570">
            <v>1810030763</v>
          </cell>
          <cell r="C570" t="str">
            <v>P54662</v>
          </cell>
          <cell r="D570">
            <v>3461</v>
          </cell>
          <cell r="E570">
            <v>9011</v>
          </cell>
          <cell r="F570">
            <v>38489</v>
          </cell>
          <cell r="G570" t="str">
            <v>IDR</v>
          </cell>
          <cell r="H570">
            <v>833123</v>
          </cell>
          <cell r="I570">
            <v>833123</v>
          </cell>
          <cell r="J570">
            <v>0</v>
          </cell>
        </row>
        <row r="571">
          <cell r="A571" t="str">
            <v>SAIDY ROSADI</v>
          </cell>
          <cell r="B571">
            <v>1910064365</v>
          </cell>
          <cell r="C571" t="str">
            <v>CUCI KARPET 5 UNIT DEMO CAR</v>
          </cell>
          <cell r="D571">
            <v>3461</v>
          </cell>
          <cell r="E571">
            <v>9011</v>
          </cell>
          <cell r="F571">
            <v>38358</v>
          </cell>
          <cell r="G571" t="str">
            <v>IDR</v>
          </cell>
          <cell r="H571">
            <v>15000</v>
          </cell>
          <cell r="I571">
            <v>15000</v>
          </cell>
          <cell r="J571">
            <v>0</v>
          </cell>
        </row>
        <row r="572">
          <cell r="A572" t="str">
            <v>DEMO CAR</v>
          </cell>
          <cell r="B572">
            <v>1910065343</v>
          </cell>
          <cell r="C572" t="str">
            <v>REPAIR VELG B.8693.VZ</v>
          </cell>
          <cell r="D572">
            <v>3461</v>
          </cell>
          <cell r="E572">
            <v>9011</v>
          </cell>
          <cell r="F572">
            <v>38391</v>
          </cell>
          <cell r="G572" t="str">
            <v>IDR</v>
          </cell>
          <cell r="H572">
            <v>350000</v>
          </cell>
          <cell r="I572">
            <v>350000</v>
          </cell>
          <cell r="J572">
            <v>0</v>
          </cell>
        </row>
        <row r="573">
          <cell r="A573" t="str">
            <v>SAIDI ROSADY</v>
          </cell>
          <cell r="B573">
            <v>1910066136</v>
          </cell>
          <cell r="C573" t="str">
            <v>SERVICE 4 PCS VELK</v>
          </cell>
          <cell r="D573">
            <v>3461</v>
          </cell>
          <cell r="E573">
            <v>9011</v>
          </cell>
          <cell r="F573">
            <v>38415</v>
          </cell>
          <cell r="G573" t="str">
            <v>IDR</v>
          </cell>
          <cell r="H573">
            <v>325000</v>
          </cell>
          <cell r="I573">
            <v>325000</v>
          </cell>
          <cell r="J573">
            <v>0</v>
          </cell>
        </row>
        <row r="574">
          <cell r="A574" t="str">
            <v>SAIDI ROSADY</v>
          </cell>
          <cell r="B574">
            <v>1910066137</v>
          </cell>
          <cell r="C574" t="str">
            <v>SERVICE 4 PCS VELK</v>
          </cell>
          <cell r="D574">
            <v>3461</v>
          </cell>
          <cell r="E574">
            <v>9011</v>
          </cell>
          <cell r="F574">
            <v>38415</v>
          </cell>
          <cell r="G574" t="str">
            <v>IDR</v>
          </cell>
          <cell r="H574">
            <v>325000</v>
          </cell>
          <cell r="I574">
            <v>325000</v>
          </cell>
          <cell r="J574">
            <v>0</v>
          </cell>
        </row>
        <row r="575">
          <cell r="A575" t="str">
            <v>PR 2000003757</v>
          </cell>
          <cell r="B575">
            <v>1910066138</v>
          </cell>
          <cell r="C575" t="str">
            <v>PEMBELIAN 2 ACCU YUASA N50ZL</v>
          </cell>
          <cell r="D575">
            <v>3461</v>
          </cell>
          <cell r="E575">
            <v>9011</v>
          </cell>
          <cell r="F575">
            <v>38415</v>
          </cell>
          <cell r="G575" t="str">
            <v>IDR</v>
          </cell>
          <cell r="H575">
            <v>890000</v>
          </cell>
          <cell r="I575">
            <v>890000</v>
          </cell>
          <cell r="J575">
            <v>0</v>
          </cell>
        </row>
        <row r="576">
          <cell r="A576" t="str">
            <v>SAIDI ROSADY</v>
          </cell>
          <cell r="B576">
            <v>1910066459</v>
          </cell>
          <cell r="C576" t="str">
            <v>TUNE UP,CAR SHAMPO,ETC B.1854.BQ</v>
          </cell>
          <cell r="D576">
            <v>3461</v>
          </cell>
          <cell r="E576">
            <v>9011</v>
          </cell>
          <cell r="F576">
            <v>38429</v>
          </cell>
          <cell r="G576" t="str">
            <v>IDR</v>
          </cell>
          <cell r="H576">
            <v>157500</v>
          </cell>
          <cell r="I576">
            <v>157500</v>
          </cell>
          <cell r="J576">
            <v>0</v>
          </cell>
        </row>
        <row r="577">
          <cell r="A577" t="str">
            <v>DEMO CAR</v>
          </cell>
          <cell r="B577">
            <v>1910067491</v>
          </cell>
          <cell r="C577" t="str">
            <v>BALANCING NEW CLS OF MR ENGISCH CAR</v>
          </cell>
          <cell r="D577">
            <v>3461</v>
          </cell>
          <cell r="E577">
            <v>9011</v>
          </cell>
          <cell r="F577">
            <v>38461</v>
          </cell>
          <cell r="G577" t="str">
            <v>IDR</v>
          </cell>
          <cell r="H577">
            <v>360000</v>
          </cell>
          <cell r="I577">
            <v>360000</v>
          </cell>
          <cell r="J577">
            <v>0</v>
          </cell>
        </row>
        <row r="578">
          <cell r="A578" t="str">
            <v>RINI A</v>
          </cell>
          <cell r="B578">
            <v>1910068305</v>
          </cell>
          <cell r="C578" t="str">
            <v>WASHING CAR B.8689.VZ</v>
          </cell>
          <cell r="D578">
            <v>3461</v>
          </cell>
          <cell r="E578">
            <v>9011</v>
          </cell>
          <cell r="F578">
            <v>38491</v>
          </cell>
          <cell r="G578" t="str">
            <v>IDR</v>
          </cell>
          <cell r="H578">
            <v>20000</v>
          </cell>
          <cell r="I578">
            <v>20000</v>
          </cell>
          <cell r="J578">
            <v>0</v>
          </cell>
        </row>
        <row r="579">
          <cell r="A579" t="str">
            <v>J PRATJOJO</v>
          </cell>
          <cell r="B579">
            <v>1910068547</v>
          </cell>
          <cell r="C579" t="str">
            <v>BALANCE B.2020.FE</v>
          </cell>
          <cell r="D579">
            <v>3461</v>
          </cell>
          <cell r="E579">
            <v>9011</v>
          </cell>
          <cell r="F579">
            <v>38495</v>
          </cell>
          <cell r="G579" t="str">
            <v>IDR</v>
          </cell>
          <cell r="H579">
            <v>160000</v>
          </cell>
          <cell r="I579">
            <v>160000</v>
          </cell>
          <cell r="J579">
            <v>0</v>
          </cell>
        </row>
        <row r="580">
          <cell r="A580" t="str">
            <v>DEMO CAR</v>
          </cell>
          <cell r="B580">
            <v>1910068664</v>
          </cell>
          <cell r="C580" t="str">
            <v>WASHING CAR B.8692.VZ ON 20.05.2005</v>
          </cell>
          <cell r="D580">
            <v>3461</v>
          </cell>
          <cell r="E580">
            <v>9011</v>
          </cell>
          <cell r="F580">
            <v>38498</v>
          </cell>
          <cell r="G580" t="str">
            <v>IDR</v>
          </cell>
          <cell r="H580">
            <v>20000</v>
          </cell>
          <cell r="I580">
            <v>20000</v>
          </cell>
          <cell r="J580">
            <v>0</v>
          </cell>
        </row>
        <row r="581">
          <cell r="A581" t="str">
            <v>DEMO CAR</v>
          </cell>
          <cell r="B581">
            <v>1910069738</v>
          </cell>
          <cell r="C581" t="str">
            <v>PAKET HEMAT EXT,INTERIOR RUANG MESIN B.2781.V0</v>
          </cell>
          <cell r="D581">
            <v>3461</v>
          </cell>
          <cell r="E581">
            <v>9011</v>
          </cell>
          <cell r="F581">
            <v>38539</v>
          </cell>
          <cell r="G581" t="str">
            <v>IDR</v>
          </cell>
          <cell r="H581">
            <v>294000</v>
          </cell>
          <cell r="I581">
            <v>294000</v>
          </cell>
          <cell r="J581">
            <v>0</v>
          </cell>
        </row>
        <row r="582">
          <cell r="A582" t="str">
            <v>ID003461</v>
          </cell>
          <cell r="B582">
            <v>5810003847</v>
          </cell>
          <cell r="C582" t="str">
            <v>P49537</v>
          </cell>
          <cell r="D582">
            <v>3461</v>
          </cell>
          <cell r="E582">
            <v>9011</v>
          </cell>
          <cell r="F582">
            <v>38387</v>
          </cell>
          <cell r="G582" t="str">
            <v>IDR</v>
          </cell>
          <cell r="H582">
            <v>11983145</v>
          </cell>
          <cell r="I582">
            <v>11983145</v>
          </cell>
          <cell r="J582">
            <v>0</v>
          </cell>
        </row>
        <row r="583">
          <cell r="A583" t="str">
            <v>ID003461</v>
          </cell>
          <cell r="B583">
            <v>5810003879</v>
          </cell>
          <cell r="C583" t="str">
            <v>W49403</v>
          </cell>
          <cell r="D583">
            <v>3461</v>
          </cell>
          <cell r="E583">
            <v>9011</v>
          </cell>
          <cell r="F583">
            <v>38391</v>
          </cell>
          <cell r="G583" t="str">
            <v>IDR</v>
          </cell>
          <cell r="H583">
            <v>1677260</v>
          </cell>
          <cell r="I583">
            <v>1677260</v>
          </cell>
          <cell r="J583">
            <v>0</v>
          </cell>
        </row>
        <row r="584">
          <cell r="A584" t="str">
            <v>ID003461</v>
          </cell>
          <cell r="B584">
            <v>5810003894</v>
          </cell>
          <cell r="C584" t="str">
            <v>P49838</v>
          </cell>
          <cell r="D584">
            <v>3461</v>
          </cell>
          <cell r="E584">
            <v>9011</v>
          </cell>
          <cell r="F584">
            <v>38397</v>
          </cell>
          <cell r="G584" t="str">
            <v>IDR</v>
          </cell>
          <cell r="H584">
            <v>2035907</v>
          </cell>
          <cell r="I584">
            <v>2035907</v>
          </cell>
          <cell r="J584">
            <v>0</v>
          </cell>
        </row>
        <row r="585">
          <cell r="A585" t="str">
            <v>ID003461</v>
          </cell>
          <cell r="B585">
            <v>5810003919</v>
          </cell>
          <cell r="C585" t="str">
            <v>W50137</v>
          </cell>
          <cell r="D585">
            <v>3461</v>
          </cell>
          <cell r="E585">
            <v>9011</v>
          </cell>
          <cell r="F585">
            <v>38400</v>
          </cell>
          <cell r="G585" t="str">
            <v>IDR</v>
          </cell>
          <cell r="H585">
            <v>89588</v>
          </cell>
          <cell r="I585">
            <v>89588</v>
          </cell>
          <cell r="J585">
            <v>0</v>
          </cell>
        </row>
        <row r="586">
          <cell r="A586" t="str">
            <v>ID003461</v>
          </cell>
          <cell r="B586">
            <v>5810003949</v>
          </cell>
          <cell r="C586" t="str">
            <v>W50137</v>
          </cell>
          <cell r="D586">
            <v>3461</v>
          </cell>
          <cell r="E586">
            <v>9011</v>
          </cell>
          <cell r="F586">
            <v>38404</v>
          </cell>
          <cell r="G586" t="str">
            <v>IDR</v>
          </cell>
          <cell r="H586">
            <v>36000</v>
          </cell>
          <cell r="I586">
            <v>36000</v>
          </cell>
          <cell r="J586">
            <v>0</v>
          </cell>
        </row>
        <row r="587">
          <cell r="A587" t="str">
            <v>ID003461</v>
          </cell>
          <cell r="B587">
            <v>5810003949</v>
          </cell>
          <cell r="C587" t="str">
            <v>W50137</v>
          </cell>
          <cell r="D587">
            <v>3461</v>
          </cell>
          <cell r="E587">
            <v>9011</v>
          </cell>
          <cell r="F587">
            <v>38404</v>
          </cell>
          <cell r="G587" t="str">
            <v>IDR</v>
          </cell>
          <cell r="H587">
            <v>6446</v>
          </cell>
          <cell r="I587">
            <v>6446</v>
          </cell>
          <cell r="J587">
            <v>0</v>
          </cell>
        </row>
        <row r="588">
          <cell r="A588" t="str">
            <v>ID003461</v>
          </cell>
          <cell r="B588">
            <v>5810003949</v>
          </cell>
          <cell r="C588" t="str">
            <v>W50137</v>
          </cell>
          <cell r="D588">
            <v>3461</v>
          </cell>
          <cell r="E588">
            <v>9011</v>
          </cell>
          <cell r="F588">
            <v>38404</v>
          </cell>
          <cell r="G588" t="str">
            <v>IDR</v>
          </cell>
          <cell r="H588">
            <v>433655</v>
          </cell>
          <cell r="I588">
            <v>433655</v>
          </cell>
          <cell r="J588">
            <v>0</v>
          </cell>
        </row>
        <row r="589">
          <cell r="A589" t="str">
            <v>ID003461</v>
          </cell>
          <cell r="B589">
            <v>5810003960</v>
          </cell>
          <cell r="C589" t="str">
            <v>P50108</v>
          </cell>
          <cell r="D589">
            <v>3461</v>
          </cell>
          <cell r="E589">
            <v>9011</v>
          </cell>
          <cell r="F589">
            <v>38405</v>
          </cell>
          <cell r="G589" t="str">
            <v>IDR</v>
          </cell>
          <cell r="H589">
            <v>5085962</v>
          </cell>
          <cell r="I589">
            <v>5085962</v>
          </cell>
          <cell r="J589">
            <v>0</v>
          </cell>
        </row>
        <row r="590">
          <cell r="A590" t="str">
            <v>ID003461</v>
          </cell>
          <cell r="B590">
            <v>5810003960</v>
          </cell>
          <cell r="C590" t="str">
            <v>P50108</v>
          </cell>
          <cell r="D590">
            <v>3461</v>
          </cell>
          <cell r="E590">
            <v>9011</v>
          </cell>
          <cell r="F590">
            <v>38405</v>
          </cell>
          <cell r="G590" t="str">
            <v>IDR</v>
          </cell>
          <cell r="H590">
            <v>1298631</v>
          </cell>
          <cell r="I590">
            <v>1298631</v>
          </cell>
          <cell r="J590">
            <v>0</v>
          </cell>
        </row>
        <row r="591">
          <cell r="A591" t="str">
            <v>ID003461</v>
          </cell>
          <cell r="B591">
            <v>5810003960</v>
          </cell>
          <cell r="C591" t="str">
            <v>P50108</v>
          </cell>
          <cell r="D591">
            <v>3461</v>
          </cell>
          <cell r="E591">
            <v>9011</v>
          </cell>
          <cell r="F591">
            <v>38405</v>
          </cell>
          <cell r="G591" t="str">
            <v>IDR</v>
          </cell>
          <cell r="H591">
            <v>389200</v>
          </cell>
          <cell r="I591">
            <v>389200</v>
          </cell>
          <cell r="J591">
            <v>0</v>
          </cell>
        </row>
        <row r="592">
          <cell r="A592" t="str">
            <v>ID003461</v>
          </cell>
          <cell r="B592">
            <v>5810003974</v>
          </cell>
          <cell r="C592" t="str">
            <v>W50137</v>
          </cell>
          <cell r="D592">
            <v>3461</v>
          </cell>
          <cell r="E592">
            <v>9011</v>
          </cell>
          <cell r="F592">
            <v>38406</v>
          </cell>
          <cell r="G592" t="str">
            <v>IDR</v>
          </cell>
          <cell r="H592">
            <v>10315</v>
          </cell>
          <cell r="I592">
            <v>10315</v>
          </cell>
          <cell r="J592">
            <v>0</v>
          </cell>
        </row>
        <row r="593">
          <cell r="A593" t="str">
            <v>ID003461</v>
          </cell>
          <cell r="B593">
            <v>5810004013</v>
          </cell>
          <cell r="C593" t="str">
            <v>W50137</v>
          </cell>
          <cell r="D593">
            <v>3461</v>
          </cell>
          <cell r="E593">
            <v>9011</v>
          </cell>
          <cell r="F593">
            <v>38411</v>
          </cell>
          <cell r="G593" t="str">
            <v>IDR</v>
          </cell>
          <cell r="H593">
            <v>68619</v>
          </cell>
          <cell r="I593">
            <v>68619</v>
          </cell>
          <cell r="J593">
            <v>0</v>
          </cell>
        </row>
        <row r="594">
          <cell r="A594" t="str">
            <v>ID003461</v>
          </cell>
          <cell r="B594">
            <v>5810004015</v>
          </cell>
          <cell r="C594" t="str">
            <v>W50826</v>
          </cell>
          <cell r="D594">
            <v>3461</v>
          </cell>
          <cell r="E594">
            <v>9011</v>
          </cell>
          <cell r="F594">
            <v>38411</v>
          </cell>
          <cell r="G594" t="str">
            <v>IDR</v>
          </cell>
          <cell r="H594">
            <v>216000</v>
          </cell>
          <cell r="I594">
            <v>216000</v>
          </cell>
          <cell r="J594">
            <v>0</v>
          </cell>
        </row>
        <row r="595">
          <cell r="A595" t="str">
            <v>ID003461</v>
          </cell>
          <cell r="B595">
            <v>5810004027</v>
          </cell>
          <cell r="C595" t="str">
            <v>W50826</v>
          </cell>
          <cell r="D595">
            <v>3461</v>
          </cell>
          <cell r="E595">
            <v>9011</v>
          </cell>
          <cell r="F595">
            <v>38413</v>
          </cell>
          <cell r="G595" t="str">
            <v>IDR</v>
          </cell>
          <cell r="H595">
            <v>38851</v>
          </cell>
          <cell r="I595">
            <v>38851</v>
          </cell>
          <cell r="J595">
            <v>0</v>
          </cell>
        </row>
        <row r="596">
          <cell r="A596" t="str">
            <v>ID003461</v>
          </cell>
          <cell r="B596">
            <v>5810004051</v>
          </cell>
          <cell r="C596" t="str">
            <v>W51002</v>
          </cell>
          <cell r="D596">
            <v>3461</v>
          </cell>
          <cell r="E596">
            <v>9011</v>
          </cell>
          <cell r="F596">
            <v>38415</v>
          </cell>
          <cell r="G596" t="str">
            <v>IDR</v>
          </cell>
          <cell r="H596">
            <v>38322</v>
          </cell>
          <cell r="I596">
            <v>38322</v>
          </cell>
          <cell r="J596">
            <v>0</v>
          </cell>
        </row>
        <row r="597">
          <cell r="A597" t="str">
            <v>ID003461</v>
          </cell>
          <cell r="B597">
            <v>5810004051</v>
          </cell>
          <cell r="C597" t="str">
            <v>W51002</v>
          </cell>
          <cell r="D597">
            <v>3461</v>
          </cell>
          <cell r="E597">
            <v>9011</v>
          </cell>
          <cell r="F597">
            <v>38415</v>
          </cell>
          <cell r="G597" t="str">
            <v>IDR</v>
          </cell>
          <cell r="H597">
            <v>478206</v>
          </cell>
          <cell r="I597">
            <v>478206</v>
          </cell>
          <cell r="J597">
            <v>0</v>
          </cell>
        </row>
        <row r="598">
          <cell r="A598" t="str">
            <v>ID003461</v>
          </cell>
          <cell r="B598">
            <v>5810004055</v>
          </cell>
          <cell r="C598" t="str">
            <v>P50245</v>
          </cell>
          <cell r="D598">
            <v>3461</v>
          </cell>
          <cell r="E598">
            <v>9011</v>
          </cell>
          <cell r="F598">
            <v>38415</v>
          </cell>
          <cell r="G598" t="str">
            <v>IDR</v>
          </cell>
          <cell r="H598">
            <v>2739090</v>
          </cell>
          <cell r="I598">
            <v>2739090</v>
          </cell>
          <cell r="J598">
            <v>0</v>
          </cell>
        </row>
        <row r="599">
          <cell r="A599" t="str">
            <v>ID003461</v>
          </cell>
          <cell r="B599">
            <v>5810004088</v>
          </cell>
          <cell r="C599" t="str">
            <v>W51002</v>
          </cell>
          <cell r="D599">
            <v>3461</v>
          </cell>
          <cell r="E599">
            <v>9011</v>
          </cell>
          <cell r="F599">
            <v>38420</v>
          </cell>
          <cell r="G599" t="str">
            <v>IDR</v>
          </cell>
          <cell r="H599">
            <v>302957</v>
          </cell>
          <cell r="I599">
            <v>302957</v>
          </cell>
          <cell r="J599">
            <v>0</v>
          </cell>
        </row>
        <row r="600">
          <cell r="A600" t="str">
            <v>ID003461</v>
          </cell>
          <cell r="B600">
            <v>5810004088</v>
          </cell>
          <cell r="C600" t="str">
            <v>W51002</v>
          </cell>
          <cell r="D600">
            <v>3461</v>
          </cell>
          <cell r="E600">
            <v>9011</v>
          </cell>
          <cell r="F600">
            <v>38420</v>
          </cell>
          <cell r="G600" t="str">
            <v>IDR</v>
          </cell>
          <cell r="H600">
            <v>231017</v>
          </cell>
          <cell r="I600">
            <v>231017</v>
          </cell>
          <cell r="J600">
            <v>0</v>
          </cell>
        </row>
        <row r="601">
          <cell r="A601" t="str">
            <v>ID003461</v>
          </cell>
          <cell r="B601">
            <v>5810004088</v>
          </cell>
          <cell r="C601" t="str">
            <v>W51002</v>
          </cell>
          <cell r="D601">
            <v>3461</v>
          </cell>
          <cell r="E601">
            <v>9011</v>
          </cell>
          <cell r="F601">
            <v>38420</v>
          </cell>
          <cell r="G601" t="str">
            <v>IDR</v>
          </cell>
          <cell r="H601">
            <v>29415</v>
          </cell>
          <cell r="I601">
            <v>29415</v>
          </cell>
          <cell r="J601">
            <v>0</v>
          </cell>
        </row>
        <row r="602">
          <cell r="A602" t="str">
            <v>ID003461</v>
          </cell>
          <cell r="B602">
            <v>5810004107</v>
          </cell>
          <cell r="C602" t="str">
            <v>W51002</v>
          </cell>
          <cell r="D602">
            <v>3461</v>
          </cell>
          <cell r="E602">
            <v>9011</v>
          </cell>
          <cell r="F602">
            <v>38426</v>
          </cell>
          <cell r="G602" t="str">
            <v>IDR</v>
          </cell>
          <cell r="H602">
            <v>184314</v>
          </cell>
          <cell r="I602">
            <v>184314</v>
          </cell>
          <cell r="J602">
            <v>0</v>
          </cell>
        </row>
        <row r="603">
          <cell r="A603" t="str">
            <v>ID003461</v>
          </cell>
          <cell r="B603">
            <v>5810004107</v>
          </cell>
          <cell r="C603" t="str">
            <v>W51002</v>
          </cell>
          <cell r="D603">
            <v>3461</v>
          </cell>
          <cell r="E603">
            <v>9011</v>
          </cell>
          <cell r="F603">
            <v>38426</v>
          </cell>
          <cell r="G603" t="str">
            <v>IDR</v>
          </cell>
          <cell r="H603">
            <v>92485</v>
          </cell>
          <cell r="I603">
            <v>92485</v>
          </cell>
          <cell r="J603">
            <v>0</v>
          </cell>
        </row>
        <row r="604">
          <cell r="A604" t="str">
            <v>ID003461</v>
          </cell>
          <cell r="B604">
            <v>5810004112</v>
          </cell>
          <cell r="C604" t="str">
            <v>W51002</v>
          </cell>
          <cell r="D604">
            <v>3461</v>
          </cell>
          <cell r="E604">
            <v>9011</v>
          </cell>
          <cell r="F604">
            <v>38427</v>
          </cell>
          <cell r="G604" t="str">
            <v>IDR</v>
          </cell>
          <cell r="H604">
            <v>1574784</v>
          </cell>
          <cell r="I604">
            <v>1574784</v>
          </cell>
          <cell r="J604">
            <v>0</v>
          </cell>
        </row>
        <row r="605">
          <cell r="A605" t="str">
            <v>ID003461</v>
          </cell>
          <cell r="B605">
            <v>5810004112</v>
          </cell>
          <cell r="C605" t="str">
            <v>W51002</v>
          </cell>
          <cell r="D605">
            <v>3461</v>
          </cell>
          <cell r="E605">
            <v>9011</v>
          </cell>
          <cell r="F605">
            <v>38427</v>
          </cell>
          <cell r="G605" t="str">
            <v>IDR</v>
          </cell>
          <cell r="H605">
            <v>60250</v>
          </cell>
          <cell r="I605">
            <v>60250</v>
          </cell>
          <cell r="J605">
            <v>0</v>
          </cell>
        </row>
        <row r="606">
          <cell r="A606" t="str">
            <v>ID003461</v>
          </cell>
          <cell r="B606">
            <v>5810004112</v>
          </cell>
          <cell r="C606" t="str">
            <v>W51002</v>
          </cell>
          <cell r="D606">
            <v>3461</v>
          </cell>
          <cell r="E606">
            <v>9011</v>
          </cell>
          <cell r="F606">
            <v>38427</v>
          </cell>
          <cell r="G606" t="str">
            <v>IDR</v>
          </cell>
          <cell r="H606">
            <v>395800</v>
          </cell>
          <cell r="I606">
            <v>395800</v>
          </cell>
          <cell r="J606">
            <v>0</v>
          </cell>
        </row>
        <row r="607">
          <cell r="A607" t="str">
            <v>ID003461</v>
          </cell>
          <cell r="B607">
            <v>5810004146</v>
          </cell>
          <cell r="C607" t="str">
            <v>P51020</v>
          </cell>
          <cell r="D607">
            <v>3461</v>
          </cell>
          <cell r="E607">
            <v>9011</v>
          </cell>
          <cell r="F607">
            <v>38432</v>
          </cell>
          <cell r="G607" t="str">
            <v>IDR</v>
          </cell>
          <cell r="H607">
            <v>1187190</v>
          </cell>
          <cell r="I607">
            <v>1187190</v>
          </cell>
          <cell r="J607">
            <v>0</v>
          </cell>
        </row>
        <row r="608">
          <cell r="A608" t="str">
            <v>ID003461</v>
          </cell>
          <cell r="B608">
            <v>5810004190</v>
          </cell>
          <cell r="C608" t="str">
            <v>W51975</v>
          </cell>
          <cell r="D608">
            <v>3461</v>
          </cell>
          <cell r="E608">
            <v>9011</v>
          </cell>
          <cell r="F608">
            <v>38439</v>
          </cell>
          <cell r="G608" t="str">
            <v>IDR</v>
          </cell>
          <cell r="H608">
            <v>101308</v>
          </cell>
          <cell r="I608">
            <v>101308</v>
          </cell>
          <cell r="J608">
            <v>0</v>
          </cell>
        </row>
        <row r="609">
          <cell r="A609" t="str">
            <v>ID003461</v>
          </cell>
          <cell r="B609">
            <v>5810004212</v>
          </cell>
          <cell r="C609" t="str">
            <v>W52429</v>
          </cell>
          <cell r="D609">
            <v>3461</v>
          </cell>
          <cell r="E609">
            <v>9011</v>
          </cell>
          <cell r="F609">
            <v>38446</v>
          </cell>
          <cell r="G609" t="str">
            <v>IDR</v>
          </cell>
          <cell r="H609">
            <v>2953755</v>
          </cell>
          <cell r="I609">
            <v>2953755</v>
          </cell>
          <cell r="J609">
            <v>0</v>
          </cell>
        </row>
        <row r="610">
          <cell r="A610" t="str">
            <v>ID003461</v>
          </cell>
          <cell r="B610">
            <v>5810004221</v>
          </cell>
          <cell r="C610" t="str">
            <v>P50086</v>
          </cell>
          <cell r="D610">
            <v>3461</v>
          </cell>
          <cell r="E610">
            <v>9011</v>
          </cell>
          <cell r="F610">
            <v>38446</v>
          </cell>
          <cell r="G610" t="str">
            <v>IDR</v>
          </cell>
          <cell r="H610">
            <v>839871</v>
          </cell>
          <cell r="I610">
            <v>839871</v>
          </cell>
          <cell r="J610">
            <v>0</v>
          </cell>
        </row>
        <row r="611">
          <cell r="A611" t="str">
            <v>ID003461</v>
          </cell>
          <cell r="B611">
            <v>5810004223</v>
          </cell>
          <cell r="C611" t="str">
            <v>W51002</v>
          </cell>
          <cell r="D611">
            <v>3461</v>
          </cell>
          <cell r="E611">
            <v>9011</v>
          </cell>
          <cell r="F611">
            <v>38447</v>
          </cell>
          <cell r="G611" t="str">
            <v>IDR</v>
          </cell>
          <cell r="H611">
            <v>4595832</v>
          </cell>
          <cell r="I611">
            <v>4595832</v>
          </cell>
          <cell r="J611">
            <v>0</v>
          </cell>
        </row>
        <row r="612">
          <cell r="A612" t="str">
            <v>ID003461</v>
          </cell>
          <cell r="B612">
            <v>5810004223</v>
          </cell>
          <cell r="C612" t="str">
            <v>W51002</v>
          </cell>
          <cell r="D612">
            <v>3461</v>
          </cell>
          <cell r="E612">
            <v>9011</v>
          </cell>
          <cell r="F612">
            <v>38447</v>
          </cell>
          <cell r="G612" t="str">
            <v>IDR</v>
          </cell>
          <cell r="H612">
            <v>36213</v>
          </cell>
          <cell r="I612">
            <v>36213</v>
          </cell>
          <cell r="J612">
            <v>0</v>
          </cell>
        </row>
        <row r="613">
          <cell r="A613" t="str">
            <v>ID003461</v>
          </cell>
          <cell r="B613">
            <v>5810004227</v>
          </cell>
          <cell r="C613" t="str">
            <v>W51002</v>
          </cell>
          <cell r="D613">
            <v>3461</v>
          </cell>
          <cell r="E613">
            <v>9011</v>
          </cell>
          <cell r="F613">
            <v>38447</v>
          </cell>
          <cell r="G613" t="str">
            <v>IDR</v>
          </cell>
          <cell r="H613">
            <v>2413418</v>
          </cell>
          <cell r="I613">
            <v>2413418</v>
          </cell>
          <cell r="J613">
            <v>0</v>
          </cell>
        </row>
        <row r="614">
          <cell r="A614" t="str">
            <v>ID003461</v>
          </cell>
          <cell r="B614">
            <v>5810004227</v>
          </cell>
          <cell r="C614" t="str">
            <v>W51002</v>
          </cell>
          <cell r="D614">
            <v>3461</v>
          </cell>
          <cell r="E614">
            <v>9011</v>
          </cell>
          <cell r="F614">
            <v>38447</v>
          </cell>
          <cell r="G614" t="str">
            <v>IDR</v>
          </cell>
          <cell r="H614">
            <v>53770</v>
          </cell>
          <cell r="I614">
            <v>53770</v>
          </cell>
          <cell r="J614">
            <v>0</v>
          </cell>
        </row>
        <row r="615">
          <cell r="A615" t="str">
            <v>ID003461</v>
          </cell>
          <cell r="B615">
            <v>5810004284</v>
          </cell>
          <cell r="C615" t="str">
            <v>W51002</v>
          </cell>
          <cell r="D615">
            <v>3461</v>
          </cell>
          <cell r="E615">
            <v>9011</v>
          </cell>
          <cell r="F615">
            <v>38453</v>
          </cell>
          <cell r="G615" t="str">
            <v>IDR</v>
          </cell>
          <cell r="H615">
            <v>3342719</v>
          </cell>
          <cell r="I615">
            <v>3342719</v>
          </cell>
          <cell r="J615">
            <v>0</v>
          </cell>
        </row>
        <row r="616">
          <cell r="A616" t="str">
            <v>ID003461</v>
          </cell>
          <cell r="B616">
            <v>5810004284</v>
          </cell>
          <cell r="C616" t="str">
            <v>W51002</v>
          </cell>
          <cell r="D616">
            <v>3461</v>
          </cell>
          <cell r="E616">
            <v>9011</v>
          </cell>
          <cell r="F616">
            <v>38453</v>
          </cell>
          <cell r="G616" t="str">
            <v>IDR</v>
          </cell>
          <cell r="H616">
            <v>198550</v>
          </cell>
          <cell r="I616">
            <v>198550</v>
          </cell>
          <cell r="J616">
            <v>0</v>
          </cell>
        </row>
        <row r="617">
          <cell r="A617" t="str">
            <v>ID003461</v>
          </cell>
          <cell r="B617">
            <v>5810004291</v>
          </cell>
          <cell r="C617" t="str">
            <v>W51002</v>
          </cell>
          <cell r="D617">
            <v>3461</v>
          </cell>
          <cell r="E617">
            <v>9011</v>
          </cell>
          <cell r="F617">
            <v>38453</v>
          </cell>
          <cell r="G617" t="str">
            <v>IDR</v>
          </cell>
          <cell r="H617">
            <v>11475390</v>
          </cell>
          <cell r="I617">
            <v>11475390</v>
          </cell>
          <cell r="J617">
            <v>0</v>
          </cell>
        </row>
        <row r="618">
          <cell r="A618" t="str">
            <v>ID003461</v>
          </cell>
          <cell r="B618">
            <v>5810004291</v>
          </cell>
          <cell r="C618" t="str">
            <v>W51002</v>
          </cell>
          <cell r="D618">
            <v>3461</v>
          </cell>
          <cell r="E618">
            <v>9011</v>
          </cell>
          <cell r="F618">
            <v>38453</v>
          </cell>
          <cell r="G618" t="str">
            <v>IDR</v>
          </cell>
          <cell r="H618">
            <v>772265</v>
          </cell>
          <cell r="I618">
            <v>772265</v>
          </cell>
          <cell r="J618">
            <v>0</v>
          </cell>
        </row>
        <row r="619">
          <cell r="A619" t="str">
            <v>ID003461</v>
          </cell>
          <cell r="B619">
            <v>5810004316</v>
          </cell>
          <cell r="C619" t="str">
            <v>W51975</v>
          </cell>
          <cell r="D619">
            <v>3461</v>
          </cell>
          <cell r="E619">
            <v>9011</v>
          </cell>
          <cell r="F619">
            <v>38455</v>
          </cell>
          <cell r="G619" t="str">
            <v>IDR</v>
          </cell>
          <cell r="H619">
            <v>180000</v>
          </cell>
          <cell r="I619">
            <v>180000</v>
          </cell>
          <cell r="J619">
            <v>0</v>
          </cell>
        </row>
        <row r="620">
          <cell r="A620" t="str">
            <v>ID003461</v>
          </cell>
          <cell r="B620">
            <v>5810004320</v>
          </cell>
          <cell r="C620" t="str">
            <v>W52429</v>
          </cell>
          <cell r="D620">
            <v>3461</v>
          </cell>
          <cell r="E620">
            <v>9011</v>
          </cell>
          <cell r="F620">
            <v>38455</v>
          </cell>
          <cell r="G620" t="str">
            <v>IDR</v>
          </cell>
          <cell r="H620">
            <v>1725036</v>
          </cell>
          <cell r="I620">
            <v>1725036</v>
          </cell>
          <cell r="J620">
            <v>0</v>
          </cell>
        </row>
        <row r="621">
          <cell r="A621" t="str">
            <v>ID003461</v>
          </cell>
          <cell r="B621">
            <v>5810004323</v>
          </cell>
          <cell r="C621" t="str">
            <v>W51002</v>
          </cell>
          <cell r="D621">
            <v>3461</v>
          </cell>
          <cell r="E621">
            <v>9011</v>
          </cell>
          <cell r="F621">
            <v>38455</v>
          </cell>
          <cell r="G621" t="str">
            <v>IDR</v>
          </cell>
          <cell r="H621">
            <v>11564460</v>
          </cell>
          <cell r="I621">
            <v>11564460</v>
          </cell>
          <cell r="J621">
            <v>0</v>
          </cell>
        </row>
        <row r="622">
          <cell r="A622" t="str">
            <v>ID003461</v>
          </cell>
          <cell r="B622">
            <v>5810004323</v>
          </cell>
          <cell r="C622" t="str">
            <v>W51002</v>
          </cell>
          <cell r="D622">
            <v>3461</v>
          </cell>
          <cell r="E622">
            <v>9011</v>
          </cell>
          <cell r="F622">
            <v>38455</v>
          </cell>
          <cell r="G622" t="str">
            <v>IDR</v>
          </cell>
          <cell r="H622">
            <v>475520</v>
          </cell>
          <cell r="I622">
            <v>475520</v>
          </cell>
          <cell r="J622">
            <v>0</v>
          </cell>
        </row>
        <row r="623">
          <cell r="A623" t="str">
            <v>ID003461</v>
          </cell>
          <cell r="B623">
            <v>5810004334</v>
          </cell>
          <cell r="C623" t="str">
            <v>W50137</v>
          </cell>
          <cell r="D623">
            <v>3461</v>
          </cell>
          <cell r="E623">
            <v>9011</v>
          </cell>
          <cell r="F623">
            <v>38456</v>
          </cell>
          <cell r="G623" t="str">
            <v>IDR</v>
          </cell>
          <cell r="H623">
            <v>14005</v>
          </cell>
          <cell r="I623">
            <v>14005</v>
          </cell>
          <cell r="J623">
            <v>0</v>
          </cell>
        </row>
        <row r="624">
          <cell r="A624" t="str">
            <v>ID003461</v>
          </cell>
          <cell r="B624">
            <v>5810004341</v>
          </cell>
          <cell r="C624" t="str">
            <v>W47570</v>
          </cell>
          <cell r="D624">
            <v>3461</v>
          </cell>
          <cell r="E624">
            <v>9011</v>
          </cell>
          <cell r="F624">
            <v>38456</v>
          </cell>
          <cell r="G624" t="str">
            <v>IDR</v>
          </cell>
          <cell r="H624">
            <v>991665</v>
          </cell>
          <cell r="I624">
            <v>991665</v>
          </cell>
          <cell r="J624">
            <v>0</v>
          </cell>
        </row>
        <row r="625">
          <cell r="A625" t="str">
            <v>ID003461</v>
          </cell>
          <cell r="B625">
            <v>5810004341</v>
          </cell>
          <cell r="C625" t="str">
            <v>W47570</v>
          </cell>
          <cell r="D625">
            <v>3461</v>
          </cell>
          <cell r="E625">
            <v>9011</v>
          </cell>
          <cell r="F625">
            <v>38456</v>
          </cell>
          <cell r="G625" t="str">
            <v>IDR</v>
          </cell>
          <cell r="H625">
            <v>143590</v>
          </cell>
          <cell r="I625">
            <v>143590</v>
          </cell>
          <cell r="J625">
            <v>0</v>
          </cell>
        </row>
        <row r="626">
          <cell r="A626" t="str">
            <v>ID003461</v>
          </cell>
          <cell r="B626">
            <v>5810004349</v>
          </cell>
          <cell r="C626" t="str">
            <v>P53462</v>
          </cell>
          <cell r="D626">
            <v>3461</v>
          </cell>
          <cell r="E626">
            <v>9011</v>
          </cell>
          <cell r="F626">
            <v>38456</v>
          </cell>
          <cell r="G626" t="str">
            <v>IDR</v>
          </cell>
          <cell r="H626">
            <v>2237961</v>
          </cell>
          <cell r="I626">
            <v>2237961</v>
          </cell>
          <cell r="J626">
            <v>0</v>
          </cell>
        </row>
        <row r="627">
          <cell r="A627" t="str">
            <v>ID003461</v>
          </cell>
          <cell r="B627">
            <v>5810004350</v>
          </cell>
          <cell r="C627" t="str">
            <v>P53470</v>
          </cell>
          <cell r="D627">
            <v>3461</v>
          </cell>
          <cell r="E627">
            <v>9011</v>
          </cell>
          <cell r="F627">
            <v>38456</v>
          </cell>
          <cell r="G627" t="str">
            <v>IDR</v>
          </cell>
          <cell r="H627">
            <v>81500</v>
          </cell>
          <cell r="I627">
            <v>81500</v>
          </cell>
          <cell r="J627">
            <v>0</v>
          </cell>
        </row>
        <row r="628">
          <cell r="A628" t="str">
            <v>ID003461</v>
          </cell>
          <cell r="B628">
            <v>5810004351</v>
          </cell>
          <cell r="C628" t="str">
            <v>P53464</v>
          </cell>
          <cell r="D628">
            <v>3461</v>
          </cell>
          <cell r="E628">
            <v>9011</v>
          </cell>
          <cell r="F628">
            <v>38456</v>
          </cell>
          <cell r="G628" t="str">
            <v>IDR</v>
          </cell>
          <cell r="H628">
            <v>1415666</v>
          </cell>
          <cell r="I628">
            <v>1415666</v>
          </cell>
          <cell r="J628">
            <v>0</v>
          </cell>
        </row>
        <row r="629">
          <cell r="A629" t="str">
            <v>ID003461</v>
          </cell>
          <cell r="B629">
            <v>5810004353</v>
          </cell>
          <cell r="C629" t="str">
            <v>P53467</v>
          </cell>
          <cell r="D629">
            <v>3461</v>
          </cell>
          <cell r="E629">
            <v>9011</v>
          </cell>
          <cell r="F629">
            <v>38456</v>
          </cell>
          <cell r="G629" t="str">
            <v>IDR</v>
          </cell>
          <cell r="H629">
            <v>570500</v>
          </cell>
          <cell r="I629">
            <v>570500</v>
          </cell>
          <cell r="J629">
            <v>0</v>
          </cell>
        </row>
        <row r="630">
          <cell r="A630" t="str">
            <v>ID003461</v>
          </cell>
          <cell r="B630">
            <v>5810004356</v>
          </cell>
          <cell r="C630" t="str">
            <v>P53616</v>
          </cell>
          <cell r="D630">
            <v>3461</v>
          </cell>
          <cell r="E630">
            <v>9011</v>
          </cell>
          <cell r="F630">
            <v>38457</v>
          </cell>
          <cell r="G630" t="str">
            <v>IDR</v>
          </cell>
          <cell r="H630">
            <v>761719</v>
          </cell>
          <cell r="I630">
            <v>761719</v>
          </cell>
          <cell r="J630">
            <v>0</v>
          </cell>
        </row>
        <row r="631">
          <cell r="A631" t="str">
            <v>ID003461</v>
          </cell>
          <cell r="B631">
            <v>5810004361</v>
          </cell>
          <cell r="C631" t="str">
            <v>P53572</v>
          </cell>
          <cell r="D631">
            <v>3461</v>
          </cell>
          <cell r="E631">
            <v>9011</v>
          </cell>
          <cell r="F631">
            <v>38457</v>
          </cell>
          <cell r="G631" t="str">
            <v>IDR</v>
          </cell>
          <cell r="H631">
            <v>33950</v>
          </cell>
          <cell r="I631">
            <v>33950</v>
          </cell>
          <cell r="J631">
            <v>0</v>
          </cell>
        </row>
        <row r="632">
          <cell r="A632" t="str">
            <v>ID003461</v>
          </cell>
          <cell r="B632">
            <v>5810004365</v>
          </cell>
          <cell r="C632" t="str">
            <v>W51002</v>
          </cell>
          <cell r="D632">
            <v>3461</v>
          </cell>
          <cell r="E632">
            <v>9011</v>
          </cell>
          <cell r="F632">
            <v>38460</v>
          </cell>
          <cell r="G632" t="str">
            <v>IDR</v>
          </cell>
          <cell r="H632">
            <v>243984</v>
          </cell>
          <cell r="I632">
            <v>243984</v>
          </cell>
          <cell r="J632">
            <v>0</v>
          </cell>
        </row>
        <row r="633">
          <cell r="A633" t="str">
            <v>ID003461</v>
          </cell>
          <cell r="B633">
            <v>5810004388</v>
          </cell>
          <cell r="C633" t="str">
            <v>P53765</v>
          </cell>
          <cell r="D633">
            <v>3461</v>
          </cell>
          <cell r="E633">
            <v>9011</v>
          </cell>
          <cell r="F633">
            <v>38461</v>
          </cell>
          <cell r="G633" t="str">
            <v>IDR</v>
          </cell>
          <cell r="H633">
            <v>2739090</v>
          </cell>
          <cell r="I633">
            <v>2739090</v>
          </cell>
          <cell r="J633">
            <v>0</v>
          </cell>
        </row>
        <row r="634">
          <cell r="A634" t="str">
            <v>ID003461</v>
          </cell>
          <cell r="B634">
            <v>5810004419</v>
          </cell>
          <cell r="C634" t="str">
            <v>W51002</v>
          </cell>
          <cell r="D634">
            <v>3461</v>
          </cell>
          <cell r="E634">
            <v>9011</v>
          </cell>
          <cell r="F634">
            <v>38468</v>
          </cell>
          <cell r="G634" t="str">
            <v>IDR</v>
          </cell>
          <cell r="H634">
            <v>667166</v>
          </cell>
          <cell r="I634">
            <v>667166</v>
          </cell>
          <cell r="J634">
            <v>0</v>
          </cell>
        </row>
        <row r="635">
          <cell r="A635" t="str">
            <v>ID003461</v>
          </cell>
          <cell r="B635">
            <v>5810004445</v>
          </cell>
          <cell r="C635" t="str">
            <v>P54508</v>
          </cell>
          <cell r="D635">
            <v>3461</v>
          </cell>
          <cell r="E635">
            <v>9011</v>
          </cell>
          <cell r="F635">
            <v>38474</v>
          </cell>
          <cell r="G635" t="str">
            <v>IDR</v>
          </cell>
          <cell r="H635">
            <v>427255</v>
          </cell>
          <cell r="I635">
            <v>427255</v>
          </cell>
          <cell r="J635">
            <v>0</v>
          </cell>
        </row>
        <row r="636">
          <cell r="A636" t="str">
            <v>ID003461</v>
          </cell>
          <cell r="B636">
            <v>5810004454</v>
          </cell>
          <cell r="C636" t="str">
            <v>P54662</v>
          </cell>
          <cell r="D636">
            <v>3461</v>
          </cell>
          <cell r="E636">
            <v>9011</v>
          </cell>
          <cell r="F636">
            <v>38475</v>
          </cell>
          <cell r="G636" t="str">
            <v>IDR</v>
          </cell>
          <cell r="H636">
            <v>223480</v>
          </cell>
          <cell r="I636">
            <v>223480</v>
          </cell>
          <cell r="J636">
            <v>0</v>
          </cell>
        </row>
        <row r="637">
          <cell r="A637" t="str">
            <v>ID003461</v>
          </cell>
          <cell r="B637">
            <v>5810004455</v>
          </cell>
          <cell r="C637" t="str">
            <v>P54662</v>
          </cell>
          <cell r="D637">
            <v>3461</v>
          </cell>
          <cell r="E637">
            <v>9011</v>
          </cell>
          <cell r="F637">
            <v>38475</v>
          </cell>
          <cell r="G637" t="str">
            <v>IDR</v>
          </cell>
          <cell r="H637">
            <v>1828850</v>
          </cell>
          <cell r="I637">
            <v>1828850</v>
          </cell>
          <cell r="J637">
            <v>0</v>
          </cell>
        </row>
        <row r="638">
          <cell r="A638" t="str">
            <v>ID003461</v>
          </cell>
          <cell r="B638">
            <v>5810004455</v>
          </cell>
          <cell r="C638" t="str">
            <v>P54662</v>
          </cell>
          <cell r="D638">
            <v>3461</v>
          </cell>
          <cell r="E638">
            <v>9011</v>
          </cell>
          <cell r="F638">
            <v>38475</v>
          </cell>
          <cell r="G638" t="str">
            <v>IDR</v>
          </cell>
          <cell r="H638">
            <v>833123</v>
          </cell>
          <cell r="I638">
            <v>833123</v>
          </cell>
          <cell r="J638">
            <v>0</v>
          </cell>
        </row>
        <row r="639">
          <cell r="A639" t="str">
            <v>ID003461</v>
          </cell>
          <cell r="B639">
            <v>5810004488</v>
          </cell>
          <cell r="C639" t="str">
            <v>P55402</v>
          </cell>
          <cell r="D639">
            <v>3461</v>
          </cell>
          <cell r="E639">
            <v>9011</v>
          </cell>
          <cell r="F639">
            <v>38488</v>
          </cell>
          <cell r="G639" t="str">
            <v>IDR</v>
          </cell>
          <cell r="H639">
            <v>2100000</v>
          </cell>
          <cell r="I639">
            <v>2100000</v>
          </cell>
          <cell r="J639">
            <v>0</v>
          </cell>
        </row>
        <row r="640">
          <cell r="A640" t="str">
            <v>ID003461</v>
          </cell>
          <cell r="B640">
            <v>5810004499</v>
          </cell>
          <cell r="C640" t="str">
            <v>P54662</v>
          </cell>
          <cell r="D640">
            <v>3461</v>
          </cell>
          <cell r="E640">
            <v>9011</v>
          </cell>
          <cell r="F640">
            <v>38489</v>
          </cell>
          <cell r="G640" t="str">
            <v>IDR</v>
          </cell>
          <cell r="H640">
            <v>-223480</v>
          </cell>
          <cell r="I640">
            <v>-223480</v>
          </cell>
          <cell r="J640">
            <v>0</v>
          </cell>
        </row>
        <row r="641">
          <cell r="A641" t="str">
            <v>ID003461</v>
          </cell>
          <cell r="B641">
            <v>5810004500</v>
          </cell>
          <cell r="C641" t="str">
            <v>P54662</v>
          </cell>
          <cell r="D641">
            <v>3461</v>
          </cell>
          <cell r="E641">
            <v>9011</v>
          </cell>
          <cell r="F641">
            <v>38489</v>
          </cell>
          <cell r="G641" t="str">
            <v>IDR</v>
          </cell>
          <cell r="H641">
            <v>-1828850</v>
          </cell>
          <cell r="I641">
            <v>-1828850</v>
          </cell>
          <cell r="J641">
            <v>0</v>
          </cell>
        </row>
        <row r="642">
          <cell r="A642" t="str">
            <v>ID003461</v>
          </cell>
          <cell r="B642">
            <v>5810004500</v>
          </cell>
          <cell r="C642" t="str">
            <v>P54662</v>
          </cell>
          <cell r="D642">
            <v>3461</v>
          </cell>
          <cell r="E642">
            <v>9011</v>
          </cell>
          <cell r="F642">
            <v>38489</v>
          </cell>
          <cell r="G642" t="str">
            <v>IDR</v>
          </cell>
          <cell r="H642">
            <v>-833123</v>
          </cell>
          <cell r="I642">
            <v>-833123</v>
          </cell>
          <cell r="J642">
            <v>0</v>
          </cell>
        </row>
        <row r="643">
          <cell r="A643" t="str">
            <v>ID003461</v>
          </cell>
          <cell r="B643">
            <v>5810004508</v>
          </cell>
          <cell r="C643" t="str">
            <v>P54662</v>
          </cell>
          <cell r="D643">
            <v>3461</v>
          </cell>
          <cell r="E643">
            <v>9011</v>
          </cell>
          <cell r="F643">
            <v>38489</v>
          </cell>
          <cell r="G643" t="str">
            <v>IDR</v>
          </cell>
          <cell r="H643">
            <v>-223480</v>
          </cell>
          <cell r="I643">
            <v>-223480</v>
          </cell>
          <cell r="J643">
            <v>0</v>
          </cell>
        </row>
        <row r="644">
          <cell r="A644" t="str">
            <v>ID003461</v>
          </cell>
          <cell r="B644">
            <v>5810004509</v>
          </cell>
          <cell r="C644" t="str">
            <v>P54662</v>
          </cell>
          <cell r="D644">
            <v>3461</v>
          </cell>
          <cell r="E644">
            <v>9011</v>
          </cell>
          <cell r="F644">
            <v>38489</v>
          </cell>
          <cell r="G644" t="str">
            <v>IDR</v>
          </cell>
          <cell r="H644">
            <v>-1828850</v>
          </cell>
          <cell r="I644">
            <v>-1828850</v>
          </cell>
          <cell r="J644">
            <v>0</v>
          </cell>
        </row>
        <row r="645">
          <cell r="A645" t="str">
            <v>ID003461</v>
          </cell>
          <cell r="B645">
            <v>5810004509</v>
          </cell>
          <cell r="C645" t="str">
            <v>P54662</v>
          </cell>
          <cell r="D645">
            <v>3461</v>
          </cell>
          <cell r="E645">
            <v>9011</v>
          </cell>
          <cell r="F645">
            <v>38489</v>
          </cell>
          <cell r="G645" t="str">
            <v>IDR</v>
          </cell>
          <cell r="H645">
            <v>-833123</v>
          </cell>
          <cell r="I645">
            <v>-833123</v>
          </cell>
          <cell r="J645">
            <v>0</v>
          </cell>
        </row>
        <row r="646">
          <cell r="I646">
            <v>87590667</v>
          </cell>
        </row>
        <row r="647">
          <cell r="A647" t="str">
            <v>ID003500</v>
          </cell>
          <cell r="B647">
            <v>110210564</v>
          </cell>
          <cell r="C647" t="str">
            <v>W64820</v>
          </cell>
          <cell r="D647">
            <v>3501</v>
          </cell>
          <cell r="E647">
            <v>9011</v>
          </cell>
          <cell r="F647">
            <v>38686</v>
          </cell>
          <cell r="G647" t="str">
            <v>IDR</v>
          </cell>
          <cell r="H647">
            <v>1949548</v>
          </cell>
          <cell r="I647">
            <v>1949548</v>
          </cell>
          <cell r="J647">
            <v>0</v>
          </cell>
        </row>
        <row r="648">
          <cell r="A648" t="str">
            <v>ID003500</v>
          </cell>
          <cell r="B648">
            <v>5810004781</v>
          </cell>
          <cell r="C648" t="str">
            <v>P59437</v>
          </cell>
          <cell r="D648">
            <v>3501</v>
          </cell>
          <cell r="E648">
            <v>9011</v>
          </cell>
          <cell r="F648">
            <v>38553</v>
          </cell>
          <cell r="G648" t="str">
            <v>IDR</v>
          </cell>
          <cell r="H648">
            <v>786890</v>
          </cell>
          <cell r="I648">
            <v>786890</v>
          </cell>
          <cell r="J648">
            <v>0</v>
          </cell>
        </row>
        <row r="649">
          <cell r="I649">
            <v>2736438</v>
          </cell>
        </row>
        <row r="650">
          <cell r="A650" t="str">
            <v>TITI PRIYATNI</v>
          </cell>
          <cell r="B650">
            <v>120521928</v>
          </cell>
          <cell r="C650" t="str">
            <v>KANEBO</v>
          </cell>
          <cell r="D650">
            <v>5100</v>
          </cell>
          <cell r="E650">
            <v>9012</v>
          </cell>
          <cell r="F650">
            <v>38462</v>
          </cell>
          <cell r="G650" t="str">
            <v>IDR</v>
          </cell>
          <cell r="H650">
            <v>38000</v>
          </cell>
          <cell r="I650">
            <v>38000</v>
          </cell>
          <cell r="J650">
            <v>0</v>
          </cell>
        </row>
        <row r="651">
          <cell r="A651">
            <v>5100</v>
          </cell>
          <cell r="B651">
            <v>5020089132</v>
          </cell>
          <cell r="C651" t="str">
            <v>Llumar window film front side window 40%</v>
          </cell>
          <cell r="D651">
            <v>5100</v>
          </cell>
          <cell r="E651">
            <v>9012</v>
          </cell>
          <cell r="F651">
            <v>38680</v>
          </cell>
          <cell r="G651" t="str">
            <v>IDR</v>
          </cell>
          <cell r="H651">
            <v>187800</v>
          </cell>
          <cell r="I651">
            <v>187800</v>
          </cell>
          <cell r="J651">
            <v>1</v>
          </cell>
        </row>
        <row r="652">
          <cell r="A652">
            <v>5100</v>
          </cell>
          <cell r="B652">
            <v>5020089132</v>
          </cell>
          <cell r="C652" t="str">
            <v>Llumar window film rear side window 80%</v>
          </cell>
          <cell r="D652">
            <v>5100</v>
          </cell>
          <cell r="E652">
            <v>9012</v>
          </cell>
          <cell r="F652">
            <v>38680</v>
          </cell>
          <cell r="G652" t="str">
            <v>IDR</v>
          </cell>
          <cell r="H652">
            <v>200400</v>
          </cell>
          <cell r="I652">
            <v>200400</v>
          </cell>
          <cell r="J652">
            <v>1</v>
          </cell>
        </row>
        <row r="653">
          <cell r="A653">
            <v>5100</v>
          </cell>
          <cell r="B653">
            <v>5020089132</v>
          </cell>
          <cell r="C653" t="str">
            <v>Llumar window film rear glass 80%</v>
          </cell>
          <cell r="D653">
            <v>5100</v>
          </cell>
          <cell r="E653">
            <v>9012</v>
          </cell>
          <cell r="F653">
            <v>38680</v>
          </cell>
          <cell r="G653" t="str">
            <v>IDR</v>
          </cell>
          <cell r="H653">
            <v>336600</v>
          </cell>
          <cell r="I653">
            <v>336600</v>
          </cell>
          <cell r="J653">
            <v>1</v>
          </cell>
        </row>
        <row r="654">
          <cell r="A654">
            <v>5100</v>
          </cell>
          <cell r="B654">
            <v>5020089132</v>
          </cell>
          <cell r="C654" t="str">
            <v>Llumar window film front glass 20%</v>
          </cell>
          <cell r="D654">
            <v>5100</v>
          </cell>
          <cell r="E654">
            <v>9012</v>
          </cell>
          <cell r="F654">
            <v>38680</v>
          </cell>
          <cell r="G654" t="str">
            <v>IDR</v>
          </cell>
          <cell r="H654">
            <v>1260000</v>
          </cell>
          <cell r="I654">
            <v>1260000</v>
          </cell>
          <cell r="J654">
            <v>1</v>
          </cell>
        </row>
        <row r="655">
          <cell r="A655">
            <v>5100</v>
          </cell>
          <cell r="B655">
            <v>5010012070</v>
          </cell>
          <cell r="C655" t="str">
            <v>Glass film for Mr. Tosstorff's co. car</v>
          </cell>
          <cell r="D655">
            <v>5100</v>
          </cell>
          <cell r="E655">
            <v>9012</v>
          </cell>
          <cell r="F655">
            <v>38385</v>
          </cell>
          <cell r="G655" t="str">
            <v>IDR</v>
          </cell>
          <cell r="H655">
            <v>3563750</v>
          </cell>
          <cell r="I655">
            <v>3563750</v>
          </cell>
          <cell r="J655">
            <v>1</v>
          </cell>
        </row>
        <row r="656">
          <cell r="A656">
            <v>5100</v>
          </cell>
          <cell r="B656">
            <v>5010012080</v>
          </cell>
          <cell r="C656" t="str">
            <v>Glass film for Mr. Tosstorff's co. car</v>
          </cell>
          <cell r="D656">
            <v>5100</v>
          </cell>
          <cell r="E656">
            <v>9012</v>
          </cell>
          <cell r="F656">
            <v>38387</v>
          </cell>
          <cell r="G656" t="str">
            <v>IDR</v>
          </cell>
          <cell r="H656">
            <v>-3563750</v>
          </cell>
          <cell r="I656">
            <v>-3563750</v>
          </cell>
          <cell r="J656">
            <v>-1</v>
          </cell>
        </row>
        <row r="657">
          <cell r="A657">
            <v>5100</v>
          </cell>
          <cell r="B657">
            <v>5010012084</v>
          </cell>
          <cell r="C657" t="str">
            <v>Glass film for Mr. Tosstorff's co. car</v>
          </cell>
          <cell r="D657">
            <v>5100</v>
          </cell>
          <cell r="E657">
            <v>9012</v>
          </cell>
          <cell r="F657">
            <v>38390</v>
          </cell>
          <cell r="G657" t="str">
            <v>IDR</v>
          </cell>
          <cell r="H657">
            <v>3563750</v>
          </cell>
          <cell r="I657">
            <v>3563750</v>
          </cell>
          <cell r="J657">
            <v>1</v>
          </cell>
        </row>
        <row r="658">
          <cell r="A658" t="str">
            <v>ID005100</v>
          </cell>
          <cell r="B658">
            <v>5810003465</v>
          </cell>
          <cell r="C658" t="str">
            <v>W46994</v>
          </cell>
          <cell r="D658">
            <v>5101</v>
          </cell>
          <cell r="E658">
            <v>9011</v>
          </cell>
          <cell r="F658">
            <v>38357</v>
          </cell>
          <cell r="G658" t="str">
            <v>IDR</v>
          </cell>
          <cell r="H658">
            <v>204808</v>
          </cell>
          <cell r="I658">
            <v>204808</v>
          </cell>
          <cell r="J658">
            <v>0</v>
          </cell>
        </row>
        <row r="659">
          <cell r="A659" t="str">
            <v>ID005100</v>
          </cell>
          <cell r="B659">
            <v>5810003465</v>
          </cell>
          <cell r="C659" t="str">
            <v>W46994</v>
          </cell>
          <cell r="D659">
            <v>5101</v>
          </cell>
          <cell r="E659">
            <v>9011</v>
          </cell>
          <cell r="F659">
            <v>38357</v>
          </cell>
          <cell r="G659" t="str">
            <v>IDR</v>
          </cell>
          <cell r="H659">
            <v>13490</v>
          </cell>
          <cell r="I659">
            <v>13490</v>
          </cell>
          <cell r="J659">
            <v>0</v>
          </cell>
        </row>
        <row r="660">
          <cell r="A660" t="str">
            <v>ID005100</v>
          </cell>
          <cell r="B660">
            <v>5810003922</v>
          </cell>
          <cell r="C660" t="str">
            <v>W46994</v>
          </cell>
          <cell r="D660">
            <v>5101</v>
          </cell>
          <cell r="E660">
            <v>9011</v>
          </cell>
          <cell r="F660">
            <v>38400</v>
          </cell>
          <cell r="G660" t="str">
            <v>IDR</v>
          </cell>
          <cell r="H660">
            <v>297000</v>
          </cell>
          <cell r="I660">
            <v>297000</v>
          </cell>
          <cell r="J660">
            <v>0</v>
          </cell>
        </row>
        <row r="661">
          <cell r="A661" t="str">
            <v>ID005100</v>
          </cell>
          <cell r="B661">
            <v>5810003922</v>
          </cell>
          <cell r="C661" t="str">
            <v>W46994</v>
          </cell>
          <cell r="D661">
            <v>5101</v>
          </cell>
          <cell r="E661">
            <v>9011</v>
          </cell>
          <cell r="F661">
            <v>38400</v>
          </cell>
          <cell r="G661" t="str">
            <v>IDR</v>
          </cell>
          <cell r="H661">
            <v>326000</v>
          </cell>
          <cell r="I661">
            <v>326000</v>
          </cell>
          <cell r="J661">
            <v>0</v>
          </cell>
        </row>
        <row r="662">
          <cell r="A662" t="str">
            <v>ID005100</v>
          </cell>
          <cell r="B662">
            <v>5810003928</v>
          </cell>
          <cell r="C662" t="str">
            <v>W50148</v>
          </cell>
          <cell r="D662">
            <v>5101</v>
          </cell>
          <cell r="E662">
            <v>9011</v>
          </cell>
          <cell r="F662">
            <v>38401</v>
          </cell>
          <cell r="G662" t="str">
            <v>IDR</v>
          </cell>
          <cell r="H662">
            <v>9000</v>
          </cell>
          <cell r="I662">
            <v>9000</v>
          </cell>
          <cell r="J662">
            <v>0</v>
          </cell>
        </row>
        <row r="663">
          <cell r="A663" t="str">
            <v>ID005100</v>
          </cell>
          <cell r="B663">
            <v>5810003928</v>
          </cell>
          <cell r="C663" t="str">
            <v>W50148</v>
          </cell>
          <cell r="D663">
            <v>5101</v>
          </cell>
          <cell r="E663">
            <v>9011</v>
          </cell>
          <cell r="F663">
            <v>38401</v>
          </cell>
          <cell r="G663" t="str">
            <v>IDR</v>
          </cell>
          <cell r="H663">
            <v>1346976</v>
          </cell>
          <cell r="I663">
            <v>1346976</v>
          </cell>
          <cell r="J663">
            <v>0</v>
          </cell>
        </row>
        <row r="664">
          <cell r="A664" t="str">
            <v>ID005100</v>
          </cell>
          <cell r="B664">
            <v>5810003953</v>
          </cell>
          <cell r="C664" t="str">
            <v>W50148</v>
          </cell>
          <cell r="D664">
            <v>5101</v>
          </cell>
          <cell r="E664">
            <v>9011</v>
          </cell>
          <cell r="F664">
            <v>38404</v>
          </cell>
          <cell r="G664" t="str">
            <v>IDR</v>
          </cell>
          <cell r="H664">
            <v>108000</v>
          </cell>
          <cell r="I664">
            <v>108000</v>
          </cell>
          <cell r="J664">
            <v>0</v>
          </cell>
        </row>
        <row r="665">
          <cell r="A665" t="str">
            <v>ID005100</v>
          </cell>
          <cell r="B665">
            <v>5810003953</v>
          </cell>
          <cell r="C665" t="str">
            <v>W50148</v>
          </cell>
          <cell r="D665">
            <v>5101</v>
          </cell>
          <cell r="E665">
            <v>9011</v>
          </cell>
          <cell r="F665">
            <v>38404</v>
          </cell>
          <cell r="G665" t="str">
            <v>IDR</v>
          </cell>
          <cell r="H665">
            <v>2073564</v>
          </cell>
          <cell r="I665">
            <v>2073564</v>
          </cell>
          <cell r="J665">
            <v>0</v>
          </cell>
        </row>
        <row r="666">
          <cell r="A666" t="str">
            <v>ID005100</v>
          </cell>
          <cell r="B666">
            <v>5810004402</v>
          </cell>
          <cell r="C666" t="str">
            <v>W53903</v>
          </cell>
          <cell r="D666">
            <v>5101</v>
          </cell>
          <cell r="E666">
            <v>9011</v>
          </cell>
          <cell r="F666">
            <v>38467</v>
          </cell>
          <cell r="G666" t="str">
            <v>IDR</v>
          </cell>
          <cell r="H666">
            <v>18000</v>
          </cell>
          <cell r="I666">
            <v>18000</v>
          </cell>
          <cell r="J666">
            <v>0</v>
          </cell>
        </row>
        <row r="667">
          <cell r="A667" t="str">
            <v>ID005100</v>
          </cell>
          <cell r="B667">
            <v>5810004402</v>
          </cell>
          <cell r="C667" t="str">
            <v>W53903</v>
          </cell>
          <cell r="D667">
            <v>5101</v>
          </cell>
          <cell r="E667">
            <v>9011</v>
          </cell>
          <cell r="F667">
            <v>38467</v>
          </cell>
          <cell r="G667" t="str">
            <v>IDR</v>
          </cell>
          <cell r="H667">
            <v>443564</v>
          </cell>
          <cell r="I667">
            <v>443564</v>
          </cell>
          <cell r="J667">
            <v>0</v>
          </cell>
        </row>
        <row r="668">
          <cell r="A668" t="str">
            <v>ID005100</v>
          </cell>
          <cell r="B668">
            <v>5810004530</v>
          </cell>
          <cell r="C668" t="str">
            <v>P55827</v>
          </cell>
          <cell r="D668">
            <v>5101</v>
          </cell>
          <cell r="E668">
            <v>9011</v>
          </cell>
          <cell r="F668">
            <v>38495</v>
          </cell>
          <cell r="G668" t="str">
            <v>IDR</v>
          </cell>
          <cell r="H668">
            <v>1060477</v>
          </cell>
          <cell r="I668">
            <v>1060477</v>
          </cell>
          <cell r="J668">
            <v>0</v>
          </cell>
        </row>
        <row r="669">
          <cell r="I669">
            <v>11487429</v>
          </cell>
        </row>
        <row r="670">
          <cell r="A670" t="str">
            <v>ID105400</v>
          </cell>
          <cell r="B670">
            <v>1810031563</v>
          </cell>
          <cell r="C670" t="str">
            <v>W62582</v>
          </cell>
          <cell r="D670">
            <v>5400</v>
          </cell>
          <cell r="E670">
            <v>9012</v>
          </cell>
          <cell r="F670">
            <v>38602</v>
          </cell>
          <cell r="G670" t="str">
            <v>IDR</v>
          </cell>
          <cell r="H670">
            <v>1507979</v>
          </cell>
          <cell r="I670">
            <v>1507979</v>
          </cell>
          <cell r="J670">
            <v>0</v>
          </cell>
        </row>
        <row r="671">
          <cell r="A671" t="str">
            <v>ID105400</v>
          </cell>
          <cell r="B671">
            <v>1810031884</v>
          </cell>
          <cell r="C671" t="str">
            <v>W62582</v>
          </cell>
          <cell r="D671">
            <v>5400</v>
          </cell>
          <cell r="E671">
            <v>9012</v>
          </cell>
          <cell r="F671">
            <v>38626</v>
          </cell>
          <cell r="G671" t="str">
            <v>IDR</v>
          </cell>
          <cell r="H671">
            <v>-1507979</v>
          </cell>
          <cell r="I671">
            <v>-1507979</v>
          </cell>
          <cell r="J671">
            <v>0</v>
          </cell>
        </row>
        <row r="672">
          <cell r="A672" t="str">
            <v>ID005400</v>
          </cell>
          <cell r="B672">
            <v>1810030121</v>
          </cell>
          <cell r="C672" t="str">
            <v>W39088</v>
          </cell>
          <cell r="D672">
            <v>5401</v>
          </cell>
          <cell r="E672">
            <v>9011</v>
          </cell>
          <cell r="F672">
            <v>38356</v>
          </cell>
          <cell r="G672" t="str">
            <v>IDR</v>
          </cell>
          <cell r="H672">
            <v>-15549668</v>
          </cell>
          <cell r="I672">
            <v>-15549668</v>
          </cell>
          <cell r="J672">
            <v>0</v>
          </cell>
        </row>
        <row r="673">
          <cell r="A673" t="str">
            <v>ID005400</v>
          </cell>
          <cell r="B673">
            <v>1810030121</v>
          </cell>
          <cell r="C673" t="str">
            <v>W39088</v>
          </cell>
          <cell r="D673">
            <v>5401</v>
          </cell>
          <cell r="E673">
            <v>9011</v>
          </cell>
          <cell r="F673">
            <v>38356</v>
          </cell>
          <cell r="G673" t="str">
            <v>IDR</v>
          </cell>
          <cell r="H673">
            <v>-173670640</v>
          </cell>
          <cell r="I673">
            <v>-173670640</v>
          </cell>
          <cell r="J673">
            <v>0</v>
          </cell>
        </row>
        <row r="674">
          <cell r="A674" t="str">
            <v>IID005400</v>
          </cell>
          <cell r="B674">
            <v>1810031479</v>
          </cell>
          <cell r="C674" t="str">
            <v>W61080</v>
          </cell>
          <cell r="D674">
            <v>5401</v>
          </cell>
          <cell r="E674">
            <v>9011</v>
          </cell>
          <cell r="F674">
            <v>38579</v>
          </cell>
          <cell r="G674" t="str">
            <v>IDR</v>
          </cell>
          <cell r="H674">
            <v>1969795</v>
          </cell>
          <cell r="I674">
            <v>1969795</v>
          </cell>
          <cell r="J674">
            <v>0</v>
          </cell>
        </row>
        <row r="675">
          <cell r="A675" t="str">
            <v>ID005400</v>
          </cell>
          <cell r="B675">
            <v>5810003542</v>
          </cell>
          <cell r="C675" t="str">
            <v>W47072</v>
          </cell>
          <cell r="D675">
            <v>5401</v>
          </cell>
          <cell r="E675">
            <v>9011</v>
          </cell>
          <cell r="F675">
            <v>38356</v>
          </cell>
          <cell r="G675" t="str">
            <v>IDR</v>
          </cell>
          <cell r="H675">
            <v>630000</v>
          </cell>
          <cell r="I675">
            <v>630000</v>
          </cell>
          <cell r="J675">
            <v>0</v>
          </cell>
        </row>
        <row r="676">
          <cell r="A676" t="str">
            <v>ID005400</v>
          </cell>
          <cell r="B676">
            <v>5810003544</v>
          </cell>
          <cell r="C676" t="str">
            <v>W44460</v>
          </cell>
          <cell r="D676">
            <v>5401</v>
          </cell>
          <cell r="E676">
            <v>9011</v>
          </cell>
          <cell r="F676">
            <v>38356</v>
          </cell>
          <cell r="G676" t="str">
            <v>IDR</v>
          </cell>
          <cell r="H676">
            <v>937214</v>
          </cell>
          <cell r="I676">
            <v>937214</v>
          </cell>
          <cell r="J676">
            <v>0</v>
          </cell>
        </row>
        <row r="677">
          <cell r="A677" t="str">
            <v>ID005400</v>
          </cell>
          <cell r="B677">
            <v>5810003544</v>
          </cell>
          <cell r="C677" t="str">
            <v>W44460</v>
          </cell>
          <cell r="D677">
            <v>5401</v>
          </cell>
          <cell r="E677">
            <v>9011</v>
          </cell>
          <cell r="F677">
            <v>38356</v>
          </cell>
          <cell r="G677" t="str">
            <v>IDR</v>
          </cell>
          <cell r="H677">
            <v>87425</v>
          </cell>
          <cell r="I677">
            <v>87425</v>
          </cell>
          <cell r="J677">
            <v>0</v>
          </cell>
        </row>
        <row r="678">
          <cell r="A678" t="str">
            <v>ID005400</v>
          </cell>
          <cell r="B678">
            <v>5810003549</v>
          </cell>
          <cell r="C678" t="str">
            <v>W39088</v>
          </cell>
          <cell r="D678">
            <v>5401</v>
          </cell>
          <cell r="E678">
            <v>9011</v>
          </cell>
          <cell r="F678">
            <v>38356</v>
          </cell>
          <cell r="G678" t="str">
            <v>IDR</v>
          </cell>
          <cell r="H678">
            <v>82711</v>
          </cell>
          <cell r="I678">
            <v>82711</v>
          </cell>
          <cell r="J678">
            <v>0</v>
          </cell>
        </row>
        <row r="679">
          <cell r="A679" t="str">
            <v>ID005400</v>
          </cell>
          <cell r="B679">
            <v>5810003549</v>
          </cell>
          <cell r="C679" t="str">
            <v>W39088</v>
          </cell>
          <cell r="D679">
            <v>5401</v>
          </cell>
          <cell r="E679">
            <v>9011</v>
          </cell>
          <cell r="F679">
            <v>38356</v>
          </cell>
          <cell r="G679" t="str">
            <v>IDR</v>
          </cell>
          <cell r="H679">
            <v>923780</v>
          </cell>
          <cell r="I679">
            <v>923780</v>
          </cell>
          <cell r="J679">
            <v>0</v>
          </cell>
        </row>
        <row r="680">
          <cell r="A680" t="str">
            <v>ID005400</v>
          </cell>
          <cell r="B680">
            <v>5810003550</v>
          </cell>
          <cell r="C680" t="str">
            <v>W39088</v>
          </cell>
          <cell r="D680">
            <v>5401</v>
          </cell>
          <cell r="E680">
            <v>9011</v>
          </cell>
          <cell r="F680">
            <v>38356</v>
          </cell>
          <cell r="G680" t="str">
            <v>IDR</v>
          </cell>
          <cell r="H680">
            <v>82711</v>
          </cell>
          <cell r="I680">
            <v>82711</v>
          </cell>
          <cell r="J680">
            <v>0</v>
          </cell>
        </row>
        <row r="681">
          <cell r="A681" t="str">
            <v>ID005400</v>
          </cell>
          <cell r="B681">
            <v>5810003550</v>
          </cell>
          <cell r="C681" t="str">
            <v>W39088</v>
          </cell>
          <cell r="D681">
            <v>5401</v>
          </cell>
          <cell r="E681">
            <v>9011</v>
          </cell>
          <cell r="F681">
            <v>38356</v>
          </cell>
          <cell r="G681" t="str">
            <v>IDR</v>
          </cell>
          <cell r="H681">
            <v>923780</v>
          </cell>
          <cell r="I681">
            <v>923780</v>
          </cell>
          <cell r="J681">
            <v>0</v>
          </cell>
        </row>
        <row r="682">
          <cell r="A682" t="str">
            <v>ID005400</v>
          </cell>
          <cell r="B682">
            <v>5810003551</v>
          </cell>
          <cell r="C682" t="str">
            <v>W39088</v>
          </cell>
          <cell r="D682">
            <v>5401</v>
          </cell>
          <cell r="E682">
            <v>9011</v>
          </cell>
          <cell r="F682">
            <v>38356</v>
          </cell>
          <cell r="G682" t="str">
            <v>IDR</v>
          </cell>
          <cell r="H682">
            <v>82711</v>
          </cell>
          <cell r="I682">
            <v>82711</v>
          </cell>
          <cell r="J682">
            <v>0</v>
          </cell>
        </row>
        <row r="683">
          <cell r="A683" t="str">
            <v>ID005400</v>
          </cell>
          <cell r="B683">
            <v>5810003551</v>
          </cell>
          <cell r="C683" t="str">
            <v>W39088</v>
          </cell>
          <cell r="D683">
            <v>5401</v>
          </cell>
          <cell r="E683">
            <v>9011</v>
          </cell>
          <cell r="F683">
            <v>38356</v>
          </cell>
          <cell r="G683" t="str">
            <v>IDR</v>
          </cell>
          <cell r="H683">
            <v>923780</v>
          </cell>
          <cell r="I683">
            <v>923780</v>
          </cell>
          <cell r="J683">
            <v>0</v>
          </cell>
        </row>
        <row r="684">
          <cell r="A684" t="str">
            <v>ID005400</v>
          </cell>
          <cell r="B684">
            <v>5810003552</v>
          </cell>
          <cell r="C684" t="str">
            <v>W39088</v>
          </cell>
          <cell r="D684">
            <v>5401</v>
          </cell>
          <cell r="E684">
            <v>9011</v>
          </cell>
          <cell r="F684">
            <v>38356</v>
          </cell>
          <cell r="G684" t="str">
            <v>IDR</v>
          </cell>
          <cell r="H684">
            <v>82711</v>
          </cell>
          <cell r="I684">
            <v>82711</v>
          </cell>
          <cell r="J684">
            <v>0</v>
          </cell>
        </row>
        <row r="685">
          <cell r="A685" t="str">
            <v>ID005400</v>
          </cell>
          <cell r="B685">
            <v>5810003552</v>
          </cell>
          <cell r="C685" t="str">
            <v>W39088</v>
          </cell>
          <cell r="D685">
            <v>5401</v>
          </cell>
          <cell r="E685">
            <v>9011</v>
          </cell>
          <cell r="F685">
            <v>38356</v>
          </cell>
          <cell r="G685" t="str">
            <v>IDR</v>
          </cell>
          <cell r="H685">
            <v>923780</v>
          </cell>
          <cell r="I685">
            <v>923780</v>
          </cell>
          <cell r="J685">
            <v>0</v>
          </cell>
        </row>
        <row r="686">
          <cell r="A686" t="str">
            <v>ID005400</v>
          </cell>
          <cell r="B686">
            <v>5810003553</v>
          </cell>
          <cell r="C686" t="str">
            <v>W39088</v>
          </cell>
          <cell r="D686">
            <v>5401</v>
          </cell>
          <cell r="E686">
            <v>9011</v>
          </cell>
          <cell r="F686">
            <v>38356</v>
          </cell>
          <cell r="G686" t="str">
            <v>IDR</v>
          </cell>
          <cell r="H686">
            <v>82711</v>
          </cell>
          <cell r="I686">
            <v>82711</v>
          </cell>
          <cell r="J686">
            <v>0</v>
          </cell>
        </row>
        <row r="687">
          <cell r="A687" t="str">
            <v>ID005400</v>
          </cell>
          <cell r="B687">
            <v>5810003553</v>
          </cell>
          <cell r="C687" t="str">
            <v>W39088</v>
          </cell>
          <cell r="D687">
            <v>5401</v>
          </cell>
          <cell r="E687">
            <v>9011</v>
          </cell>
          <cell r="F687">
            <v>38356</v>
          </cell>
          <cell r="G687" t="str">
            <v>IDR</v>
          </cell>
          <cell r="H687">
            <v>923780</v>
          </cell>
          <cell r="I687">
            <v>923780</v>
          </cell>
          <cell r="J687">
            <v>0</v>
          </cell>
        </row>
        <row r="688">
          <cell r="A688" t="str">
            <v>ID005400</v>
          </cell>
          <cell r="B688">
            <v>5810003554</v>
          </cell>
          <cell r="C688" t="str">
            <v>W39088</v>
          </cell>
          <cell r="D688">
            <v>5401</v>
          </cell>
          <cell r="E688">
            <v>9011</v>
          </cell>
          <cell r="F688">
            <v>38356</v>
          </cell>
          <cell r="G688" t="str">
            <v>IDR</v>
          </cell>
          <cell r="H688">
            <v>82711</v>
          </cell>
          <cell r="I688">
            <v>82711</v>
          </cell>
          <cell r="J688">
            <v>0</v>
          </cell>
        </row>
        <row r="689">
          <cell r="A689" t="str">
            <v>ID005400</v>
          </cell>
          <cell r="B689">
            <v>5810003554</v>
          </cell>
          <cell r="C689" t="str">
            <v>W39088</v>
          </cell>
          <cell r="D689">
            <v>5401</v>
          </cell>
          <cell r="E689">
            <v>9011</v>
          </cell>
          <cell r="F689">
            <v>38356</v>
          </cell>
          <cell r="G689" t="str">
            <v>IDR</v>
          </cell>
          <cell r="H689">
            <v>923780</v>
          </cell>
          <cell r="I689">
            <v>923780</v>
          </cell>
          <cell r="J689">
            <v>0</v>
          </cell>
        </row>
        <row r="690">
          <cell r="A690" t="str">
            <v>ID005400</v>
          </cell>
          <cell r="B690">
            <v>5810003555</v>
          </cell>
          <cell r="C690" t="str">
            <v>W39088</v>
          </cell>
          <cell r="D690">
            <v>5401</v>
          </cell>
          <cell r="E690">
            <v>9011</v>
          </cell>
          <cell r="F690">
            <v>38356</v>
          </cell>
          <cell r="G690" t="str">
            <v>IDR</v>
          </cell>
          <cell r="H690">
            <v>82711</v>
          </cell>
          <cell r="I690">
            <v>82711</v>
          </cell>
          <cell r="J690">
            <v>0</v>
          </cell>
        </row>
        <row r="691">
          <cell r="A691" t="str">
            <v>ID005400</v>
          </cell>
          <cell r="B691">
            <v>5810003555</v>
          </cell>
          <cell r="C691" t="str">
            <v>W39088</v>
          </cell>
          <cell r="D691">
            <v>5401</v>
          </cell>
          <cell r="E691">
            <v>9011</v>
          </cell>
          <cell r="F691">
            <v>38356</v>
          </cell>
          <cell r="G691" t="str">
            <v>IDR</v>
          </cell>
          <cell r="H691">
            <v>923780</v>
          </cell>
          <cell r="I691">
            <v>923780</v>
          </cell>
          <cell r="J691">
            <v>0</v>
          </cell>
        </row>
        <row r="692">
          <cell r="A692" t="str">
            <v>ID005400</v>
          </cell>
          <cell r="B692">
            <v>5810003556</v>
          </cell>
          <cell r="C692" t="str">
            <v>W39088</v>
          </cell>
          <cell r="D692">
            <v>5401</v>
          </cell>
          <cell r="E692">
            <v>9011</v>
          </cell>
          <cell r="F692">
            <v>38356</v>
          </cell>
          <cell r="G692" t="str">
            <v>IDR</v>
          </cell>
          <cell r="H692">
            <v>82711</v>
          </cell>
          <cell r="I692">
            <v>82711</v>
          </cell>
          <cell r="J692">
            <v>0</v>
          </cell>
        </row>
        <row r="693">
          <cell r="A693" t="str">
            <v>ID005400</v>
          </cell>
          <cell r="B693">
            <v>5810003556</v>
          </cell>
          <cell r="C693" t="str">
            <v>W39088</v>
          </cell>
          <cell r="D693">
            <v>5401</v>
          </cell>
          <cell r="E693">
            <v>9011</v>
          </cell>
          <cell r="F693">
            <v>38356</v>
          </cell>
          <cell r="G693" t="str">
            <v>IDR</v>
          </cell>
          <cell r="H693">
            <v>923780</v>
          </cell>
          <cell r="I693">
            <v>923780</v>
          </cell>
          <cell r="J693">
            <v>0</v>
          </cell>
        </row>
        <row r="694">
          <cell r="A694" t="str">
            <v>ID005400</v>
          </cell>
          <cell r="B694">
            <v>5810003557</v>
          </cell>
          <cell r="C694" t="str">
            <v>W39088</v>
          </cell>
          <cell r="D694">
            <v>5401</v>
          </cell>
          <cell r="E694">
            <v>9011</v>
          </cell>
          <cell r="F694">
            <v>38356</v>
          </cell>
          <cell r="G694" t="str">
            <v>IDR</v>
          </cell>
          <cell r="H694">
            <v>82711</v>
          </cell>
          <cell r="I694">
            <v>82711</v>
          </cell>
          <cell r="J694">
            <v>0</v>
          </cell>
        </row>
        <row r="695">
          <cell r="A695" t="str">
            <v>ID005400</v>
          </cell>
          <cell r="B695">
            <v>5810003557</v>
          </cell>
          <cell r="C695" t="str">
            <v>W39088</v>
          </cell>
          <cell r="D695">
            <v>5401</v>
          </cell>
          <cell r="E695">
            <v>9011</v>
          </cell>
          <cell r="F695">
            <v>38356</v>
          </cell>
          <cell r="G695" t="str">
            <v>IDR</v>
          </cell>
          <cell r="H695">
            <v>923780</v>
          </cell>
          <cell r="I695">
            <v>923780</v>
          </cell>
          <cell r="J695">
            <v>0</v>
          </cell>
        </row>
        <row r="696">
          <cell r="A696" t="str">
            <v>ID005400</v>
          </cell>
          <cell r="B696">
            <v>5810003558</v>
          </cell>
          <cell r="C696" t="str">
            <v>W39088</v>
          </cell>
          <cell r="D696">
            <v>5401</v>
          </cell>
          <cell r="E696">
            <v>9011</v>
          </cell>
          <cell r="F696">
            <v>38356</v>
          </cell>
          <cell r="G696" t="str">
            <v>IDR</v>
          </cell>
          <cell r="H696">
            <v>82711</v>
          </cell>
          <cell r="I696">
            <v>82711</v>
          </cell>
          <cell r="J696">
            <v>0</v>
          </cell>
        </row>
        <row r="697">
          <cell r="A697" t="str">
            <v>ID005400</v>
          </cell>
          <cell r="B697">
            <v>5810003558</v>
          </cell>
          <cell r="C697" t="str">
            <v>W39088</v>
          </cell>
          <cell r="D697">
            <v>5401</v>
          </cell>
          <cell r="E697">
            <v>9011</v>
          </cell>
          <cell r="F697">
            <v>38356</v>
          </cell>
          <cell r="G697" t="str">
            <v>IDR</v>
          </cell>
          <cell r="H697">
            <v>923780</v>
          </cell>
          <cell r="I697">
            <v>923780</v>
          </cell>
          <cell r="J697">
            <v>0</v>
          </cell>
        </row>
        <row r="698">
          <cell r="A698" t="str">
            <v>ID005400</v>
          </cell>
          <cell r="B698">
            <v>5810003559</v>
          </cell>
          <cell r="C698" t="str">
            <v>W39088</v>
          </cell>
          <cell r="D698">
            <v>5401</v>
          </cell>
          <cell r="E698">
            <v>9011</v>
          </cell>
          <cell r="F698">
            <v>38356</v>
          </cell>
          <cell r="G698" t="str">
            <v>IDR</v>
          </cell>
          <cell r="H698">
            <v>82711</v>
          </cell>
          <cell r="I698">
            <v>82711</v>
          </cell>
          <cell r="J698">
            <v>0</v>
          </cell>
        </row>
        <row r="699">
          <cell r="A699" t="str">
            <v>ID005400</v>
          </cell>
          <cell r="B699">
            <v>5810003559</v>
          </cell>
          <cell r="C699" t="str">
            <v>W39088</v>
          </cell>
          <cell r="D699">
            <v>5401</v>
          </cell>
          <cell r="E699">
            <v>9011</v>
          </cell>
          <cell r="F699">
            <v>38356</v>
          </cell>
          <cell r="G699" t="str">
            <v>IDR</v>
          </cell>
          <cell r="H699">
            <v>923780</v>
          </cell>
          <cell r="I699">
            <v>923780</v>
          </cell>
          <cell r="J699">
            <v>0</v>
          </cell>
        </row>
        <row r="700">
          <cell r="A700" t="str">
            <v>ID005400</v>
          </cell>
          <cell r="B700">
            <v>5810003560</v>
          </cell>
          <cell r="C700" t="str">
            <v>W39088</v>
          </cell>
          <cell r="D700">
            <v>5401</v>
          </cell>
          <cell r="E700">
            <v>9011</v>
          </cell>
          <cell r="F700">
            <v>38356</v>
          </cell>
          <cell r="G700" t="str">
            <v>IDR</v>
          </cell>
          <cell r="H700">
            <v>82711</v>
          </cell>
          <cell r="I700">
            <v>82711</v>
          </cell>
          <cell r="J700">
            <v>0</v>
          </cell>
        </row>
        <row r="701">
          <cell r="A701" t="str">
            <v>ID005400</v>
          </cell>
          <cell r="B701">
            <v>5810003560</v>
          </cell>
          <cell r="C701" t="str">
            <v>W39088</v>
          </cell>
          <cell r="D701">
            <v>5401</v>
          </cell>
          <cell r="E701">
            <v>9011</v>
          </cell>
          <cell r="F701">
            <v>38356</v>
          </cell>
          <cell r="G701" t="str">
            <v>IDR</v>
          </cell>
          <cell r="H701">
            <v>923780</v>
          </cell>
          <cell r="I701">
            <v>923780</v>
          </cell>
          <cell r="J701">
            <v>0</v>
          </cell>
        </row>
        <row r="702">
          <cell r="A702" t="str">
            <v>ID005400</v>
          </cell>
          <cell r="B702">
            <v>5810003561</v>
          </cell>
          <cell r="C702" t="str">
            <v>W39088</v>
          </cell>
          <cell r="D702">
            <v>5401</v>
          </cell>
          <cell r="E702">
            <v>9011</v>
          </cell>
          <cell r="F702">
            <v>38356</v>
          </cell>
          <cell r="G702" t="str">
            <v>IDR</v>
          </cell>
          <cell r="H702">
            <v>82711</v>
          </cell>
          <cell r="I702">
            <v>82711</v>
          </cell>
          <cell r="J702">
            <v>0</v>
          </cell>
        </row>
        <row r="703">
          <cell r="A703" t="str">
            <v>ID005400</v>
          </cell>
          <cell r="B703">
            <v>5810003561</v>
          </cell>
          <cell r="C703" t="str">
            <v>W39088</v>
          </cell>
          <cell r="D703">
            <v>5401</v>
          </cell>
          <cell r="E703">
            <v>9011</v>
          </cell>
          <cell r="F703">
            <v>38356</v>
          </cell>
          <cell r="G703" t="str">
            <v>IDR</v>
          </cell>
          <cell r="H703">
            <v>923780</v>
          </cell>
          <cell r="I703">
            <v>923780</v>
          </cell>
          <cell r="J703">
            <v>0</v>
          </cell>
        </row>
        <row r="704">
          <cell r="A704" t="str">
            <v>ID005400</v>
          </cell>
          <cell r="B704">
            <v>5810003562</v>
          </cell>
          <cell r="C704" t="str">
            <v>W39088</v>
          </cell>
          <cell r="D704">
            <v>5401</v>
          </cell>
          <cell r="E704">
            <v>9011</v>
          </cell>
          <cell r="F704">
            <v>38356</v>
          </cell>
          <cell r="G704" t="str">
            <v>IDR</v>
          </cell>
          <cell r="H704">
            <v>82711</v>
          </cell>
          <cell r="I704">
            <v>82711</v>
          </cell>
          <cell r="J704">
            <v>0</v>
          </cell>
        </row>
        <row r="705">
          <cell r="A705" t="str">
            <v>ID005400</v>
          </cell>
          <cell r="B705">
            <v>5810003562</v>
          </cell>
          <cell r="C705" t="str">
            <v>W39088</v>
          </cell>
          <cell r="D705">
            <v>5401</v>
          </cell>
          <cell r="E705">
            <v>9011</v>
          </cell>
          <cell r="F705">
            <v>38356</v>
          </cell>
          <cell r="G705" t="str">
            <v>IDR</v>
          </cell>
          <cell r="H705">
            <v>923780</v>
          </cell>
          <cell r="I705">
            <v>923780</v>
          </cell>
          <cell r="J705">
            <v>0</v>
          </cell>
        </row>
        <row r="706">
          <cell r="A706" t="str">
            <v>ID005400</v>
          </cell>
          <cell r="B706">
            <v>5810003563</v>
          </cell>
          <cell r="C706" t="str">
            <v>W39088</v>
          </cell>
          <cell r="D706">
            <v>5401</v>
          </cell>
          <cell r="E706">
            <v>9011</v>
          </cell>
          <cell r="F706">
            <v>38356</v>
          </cell>
          <cell r="G706" t="str">
            <v>IDR</v>
          </cell>
          <cell r="H706">
            <v>82711</v>
          </cell>
          <cell r="I706">
            <v>82711</v>
          </cell>
          <cell r="J706">
            <v>0</v>
          </cell>
        </row>
        <row r="707">
          <cell r="A707" t="str">
            <v>ID005400</v>
          </cell>
          <cell r="B707">
            <v>5810003563</v>
          </cell>
          <cell r="C707" t="str">
            <v>W39088</v>
          </cell>
          <cell r="D707">
            <v>5401</v>
          </cell>
          <cell r="E707">
            <v>9011</v>
          </cell>
          <cell r="F707">
            <v>38356</v>
          </cell>
          <cell r="G707" t="str">
            <v>IDR</v>
          </cell>
          <cell r="H707">
            <v>923780</v>
          </cell>
          <cell r="I707">
            <v>923780</v>
          </cell>
          <cell r="J707">
            <v>0</v>
          </cell>
        </row>
        <row r="708">
          <cell r="A708" t="str">
            <v>ID005400</v>
          </cell>
          <cell r="B708">
            <v>5810003564</v>
          </cell>
          <cell r="C708" t="str">
            <v>W39088</v>
          </cell>
          <cell r="D708">
            <v>5401</v>
          </cell>
          <cell r="E708">
            <v>9011</v>
          </cell>
          <cell r="F708">
            <v>38356</v>
          </cell>
          <cell r="G708" t="str">
            <v>IDR</v>
          </cell>
          <cell r="H708">
            <v>82711</v>
          </cell>
          <cell r="I708">
            <v>82711</v>
          </cell>
          <cell r="J708">
            <v>0</v>
          </cell>
        </row>
        <row r="709">
          <cell r="A709" t="str">
            <v>ID005400</v>
          </cell>
          <cell r="B709">
            <v>5810003564</v>
          </cell>
          <cell r="C709" t="str">
            <v>W39088</v>
          </cell>
          <cell r="D709">
            <v>5401</v>
          </cell>
          <cell r="E709">
            <v>9011</v>
          </cell>
          <cell r="F709">
            <v>38356</v>
          </cell>
          <cell r="G709" t="str">
            <v>IDR</v>
          </cell>
          <cell r="H709">
            <v>923780</v>
          </cell>
          <cell r="I709">
            <v>923780</v>
          </cell>
          <cell r="J709">
            <v>0</v>
          </cell>
        </row>
        <row r="710">
          <cell r="A710" t="str">
            <v>ID005400</v>
          </cell>
          <cell r="B710">
            <v>5810003565</v>
          </cell>
          <cell r="C710" t="str">
            <v>W39088</v>
          </cell>
          <cell r="D710">
            <v>5401</v>
          </cell>
          <cell r="E710">
            <v>9011</v>
          </cell>
          <cell r="F710">
            <v>38356</v>
          </cell>
          <cell r="G710" t="str">
            <v>IDR</v>
          </cell>
          <cell r="H710">
            <v>82711</v>
          </cell>
          <cell r="I710">
            <v>82711</v>
          </cell>
          <cell r="J710">
            <v>0</v>
          </cell>
        </row>
        <row r="711">
          <cell r="A711" t="str">
            <v>ID005400</v>
          </cell>
          <cell r="B711">
            <v>5810003565</v>
          </cell>
          <cell r="C711" t="str">
            <v>W39088</v>
          </cell>
          <cell r="D711">
            <v>5401</v>
          </cell>
          <cell r="E711">
            <v>9011</v>
          </cell>
          <cell r="F711">
            <v>38356</v>
          </cell>
          <cell r="G711" t="str">
            <v>IDR</v>
          </cell>
          <cell r="H711">
            <v>923780</v>
          </cell>
          <cell r="I711">
            <v>923780</v>
          </cell>
          <cell r="J711">
            <v>0</v>
          </cell>
        </row>
        <row r="712">
          <cell r="A712" t="str">
            <v>ID005400</v>
          </cell>
          <cell r="B712">
            <v>5810003566</v>
          </cell>
          <cell r="C712" t="str">
            <v>W39088</v>
          </cell>
          <cell r="D712">
            <v>5401</v>
          </cell>
          <cell r="E712">
            <v>9011</v>
          </cell>
          <cell r="F712">
            <v>38356</v>
          </cell>
          <cell r="G712" t="str">
            <v>IDR</v>
          </cell>
          <cell r="H712">
            <v>82711</v>
          </cell>
          <cell r="I712">
            <v>82711</v>
          </cell>
          <cell r="J712">
            <v>0</v>
          </cell>
        </row>
        <row r="713">
          <cell r="A713" t="str">
            <v>ID005400</v>
          </cell>
          <cell r="B713">
            <v>5810003566</v>
          </cell>
          <cell r="C713" t="str">
            <v>W39088</v>
          </cell>
          <cell r="D713">
            <v>5401</v>
          </cell>
          <cell r="E713">
            <v>9011</v>
          </cell>
          <cell r="F713">
            <v>38356</v>
          </cell>
          <cell r="G713" t="str">
            <v>IDR</v>
          </cell>
          <cell r="H713">
            <v>923780</v>
          </cell>
          <cell r="I713">
            <v>923780</v>
          </cell>
          <cell r="J713">
            <v>0</v>
          </cell>
        </row>
        <row r="714">
          <cell r="A714" t="str">
            <v>ID005400</v>
          </cell>
          <cell r="B714">
            <v>5810003567</v>
          </cell>
          <cell r="C714" t="str">
            <v>W39088</v>
          </cell>
          <cell r="D714">
            <v>5401</v>
          </cell>
          <cell r="E714">
            <v>9011</v>
          </cell>
          <cell r="F714">
            <v>38356</v>
          </cell>
          <cell r="G714" t="str">
            <v>IDR</v>
          </cell>
          <cell r="H714">
            <v>82711</v>
          </cell>
          <cell r="I714">
            <v>82711</v>
          </cell>
          <cell r="J714">
            <v>0</v>
          </cell>
        </row>
        <row r="715">
          <cell r="A715" t="str">
            <v>ID005400</v>
          </cell>
          <cell r="B715">
            <v>5810003567</v>
          </cell>
          <cell r="C715" t="str">
            <v>W39088</v>
          </cell>
          <cell r="D715">
            <v>5401</v>
          </cell>
          <cell r="E715">
            <v>9011</v>
          </cell>
          <cell r="F715">
            <v>38356</v>
          </cell>
          <cell r="G715" t="str">
            <v>IDR</v>
          </cell>
          <cell r="H715">
            <v>923780</v>
          </cell>
          <cell r="I715">
            <v>923780</v>
          </cell>
          <cell r="J715">
            <v>0</v>
          </cell>
        </row>
        <row r="716">
          <cell r="A716" t="str">
            <v>ID005400</v>
          </cell>
          <cell r="B716">
            <v>5810003568</v>
          </cell>
          <cell r="C716" t="str">
            <v>W39088</v>
          </cell>
          <cell r="D716">
            <v>5401</v>
          </cell>
          <cell r="E716">
            <v>9011</v>
          </cell>
          <cell r="F716">
            <v>38356</v>
          </cell>
          <cell r="G716" t="str">
            <v>IDR</v>
          </cell>
          <cell r="H716">
            <v>82711</v>
          </cell>
          <cell r="I716">
            <v>82711</v>
          </cell>
          <cell r="J716">
            <v>0</v>
          </cell>
        </row>
        <row r="717">
          <cell r="A717" t="str">
            <v>ID005400</v>
          </cell>
          <cell r="B717">
            <v>5810003568</v>
          </cell>
          <cell r="C717" t="str">
            <v>W39088</v>
          </cell>
          <cell r="D717">
            <v>5401</v>
          </cell>
          <cell r="E717">
            <v>9011</v>
          </cell>
          <cell r="F717">
            <v>38356</v>
          </cell>
          <cell r="G717" t="str">
            <v>IDR</v>
          </cell>
          <cell r="H717">
            <v>923780</v>
          </cell>
          <cell r="I717">
            <v>923780</v>
          </cell>
          <cell r="J717">
            <v>0</v>
          </cell>
        </row>
        <row r="718">
          <cell r="A718" t="str">
            <v>ID005400</v>
          </cell>
          <cell r="B718">
            <v>5810003569</v>
          </cell>
          <cell r="C718" t="str">
            <v>W39088</v>
          </cell>
          <cell r="D718">
            <v>5401</v>
          </cell>
          <cell r="E718">
            <v>9011</v>
          </cell>
          <cell r="F718">
            <v>38356</v>
          </cell>
          <cell r="G718" t="str">
            <v>IDR</v>
          </cell>
          <cell r="H718">
            <v>82711</v>
          </cell>
          <cell r="I718">
            <v>82711</v>
          </cell>
          <cell r="J718">
            <v>0</v>
          </cell>
        </row>
        <row r="719">
          <cell r="A719" t="str">
            <v>ID005400</v>
          </cell>
          <cell r="B719">
            <v>5810003569</v>
          </cell>
          <cell r="C719" t="str">
            <v>W39088</v>
          </cell>
          <cell r="D719">
            <v>5401</v>
          </cell>
          <cell r="E719">
            <v>9011</v>
          </cell>
          <cell r="F719">
            <v>38356</v>
          </cell>
          <cell r="G719" t="str">
            <v>IDR</v>
          </cell>
          <cell r="H719">
            <v>923780</v>
          </cell>
          <cell r="I719">
            <v>923780</v>
          </cell>
          <cell r="J719">
            <v>0</v>
          </cell>
        </row>
        <row r="720">
          <cell r="A720" t="str">
            <v>ID005400</v>
          </cell>
          <cell r="B720">
            <v>5810003570</v>
          </cell>
          <cell r="C720" t="str">
            <v>W39088</v>
          </cell>
          <cell r="D720">
            <v>5401</v>
          </cell>
          <cell r="E720">
            <v>9011</v>
          </cell>
          <cell r="F720">
            <v>38356</v>
          </cell>
          <cell r="G720" t="str">
            <v>IDR</v>
          </cell>
          <cell r="H720">
            <v>82711</v>
          </cell>
          <cell r="I720">
            <v>82711</v>
          </cell>
          <cell r="J720">
            <v>0</v>
          </cell>
        </row>
        <row r="721">
          <cell r="A721" t="str">
            <v>ID005400</v>
          </cell>
          <cell r="B721">
            <v>5810003570</v>
          </cell>
          <cell r="C721" t="str">
            <v>W39088</v>
          </cell>
          <cell r="D721">
            <v>5401</v>
          </cell>
          <cell r="E721">
            <v>9011</v>
          </cell>
          <cell r="F721">
            <v>38356</v>
          </cell>
          <cell r="G721" t="str">
            <v>IDR</v>
          </cell>
          <cell r="H721">
            <v>923780</v>
          </cell>
          <cell r="I721">
            <v>923780</v>
          </cell>
          <cell r="J721">
            <v>0</v>
          </cell>
        </row>
        <row r="722">
          <cell r="A722" t="str">
            <v>ID005400</v>
          </cell>
          <cell r="B722">
            <v>5810003571</v>
          </cell>
          <cell r="C722" t="str">
            <v>W39088</v>
          </cell>
          <cell r="D722">
            <v>5401</v>
          </cell>
          <cell r="E722">
            <v>9011</v>
          </cell>
          <cell r="F722">
            <v>38356</v>
          </cell>
          <cell r="G722" t="str">
            <v>IDR</v>
          </cell>
          <cell r="H722">
            <v>82711</v>
          </cell>
          <cell r="I722">
            <v>82711</v>
          </cell>
          <cell r="J722">
            <v>0</v>
          </cell>
        </row>
        <row r="723">
          <cell r="A723" t="str">
            <v>ID005400</v>
          </cell>
          <cell r="B723">
            <v>5810003571</v>
          </cell>
          <cell r="C723" t="str">
            <v>W39088</v>
          </cell>
          <cell r="D723">
            <v>5401</v>
          </cell>
          <cell r="E723">
            <v>9011</v>
          </cell>
          <cell r="F723">
            <v>38356</v>
          </cell>
          <cell r="G723" t="str">
            <v>IDR</v>
          </cell>
          <cell r="H723">
            <v>923780</v>
          </cell>
          <cell r="I723">
            <v>923780</v>
          </cell>
          <cell r="J723">
            <v>0</v>
          </cell>
        </row>
        <row r="724">
          <cell r="A724" t="str">
            <v>ID005400</v>
          </cell>
          <cell r="B724">
            <v>5810003572</v>
          </cell>
          <cell r="C724" t="str">
            <v>W39088</v>
          </cell>
          <cell r="D724">
            <v>5401</v>
          </cell>
          <cell r="E724">
            <v>9011</v>
          </cell>
          <cell r="F724">
            <v>38356</v>
          </cell>
          <cell r="G724" t="str">
            <v>IDR</v>
          </cell>
          <cell r="H724">
            <v>82711</v>
          </cell>
          <cell r="I724">
            <v>82711</v>
          </cell>
          <cell r="J724">
            <v>0</v>
          </cell>
        </row>
        <row r="725">
          <cell r="A725" t="str">
            <v>ID005400</v>
          </cell>
          <cell r="B725">
            <v>5810003572</v>
          </cell>
          <cell r="C725" t="str">
            <v>W39088</v>
          </cell>
          <cell r="D725">
            <v>5401</v>
          </cell>
          <cell r="E725">
            <v>9011</v>
          </cell>
          <cell r="F725">
            <v>38356</v>
          </cell>
          <cell r="G725" t="str">
            <v>IDR</v>
          </cell>
          <cell r="H725">
            <v>923780</v>
          </cell>
          <cell r="I725">
            <v>923780</v>
          </cell>
          <cell r="J725">
            <v>0</v>
          </cell>
        </row>
        <row r="726">
          <cell r="A726" t="str">
            <v>ID005400</v>
          </cell>
          <cell r="B726">
            <v>5810003573</v>
          </cell>
          <cell r="C726" t="str">
            <v>W39088</v>
          </cell>
          <cell r="D726">
            <v>5401</v>
          </cell>
          <cell r="E726">
            <v>9011</v>
          </cell>
          <cell r="F726">
            <v>38356</v>
          </cell>
          <cell r="G726" t="str">
            <v>IDR</v>
          </cell>
          <cell r="H726">
            <v>82711</v>
          </cell>
          <cell r="I726">
            <v>82711</v>
          </cell>
          <cell r="J726">
            <v>0</v>
          </cell>
        </row>
        <row r="727">
          <cell r="A727" t="str">
            <v>ID005400</v>
          </cell>
          <cell r="B727">
            <v>5810003573</v>
          </cell>
          <cell r="C727" t="str">
            <v>W39088</v>
          </cell>
          <cell r="D727">
            <v>5401</v>
          </cell>
          <cell r="E727">
            <v>9011</v>
          </cell>
          <cell r="F727">
            <v>38356</v>
          </cell>
          <cell r="G727" t="str">
            <v>IDR</v>
          </cell>
          <cell r="H727">
            <v>923780</v>
          </cell>
          <cell r="I727">
            <v>923780</v>
          </cell>
          <cell r="J727">
            <v>0</v>
          </cell>
        </row>
        <row r="728">
          <cell r="A728" t="str">
            <v>ID005400</v>
          </cell>
          <cell r="B728">
            <v>5810003574</v>
          </cell>
          <cell r="C728" t="str">
            <v>W39088</v>
          </cell>
          <cell r="D728">
            <v>5401</v>
          </cell>
          <cell r="E728">
            <v>9011</v>
          </cell>
          <cell r="F728">
            <v>38356</v>
          </cell>
          <cell r="G728" t="str">
            <v>IDR</v>
          </cell>
          <cell r="H728">
            <v>82711</v>
          </cell>
          <cell r="I728">
            <v>82711</v>
          </cell>
          <cell r="J728">
            <v>0</v>
          </cell>
        </row>
        <row r="729">
          <cell r="A729" t="str">
            <v>ID005400</v>
          </cell>
          <cell r="B729">
            <v>5810003574</v>
          </cell>
          <cell r="C729" t="str">
            <v>W39088</v>
          </cell>
          <cell r="D729">
            <v>5401</v>
          </cell>
          <cell r="E729">
            <v>9011</v>
          </cell>
          <cell r="F729">
            <v>38356</v>
          </cell>
          <cell r="G729" t="str">
            <v>IDR</v>
          </cell>
          <cell r="H729">
            <v>923780</v>
          </cell>
          <cell r="I729">
            <v>923780</v>
          </cell>
          <cell r="J729">
            <v>0</v>
          </cell>
        </row>
        <row r="730">
          <cell r="A730" t="str">
            <v>ID005400</v>
          </cell>
          <cell r="B730">
            <v>5810003575</v>
          </cell>
          <cell r="C730" t="str">
            <v>W39088</v>
          </cell>
          <cell r="D730">
            <v>5401</v>
          </cell>
          <cell r="E730">
            <v>9011</v>
          </cell>
          <cell r="F730">
            <v>38356</v>
          </cell>
          <cell r="G730" t="str">
            <v>IDR</v>
          </cell>
          <cell r="H730">
            <v>82711</v>
          </cell>
          <cell r="I730">
            <v>82711</v>
          </cell>
          <cell r="J730">
            <v>0</v>
          </cell>
        </row>
        <row r="731">
          <cell r="A731" t="str">
            <v>ID005400</v>
          </cell>
          <cell r="B731">
            <v>5810003575</v>
          </cell>
          <cell r="C731" t="str">
            <v>W39088</v>
          </cell>
          <cell r="D731">
            <v>5401</v>
          </cell>
          <cell r="E731">
            <v>9011</v>
          </cell>
          <cell r="F731">
            <v>38356</v>
          </cell>
          <cell r="G731" t="str">
            <v>IDR</v>
          </cell>
          <cell r="H731">
            <v>923780</v>
          </cell>
          <cell r="I731">
            <v>923780</v>
          </cell>
          <cell r="J731">
            <v>0</v>
          </cell>
        </row>
        <row r="732">
          <cell r="A732" t="str">
            <v>ID005400</v>
          </cell>
          <cell r="B732">
            <v>5810003576</v>
          </cell>
          <cell r="C732" t="str">
            <v>W39088</v>
          </cell>
          <cell r="D732">
            <v>5401</v>
          </cell>
          <cell r="E732">
            <v>9011</v>
          </cell>
          <cell r="F732">
            <v>38356</v>
          </cell>
          <cell r="G732" t="str">
            <v>IDR</v>
          </cell>
          <cell r="H732">
            <v>82711</v>
          </cell>
          <cell r="I732">
            <v>82711</v>
          </cell>
          <cell r="J732">
            <v>0</v>
          </cell>
        </row>
        <row r="733">
          <cell r="A733" t="str">
            <v>ID005400</v>
          </cell>
          <cell r="B733">
            <v>5810003576</v>
          </cell>
          <cell r="C733" t="str">
            <v>W39088</v>
          </cell>
          <cell r="D733">
            <v>5401</v>
          </cell>
          <cell r="E733">
            <v>9011</v>
          </cell>
          <cell r="F733">
            <v>38356</v>
          </cell>
          <cell r="G733" t="str">
            <v>IDR</v>
          </cell>
          <cell r="H733">
            <v>923780</v>
          </cell>
          <cell r="I733">
            <v>923780</v>
          </cell>
          <cell r="J733">
            <v>0</v>
          </cell>
        </row>
        <row r="734">
          <cell r="A734" t="str">
            <v>ID005400</v>
          </cell>
          <cell r="B734">
            <v>5810003577</v>
          </cell>
          <cell r="C734" t="str">
            <v>W39088</v>
          </cell>
          <cell r="D734">
            <v>5401</v>
          </cell>
          <cell r="E734">
            <v>9011</v>
          </cell>
          <cell r="F734">
            <v>38356</v>
          </cell>
          <cell r="G734" t="str">
            <v>IDR</v>
          </cell>
          <cell r="H734">
            <v>82711</v>
          </cell>
          <cell r="I734">
            <v>82711</v>
          </cell>
          <cell r="J734">
            <v>0</v>
          </cell>
        </row>
        <row r="735">
          <cell r="A735" t="str">
            <v>ID005400</v>
          </cell>
          <cell r="B735">
            <v>5810003577</v>
          </cell>
          <cell r="C735" t="str">
            <v>W39088</v>
          </cell>
          <cell r="D735">
            <v>5401</v>
          </cell>
          <cell r="E735">
            <v>9011</v>
          </cell>
          <cell r="F735">
            <v>38356</v>
          </cell>
          <cell r="G735" t="str">
            <v>IDR</v>
          </cell>
          <cell r="H735">
            <v>923780</v>
          </cell>
          <cell r="I735">
            <v>923780</v>
          </cell>
          <cell r="J735">
            <v>0</v>
          </cell>
        </row>
        <row r="736">
          <cell r="A736" t="str">
            <v>ID005400</v>
          </cell>
          <cell r="B736">
            <v>5810003578</v>
          </cell>
          <cell r="C736" t="str">
            <v>W39088</v>
          </cell>
          <cell r="D736">
            <v>5401</v>
          </cell>
          <cell r="E736">
            <v>9011</v>
          </cell>
          <cell r="F736">
            <v>38356</v>
          </cell>
          <cell r="G736" t="str">
            <v>IDR</v>
          </cell>
          <cell r="H736">
            <v>82711</v>
          </cell>
          <cell r="I736">
            <v>82711</v>
          </cell>
          <cell r="J736">
            <v>0</v>
          </cell>
        </row>
        <row r="737">
          <cell r="A737" t="str">
            <v>ID005400</v>
          </cell>
          <cell r="B737">
            <v>5810003578</v>
          </cell>
          <cell r="C737" t="str">
            <v>W39088</v>
          </cell>
          <cell r="D737">
            <v>5401</v>
          </cell>
          <cell r="E737">
            <v>9011</v>
          </cell>
          <cell r="F737">
            <v>38356</v>
          </cell>
          <cell r="G737" t="str">
            <v>IDR</v>
          </cell>
          <cell r="H737">
            <v>923780</v>
          </cell>
          <cell r="I737">
            <v>923780</v>
          </cell>
          <cell r="J737">
            <v>0</v>
          </cell>
        </row>
        <row r="738">
          <cell r="A738" t="str">
            <v>ID005400</v>
          </cell>
          <cell r="B738">
            <v>5810003579</v>
          </cell>
          <cell r="C738" t="str">
            <v>W39088</v>
          </cell>
          <cell r="D738">
            <v>5401</v>
          </cell>
          <cell r="E738">
            <v>9011</v>
          </cell>
          <cell r="F738">
            <v>38356</v>
          </cell>
          <cell r="G738" t="str">
            <v>IDR</v>
          </cell>
          <cell r="H738">
            <v>82711</v>
          </cell>
          <cell r="I738">
            <v>82711</v>
          </cell>
          <cell r="J738">
            <v>0</v>
          </cell>
        </row>
        <row r="739">
          <cell r="A739" t="str">
            <v>ID005400</v>
          </cell>
          <cell r="B739">
            <v>5810003579</v>
          </cell>
          <cell r="C739" t="str">
            <v>W39088</v>
          </cell>
          <cell r="D739">
            <v>5401</v>
          </cell>
          <cell r="E739">
            <v>9011</v>
          </cell>
          <cell r="F739">
            <v>38356</v>
          </cell>
          <cell r="G739" t="str">
            <v>IDR</v>
          </cell>
          <cell r="H739">
            <v>923780</v>
          </cell>
          <cell r="I739">
            <v>923780</v>
          </cell>
          <cell r="J739">
            <v>0</v>
          </cell>
        </row>
        <row r="740">
          <cell r="A740" t="str">
            <v>ID005400</v>
          </cell>
          <cell r="B740">
            <v>5810003580</v>
          </cell>
          <cell r="C740" t="str">
            <v>W39088</v>
          </cell>
          <cell r="D740">
            <v>5401</v>
          </cell>
          <cell r="E740">
            <v>9011</v>
          </cell>
          <cell r="F740">
            <v>38356</v>
          </cell>
          <cell r="G740" t="str">
            <v>IDR</v>
          </cell>
          <cell r="H740">
            <v>82711</v>
          </cell>
          <cell r="I740">
            <v>82711</v>
          </cell>
          <cell r="J740">
            <v>0</v>
          </cell>
        </row>
        <row r="741">
          <cell r="A741" t="str">
            <v>ID005400</v>
          </cell>
          <cell r="B741">
            <v>5810003580</v>
          </cell>
          <cell r="C741" t="str">
            <v>W39088</v>
          </cell>
          <cell r="D741">
            <v>5401</v>
          </cell>
          <cell r="E741">
            <v>9011</v>
          </cell>
          <cell r="F741">
            <v>38356</v>
          </cell>
          <cell r="G741" t="str">
            <v>IDR</v>
          </cell>
          <cell r="H741">
            <v>923780</v>
          </cell>
          <cell r="I741">
            <v>923780</v>
          </cell>
          <cell r="J741">
            <v>0</v>
          </cell>
        </row>
        <row r="742">
          <cell r="A742" t="str">
            <v>ID005400</v>
          </cell>
          <cell r="B742">
            <v>5810003581</v>
          </cell>
          <cell r="C742" t="str">
            <v>W39088</v>
          </cell>
          <cell r="D742">
            <v>5401</v>
          </cell>
          <cell r="E742">
            <v>9011</v>
          </cell>
          <cell r="F742">
            <v>38356</v>
          </cell>
          <cell r="G742" t="str">
            <v>IDR</v>
          </cell>
          <cell r="H742">
            <v>82711</v>
          </cell>
          <cell r="I742">
            <v>82711</v>
          </cell>
          <cell r="J742">
            <v>0</v>
          </cell>
        </row>
        <row r="743">
          <cell r="A743" t="str">
            <v>ID005400</v>
          </cell>
          <cell r="B743">
            <v>5810003581</v>
          </cell>
          <cell r="C743" t="str">
            <v>W39088</v>
          </cell>
          <cell r="D743">
            <v>5401</v>
          </cell>
          <cell r="E743">
            <v>9011</v>
          </cell>
          <cell r="F743">
            <v>38356</v>
          </cell>
          <cell r="G743" t="str">
            <v>IDR</v>
          </cell>
          <cell r="H743">
            <v>923780</v>
          </cell>
          <cell r="I743">
            <v>923780</v>
          </cell>
          <cell r="J743">
            <v>0</v>
          </cell>
        </row>
        <row r="744">
          <cell r="A744" t="str">
            <v>ID005400</v>
          </cell>
          <cell r="B744">
            <v>5810003582</v>
          </cell>
          <cell r="C744" t="str">
            <v>W39088</v>
          </cell>
          <cell r="D744">
            <v>5401</v>
          </cell>
          <cell r="E744">
            <v>9011</v>
          </cell>
          <cell r="F744">
            <v>38356</v>
          </cell>
          <cell r="G744" t="str">
            <v>IDR</v>
          </cell>
          <cell r="H744">
            <v>82711</v>
          </cell>
          <cell r="I744">
            <v>82711</v>
          </cell>
          <cell r="J744">
            <v>0</v>
          </cell>
        </row>
        <row r="745">
          <cell r="A745" t="str">
            <v>ID005400</v>
          </cell>
          <cell r="B745">
            <v>5810003582</v>
          </cell>
          <cell r="C745" t="str">
            <v>W39088</v>
          </cell>
          <cell r="D745">
            <v>5401</v>
          </cell>
          <cell r="E745">
            <v>9011</v>
          </cell>
          <cell r="F745">
            <v>38356</v>
          </cell>
          <cell r="G745" t="str">
            <v>IDR</v>
          </cell>
          <cell r="H745">
            <v>923780</v>
          </cell>
          <cell r="I745">
            <v>923780</v>
          </cell>
          <cell r="J745">
            <v>0</v>
          </cell>
        </row>
        <row r="746">
          <cell r="A746" t="str">
            <v>ID005400</v>
          </cell>
          <cell r="B746">
            <v>5810003583</v>
          </cell>
          <cell r="C746" t="str">
            <v>W39088</v>
          </cell>
          <cell r="D746">
            <v>5401</v>
          </cell>
          <cell r="E746">
            <v>9011</v>
          </cell>
          <cell r="F746">
            <v>38356</v>
          </cell>
          <cell r="G746" t="str">
            <v>IDR</v>
          </cell>
          <cell r="H746">
            <v>82711</v>
          </cell>
          <cell r="I746">
            <v>82711</v>
          </cell>
          <cell r="J746">
            <v>0</v>
          </cell>
        </row>
        <row r="747">
          <cell r="A747" t="str">
            <v>ID005400</v>
          </cell>
          <cell r="B747">
            <v>5810003583</v>
          </cell>
          <cell r="C747" t="str">
            <v>W39088</v>
          </cell>
          <cell r="D747">
            <v>5401</v>
          </cell>
          <cell r="E747">
            <v>9011</v>
          </cell>
          <cell r="F747">
            <v>38356</v>
          </cell>
          <cell r="G747" t="str">
            <v>IDR</v>
          </cell>
          <cell r="H747">
            <v>923780</v>
          </cell>
          <cell r="I747">
            <v>923780</v>
          </cell>
          <cell r="J747">
            <v>0</v>
          </cell>
        </row>
        <row r="748">
          <cell r="A748" t="str">
            <v>ID005400</v>
          </cell>
          <cell r="B748">
            <v>5810003584</v>
          </cell>
          <cell r="C748" t="str">
            <v>W39088</v>
          </cell>
          <cell r="D748">
            <v>5401</v>
          </cell>
          <cell r="E748">
            <v>9011</v>
          </cell>
          <cell r="F748">
            <v>38356</v>
          </cell>
          <cell r="G748" t="str">
            <v>IDR</v>
          </cell>
          <cell r="H748">
            <v>82711</v>
          </cell>
          <cell r="I748">
            <v>82711</v>
          </cell>
          <cell r="J748">
            <v>0</v>
          </cell>
        </row>
        <row r="749">
          <cell r="A749" t="str">
            <v>ID005400</v>
          </cell>
          <cell r="B749">
            <v>5810003584</v>
          </cell>
          <cell r="C749" t="str">
            <v>W39088</v>
          </cell>
          <cell r="D749">
            <v>5401</v>
          </cell>
          <cell r="E749">
            <v>9011</v>
          </cell>
          <cell r="F749">
            <v>38356</v>
          </cell>
          <cell r="G749" t="str">
            <v>IDR</v>
          </cell>
          <cell r="H749">
            <v>923780</v>
          </cell>
          <cell r="I749">
            <v>923780</v>
          </cell>
          <cell r="J749">
            <v>0</v>
          </cell>
        </row>
        <row r="750">
          <cell r="A750" t="str">
            <v>ID005400</v>
          </cell>
          <cell r="B750">
            <v>5810003585</v>
          </cell>
          <cell r="C750" t="str">
            <v>W39088</v>
          </cell>
          <cell r="D750">
            <v>5401</v>
          </cell>
          <cell r="E750">
            <v>9011</v>
          </cell>
          <cell r="F750">
            <v>38356</v>
          </cell>
          <cell r="G750" t="str">
            <v>IDR</v>
          </cell>
          <cell r="H750">
            <v>82711</v>
          </cell>
          <cell r="I750">
            <v>82711</v>
          </cell>
          <cell r="J750">
            <v>0</v>
          </cell>
        </row>
        <row r="751">
          <cell r="A751" t="str">
            <v>ID005400</v>
          </cell>
          <cell r="B751">
            <v>5810003585</v>
          </cell>
          <cell r="C751" t="str">
            <v>W39088</v>
          </cell>
          <cell r="D751">
            <v>5401</v>
          </cell>
          <cell r="E751">
            <v>9011</v>
          </cell>
          <cell r="F751">
            <v>38356</v>
          </cell>
          <cell r="G751" t="str">
            <v>IDR</v>
          </cell>
          <cell r="H751">
            <v>923780</v>
          </cell>
          <cell r="I751">
            <v>923780</v>
          </cell>
          <cell r="J751">
            <v>0</v>
          </cell>
        </row>
        <row r="752">
          <cell r="A752" t="str">
            <v>ID005400</v>
          </cell>
          <cell r="B752">
            <v>5810003586</v>
          </cell>
          <cell r="C752" t="str">
            <v>W39088</v>
          </cell>
          <cell r="D752">
            <v>5401</v>
          </cell>
          <cell r="E752">
            <v>9011</v>
          </cell>
          <cell r="F752">
            <v>38356</v>
          </cell>
          <cell r="G752" t="str">
            <v>IDR</v>
          </cell>
          <cell r="H752">
            <v>82711</v>
          </cell>
          <cell r="I752">
            <v>82711</v>
          </cell>
          <cell r="J752">
            <v>0</v>
          </cell>
        </row>
        <row r="753">
          <cell r="A753" t="str">
            <v>ID005400</v>
          </cell>
          <cell r="B753">
            <v>5810003586</v>
          </cell>
          <cell r="C753" t="str">
            <v>W39088</v>
          </cell>
          <cell r="D753">
            <v>5401</v>
          </cell>
          <cell r="E753">
            <v>9011</v>
          </cell>
          <cell r="F753">
            <v>38356</v>
          </cell>
          <cell r="G753" t="str">
            <v>IDR</v>
          </cell>
          <cell r="H753">
            <v>923780</v>
          </cell>
          <cell r="I753">
            <v>923780</v>
          </cell>
          <cell r="J753">
            <v>0</v>
          </cell>
        </row>
        <row r="754">
          <cell r="A754" t="str">
            <v>ID005400</v>
          </cell>
          <cell r="B754">
            <v>5810003587</v>
          </cell>
          <cell r="C754" t="str">
            <v>W39088</v>
          </cell>
          <cell r="D754">
            <v>5401</v>
          </cell>
          <cell r="E754">
            <v>9011</v>
          </cell>
          <cell r="F754">
            <v>38356</v>
          </cell>
          <cell r="G754" t="str">
            <v>IDR</v>
          </cell>
          <cell r="H754">
            <v>82711</v>
          </cell>
          <cell r="I754">
            <v>82711</v>
          </cell>
          <cell r="J754">
            <v>0</v>
          </cell>
        </row>
        <row r="755">
          <cell r="A755" t="str">
            <v>ID005400</v>
          </cell>
          <cell r="B755">
            <v>5810003587</v>
          </cell>
          <cell r="C755" t="str">
            <v>W39088</v>
          </cell>
          <cell r="D755">
            <v>5401</v>
          </cell>
          <cell r="E755">
            <v>9011</v>
          </cell>
          <cell r="F755">
            <v>38356</v>
          </cell>
          <cell r="G755" t="str">
            <v>IDR</v>
          </cell>
          <cell r="H755">
            <v>923780</v>
          </cell>
          <cell r="I755">
            <v>923780</v>
          </cell>
          <cell r="J755">
            <v>0</v>
          </cell>
        </row>
        <row r="756">
          <cell r="A756" t="str">
            <v>ID005400</v>
          </cell>
          <cell r="B756">
            <v>5810003588</v>
          </cell>
          <cell r="C756" t="str">
            <v>W39088</v>
          </cell>
          <cell r="D756">
            <v>5401</v>
          </cell>
          <cell r="E756">
            <v>9011</v>
          </cell>
          <cell r="F756">
            <v>38356</v>
          </cell>
          <cell r="G756" t="str">
            <v>IDR</v>
          </cell>
          <cell r="H756">
            <v>82711</v>
          </cell>
          <cell r="I756">
            <v>82711</v>
          </cell>
          <cell r="J756">
            <v>0</v>
          </cell>
        </row>
        <row r="757">
          <cell r="A757" t="str">
            <v>ID005400</v>
          </cell>
          <cell r="B757">
            <v>5810003588</v>
          </cell>
          <cell r="C757" t="str">
            <v>W39088</v>
          </cell>
          <cell r="D757">
            <v>5401</v>
          </cell>
          <cell r="E757">
            <v>9011</v>
          </cell>
          <cell r="F757">
            <v>38356</v>
          </cell>
          <cell r="G757" t="str">
            <v>IDR</v>
          </cell>
          <cell r="H757">
            <v>923780</v>
          </cell>
          <cell r="I757">
            <v>923780</v>
          </cell>
          <cell r="J757">
            <v>0</v>
          </cell>
        </row>
        <row r="758">
          <cell r="A758" t="str">
            <v>ID005400</v>
          </cell>
          <cell r="B758">
            <v>5810003589</v>
          </cell>
          <cell r="C758" t="str">
            <v>W39088</v>
          </cell>
          <cell r="D758">
            <v>5401</v>
          </cell>
          <cell r="E758">
            <v>9011</v>
          </cell>
          <cell r="F758">
            <v>38356</v>
          </cell>
          <cell r="G758" t="str">
            <v>IDR</v>
          </cell>
          <cell r="H758">
            <v>82711</v>
          </cell>
          <cell r="I758">
            <v>82711</v>
          </cell>
          <cell r="J758">
            <v>0</v>
          </cell>
        </row>
        <row r="759">
          <cell r="A759" t="str">
            <v>ID005400</v>
          </cell>
          <cell r="B759">
            <v>5810003589</v>
          </cell>
          <cell r="C759" t="str">
            <v>W39088</v>
          </cell>
          <cell r="D759">
            <v>5401</v>
          </cell>
          <cell r="E759">
            <v>9011</v>
          </cell>
          <cell r="F759">
            <v>38356</v>
          </cell>
          <cell r="G759" t="str">
            <v>IDR</v>
          </cell>
          <cell r="H759">
            <v>923780</v>
          </cell>
          <cell r="I759">
            <v>923780</v>
          </cell>
          <cell r="J759">
            <v>0</v>
          </cell>
        </row>
        <row r="760">
          <cell r="A760" t="str">
            <v>ID005400</v>
          </cell>
          <cell r="B760">
            <v>5810003590</v>
          </cell>
          <cell r="C760" t="str">
            <v>W39088</v>
          </cell>
          <cell r="D760">
            <v>5401</v>
          </cell>
          <cell r="E760">
            <v>9011</v>
          </cell>
          <cell r="F760">
            <v>38356</v>
          </cell>
          <cell r="G760" t="str">
            <v>IDR</v>
          </cell>
          <cell r="H760">
            <v>82711</v>
          </cell>
          <cell r="I760">
            <v>82711</v>
          </cell>
          <cell r="J760">
            <v>0</v>
          </cell>
        </row>
        <row r="761">
          <cell r="A761" t="str">
            <v>ID005400</v>
          </cell>
          <cell r="B761">
            <v>5810003590</v>
          </cell>
          <cell r="C761" t="str">
            <v>W39088</v>
          </cell>
          <cell r="D761">
            <v>5401</v>
          </cell>
          <cell r="E761">
            <v>9011</v>
          </cell>
          <cell r="F761">
            <v>38356</v>
          </cell>
          <cell r="G761" t="str">
            <v>IDR</v>
          </cell>
          <cell r="H761">
            <v>923780</v>
          </cell>
          <cell r="I761">
            <v>923780</v>
          </cell>
          <cell r="J761">
            <v>0</v>
          </cell>
        </row>
        <row r="762">
          <cell r="A762" t="str">
            <v>ID005400</v>
          </cell>
          <cell r="B762">
            <v>5810003591</v>
          </cell>
          <cell r="C762" t="str">
            <v>W39088</v>
          </cell>
          <cell r="D762">
            <v>5401</v>
          </cell>
          <cell r="E762">
            <v>9011</v>
          </cell>
          <cell r="F762">
            <v>38356</v>
          </cell>
          <cell r="G762" t="str">
            <v>IDR</v>
          </cell>
          <cell r="H762">
            <v>82711</v>
          </cell>
          <cell r="I762">
            <v>82711</v>
          </cell>
          <cell r="J762">
            <v>0</v>
          </cell>
        </row>
        <row r="763">
          <cell r="A763" t="str">
            <v>ID005400</v>
          </cell>
          <cell r="B763">
            <v>5810003591</v>
          </cell>
          <cell r="C763" t="str">
            <v>W39088</v>
          </cell>
          <cell r="D763">
            <v>5401</v>
          </cell>
          <cell r="E763">
            <v>9011</v>
          </cell>
          <cell r="F763">
            <v>38356</v>
          </cell>
          <cell r="G763" t="str">
            <v>IDR</v>
          </cell>
          <cell r="H763">
            <v>923780</v>
          </cell>
          <cell r="I763">
            <v>923780</v>
          </cell>
          <cell r="J763">
            <v>0</v>
          </cell>
        </row>
        <row r="764">
          <cell r="A764" t="str">
            <v>ID005400</v>
          </cell>
          <cell r="B764">
            <v>5810003592</v>
          </cell>
          <cell r="C764" t="str">
            <v>W39088</v>
          </cell>
          <cell r="D764">
            <v>5401</v>
          </cell>
          <cell r="E764">
            <v>9011</v>
          </cell>
          <cell r="F764">
            <v>38356</v>
          </cell>
          <cell r="G764" t="str">
            <v>IDR</v>
          </cell>
          <cell r="H764">
            <v>82711</v>
          </cell>
          <cell r="I764">
            <v>82711</v>
          </cell>
          <cell r="J764">
            <v>0</v>
          </cell>
        </row>
        <row r="765">
          <cell r="A765" t="str">
            <v>ID005400</v>
          </cell>
          <cell r="B765">
            <v>5810003592</v>
          </cell>
          <cell r="C765" t="str">
            <v>W39088</v>
          </cell>
          <cell r="D765">
            <v>5401</v>
          </cell>
          <cell r="E765">
            <v>9011</v>
          </cell>
          <cell r="F765">
            <v>38356</v>
          </cell>
          <cell r="G765" t="str">
            <v>IDR</v>
          </cell>
          <cell r="H765">
            <v>923780</v>
          </cell>
          <cell r="I765">
            <v>923780</v>
          </cell>
          <cell r="J765">
            <v>0</v>
          </cell>
        </row>
        <row r="766">
          <cell r="A766" t="str">
            <v>ID005400</v>
          </cell>
          <cell r="B766">
            <v>5810003593</v>
          </cell>
          <cell r="C766" t="str">
            <v>W39088</v>
          </cell>
          <cell r="D766">
            <v>5401</v>
          </cell>
          <cell r="E766">
            <v>9011</v>
          </cell>
          <cell r="F766">
            <v>38356</v>
          </cell>
          <cell r="G766" t="str">
            <v>IDR</v>
          </cell>
          <cell r="H766">
            <v>82711</v>
          </cell>
          <cell r="I766">
            <v>82711</v>
          </cell>
          <cell r="J766">
            <v>0</v>
          </cell>
        </row>
        <row r="767">
          <cell r="A767" t="str">
            <v>ID005400</v>
          </cell>
          <cell r="B767">
            <v>5810003593</v>
          </cell>
          <cell r="C767" t="str">
            <v>W39088</v>
          </cell>
          <cell r="D767">
            <v>5401</v>
          </cell>
          <cell r="E767">
            <v>9011</v>
          </cell>
          <cell r="F767">
            <v>38356</v>
          </cell>
          <cell r="G767" t="str">
            <v>IDR</v>
          </cell>
          <cell r="H767">
            <v>923780</v>
          </cell>
          <cell r="I767">
            <v>923780</v>
          </cell>
          <cell r="J767">
            <v>0</v>
          </cell>
        </row>
        <row r="768">
          <cell r="A768" t="str">
            <v>ID005400</v>
          </cell>
          <cell r="B768">
            <v>5810003594</v>
          </cell>
          <cell r="C768" t="str">
            <v>W39088</v>
          </cell>
          <cell r="D768">
            <v>5401</v>
          </cell>
          <cell r="E768">
            <v>9011</v>
          </cell>
          <cell r="F768">
            <v>38356</v>
          </cell>
          <cell r="G768" t="str">
            <v>IDR</v>
          </cell>
          <cell r="H768">
            <v>82711</v>
          </cell>
          <cell r="I768">
            <v>82711</v>
          </cell>
          <cell r="J768">
            <v>0</v>
          </cell>
        </row>
        <row r="769">
          <cell r="A769" t="str">
            <v>ID005400</v>
          </cell>
          <cell r="B769">
            <v>5810003594</v>
          </cell>
          <cell r="C769" t="str">
            <v>W39088</v>
          </cell>
          <cell r="D769">
            <v>5401</v>
          </cell>
          <cell r="E769">
            <v>9011</v>
          </cell>
          <cell r="F769">
            <v>38356</v>
          </cell>
          <cell r="G769" t="str">
            <v>IDR</v>
          </cell>
          <cell r="H769">
            <v>923780</v>
          </cell>
          <cell r="I769">
            <v>923780</v>
          </cell>
          <cell r="J769">
            <v>0</v>
          </cell>
        </row>
        <row r="770">
          <cell r="A770" t="str">
            <v>ID005400</v>
          </cell>
          <cell r="B770">
            <v>5810003595</v>
          </cell>
          <cell r="C770" t="str">
            <v>W39088</v>
          </cell>
          <cell r="D770">
            <v>5401</v>
          </cell>
          <cell r="E770">
            <v>9011</v>
          </cell>
          <cell r="F770">
            <v>38356</v>
          </cell>
          <cell r="G770" t="str">
            <v>IDR</v>
          </cell>
          <cell r="H770">
            <v>82711</v>
          </cell>
          <cell r="I770">
            <v>82711</v>
          </cell>
          <cell r="J770">
            <v>0</v>
          </cell>
        </row>
        <row r="771">
          <cell r="A771" t="str">
            <v>ID005400</v>
          </cell>
          <cell r="B771">
            <v>5810003595</v>
          </cell>
          <cell r="C771" t="str">
            <v>W39088</v>
          </cell>
          <cell r="D771">
            <v>5401</v>
          </cell>
          <cell r="E771">
            <v>9011</v>
          </cell>
          <cell r="F771">
            <v>38356</v>
          </cell>
          <cell r="G771" t="str">
            <v>IDR</v>
          </cell>
          <cell r="H771">
            <v>923780</v>
          </cell>
          <cell r="I771">
            <v>923780</v>
          </cell>
          <cell r="J771">
            <v>0</v>
          </cell>
        </row>
        <row r="772">
          <cell r="A772" t="str">
            <v>ID005400</v>
          </cell>
          <cell r="B772">
            <v>5810003596</v>
          </cell>
          <cell r="C772" t="str">
            <v>W39088</v>
          </cell>
          <cell r="D772">
            <v>5401</v>
          </cell>
          <cell r="E772">
            <v>9011</v>
          </cell>
          <cell r="F772">
            <v>38356</v>
          </cell>
          <cell r="G772" t="str">
            <v>IDR</v>
          </cell>
          <cell r="H772">
            <v>82711</v>
          </cell>
          <cell r="I772">
            <v>82711</v>
          </cell>
          <cell r="J772">
            <v>0</v>
          </cell>
        </row>
        <row r="773">
          <cell r="A773" t="str">
            <v>ID005400</v>
          </cell>
          <cell r="B773">
            <v>5810003596</v>
          </cell>
          <cell r="C773" t="str">
            <v>W39088</v>
          </cell>
          <cell r="D773">
            <v>5401</v>
          </cell>
          <cell r="E773">
            <v>9011</v>
          </cell>
          <cell r="F773">
            <v>38356</v>
          </cell>
          <cell r="G773" t="str">
            <v>IDR</v>
          </cell>
          <cell r="H773">
            <v>923780</v>
          </cell>
          <cell r="I773">
            <v>923780</v>
          </cell>
          <cell r="J773">
            <v>0</v>
          </cell>
        </row>
        <row r="774">
          <cell r="A774" t="str">
            <v>ID005400</v>
          </cell>
          <cell r="B774">
            <v>5810003597</v>
          </cell>
          <cell r="C774" t="str">
            <v>W39088</v>
          </cell>
          <cell r="D774">
            <v>5401</v>
          </cell>
          <cell r="E774">
            <v>9011</v>
          </cell>
          <cell r="F774">
            <v>38356</v>
          </cell>
          <cell r="G774" t="str">
            <v>IDR</v>
          </cell>
          <cell r="H774">
            <v>82711</v>
          </cell>
          <cell r="I774">
            <v>82711</v>
          </cell>
          <cell r="J774">
            <v>0</v>
          </cell>
        </row>
        <row r="775">
          <cell r="A775" t="str">
            <v>ID005400</v>
          </cell>
          <cell r="B775">
            <v>5810003597</v>
          </cell>
          <cell r="C775" t="str">
            <v>W39088</v>
          </cell>
          <cell r="D775">
            <v>5401</v>
          </cell>
          <cell r="E775">
            <v>9011</v>
          </cell>
          <cell r="F775">
            <v>38356</v>
          </cell>
          <cell r="G775" t="str">
            <v>IDR</v>
          </cell>
          <cell r="H775">
            <v>923780</v>
          </cell>
          <cell r="I775">
            <v>923780</v>
          </cell>
          <cell r="J775">
            <v>0</v>
          </cell>
        </row>
        <row r="776">
          <cell r="A776" t="str">
            <v>ID005400</v>
          </cell>
          <cell r="B776">
            <v>5810003598</v>
          </cell>
          <cell r="C776" t="str">
            <v>W39088</v>
          </cell>
          <cell r="D776">
            <v>5401</v>
          </cell>
          <cell r="E776">
            <v>9011</v>
          </cell>
          <cell r="F776">
            <v>38356</v>
          </cell>
          <cell r="G776" t="str">
            <v>IDR</v>
          </cell>
          <cell r="H776">
            <v>82711</v>
          </cell>
          <cell r="I776">
            <v>82711</v>
          </cell>
          <cell r="J776">
            <v>0</v>
          </cell>
        </row>
        <row r="777">
          <cell r="A777" t="str">
            <v>ID005400</v>
          </cell>
          <cell r="B777">
            <v>5810003598</v>
          </cell>
          <cell r="C777" t="str">
            <v>W39088</v>
          </cell>
          <cell r="D777">
            <v>5401</v>
          </cell>
          <cell r="E777">
            <v>9011</v>
          </cell>
          <cell r="F777">
            <v>38356</v>
          </cell>
          <cell r="G777" t="str">
            <v>IDR</v>
          </cell>
          <cell r="H777">
            <v>923780</v>
          </cell>
          <cell r="I777">
            <v>923780</v>
          </cell>
          <cell r="J777">
            <v>0</v>
          </cell>
        </row>
        <row r="778">
          <cell r="A778" t="str">
            <v>ID005400</v>
          </cell>
          <cell r="B778">
            <v>5810003599</v>
          </cell>
          <cell r="C778" t="str">
            <v>W39088</v>
          </cell>
          <cell r="D778">
            <v>5401</v>
          </cell>
          <cell r="E778">
            <v>9011</v>
          </cell>
          <cell r="F778">
            <v>38356</v>
          </cell>
          <cell r="G778" t="str">
            <v>IDR</v>
          </cell>
          <cell r="H778">
            <v>82711</v>
          </cell>
          <cell r="I778">
            <v>82711</v>
          </cell>
          <cell r="J778">
            <v>0</v>
          </cell>
        </row>
        <row r="779">
          <cell r="A779" t="str">
            <v>ID005400</v>
          </cell>
          <cell r="B779">
            <v>5810003599</v>
          </cell>
          <cell r="C779" t="str">
            <v>W39088</v>
          </cell>
          <cell r="D779">
            <v>5401</v>
          </cell>
          <cell r="E779">
            <v>9011</v>
          </cell>
          <cell r="F779">
            <v>38356</v>
          </cell>
          <cell r="G779" t="str">
            <v>IDR</v>
          </cell>
          <cell r="H779">
            <v>923780</v>
          </cell>
          <cell r="I779">
            <v>923780</v>
          </cell>
          <cell r="J779">
            <v>0</v>
          </cell>
        </row>
        <row r="780">
          <cell r="A780" t="str">
            <v>ID005400</v>
          </cell>
          <cell r="B780">
            <v>5810003600</v>
          </cell>
          <cell r="C780" t="str">
            <v>W39088</v>
          </cell>
          <cell r="D780">
            <v>5401</v>
          </cell>
          <cell r="E780">
            <v>9011</v>
          </cell>
          <cell r="F780">
            <v>38356</v>
          </cell>
          <cell r="G780" t="str">
            <v>IDR</v>
          </cell>
          <cell r="H780">
            <v>82711</v>
          </cell>
          <cell r="I780">
            <v>82711</v>
          </cell>
          <cell r="J780">
            <v>0</v>
          </cell>
        </row>
        <row r="781">
          <cell r="A781" t="str">
            <v>ID005400</v>
          </cell>
          <cell r="B781">
            <v>5810003600</v>
          </cell>
          <cell r="C781" t="str">
            <v>W39088</v>
          </cell>
          <cell r="D781">
            <v>5401</v>
          </cell>
          <cell r="E781">
            <v>9011</v>
          </cell>
          <cell r="F781">
            <v>38356</v>
          </cell>
          <cell r="G781" t="str">
            <v>IDR</v>
          </cell>
          <cell r="H781">
            <v>923780</v>
          </cell>
          <cell r="I781">
            <v>923780</v>
          </cell>
          <cell r="J781">
            <v>0</v>
          </cell>
        </row>
        <row r="782">
          <cell r="A782" t="str">
            <v>ID005400</v>
          </cell>
          <cell r="B782">
            <v>5810003601</v>
          </cell>
          <cell r="C782" t="str">
            <v>W39088</v>
          </cell>
          <cell r="D782">
            <v>5401</v>
          </cell>
          <cell r="E782">
            <v>9011</v>
          </cell>
          <cell r="F782">
            <v>38356</v>
          </cell>
          <cell r="G782" t="str">
            <v>IDR</v>
          </cell>
          <cell r="H782">
            <v>82711</v>
          </cell>
          <cell r="I782">
            <v>82711</v>
          </cell>
          <cell r="J782">
            <v>0</v>
          </cell>
        </row>
        <row r="783">
          <cell r="A783" t="str">
            <v>ID005400</v>
          </cell>
          <cell r="B783">
            <v>5810003601</v>
          </cell>
          <cell r="C783" t="str">
            <v>W39088</v>
          </cell>
          <cell r="D783">
            <v>5401</v>
          </cell>
          <cell r="E783">
            <v>9011</v>
          </cell>
          <cell r="F783">
            <v>38356</v>
          </cell>
          <cell r="G783" t="str">
            <v>IDR</v>
          </cell>
          <cell r="H783">
            <v>923780</v>
          </cell>
          <cell r="I783">
            <v>923780</v>
          </cell>
          <cell r="J783">
            <v>0</v>
          </cell>
        </row>
        <row r="784">
          <cell r="A784" t="str">
            <v>ID005400</v>
          </cell>
          <cell r="B784">
            <v>5810003602</v>
          </cell>
          <cell r="C784" t="str">
            <v>W39088</v>
          </cell>
          <cell r="D784">
            <v>5401</v>
          </cell>
          <cell r="E784">
            <v>9011</v>
          </cell>
          <cell r="F784">
            <v>38356</v>
          </cell>
          <cell r="G784" t="str">
            <v>IDR</v>
          </cell>
          <cell r="H784">
            <v>82711</v>
          </cell>
          <cell r="I784">
            <v>82711</v>
          </cell>
          <cell r="J784">
            <v>0</v>
          </cell>
        </row>
        <row r="785">
          <cell r="A785" t="str">
            <v>ID005400</v>
          </cell>
          <cell r="B785">
            <v>5810003602</v>
          </cell>
          <cell r="C785" t="str">
            <v>W39088</v>
          </cell>
          <cell r="D785">
            <v>5401</v>
          </cell>
          <cell r="E785">
            <v>9011</v>
          </cell>
          <cell r="F785">
            <v>38356</v>
          </cell>
          <cell r="G785" t="str">
            <v>IDR</v>
          </cell>
          <cell r="H785">
            <v>923780</v>
          </cell>
          <cell r="I785">
            <v>923780</v>
          </cell>
          <cell r="J785">
            <v>0</v>
          </cell>
        </row>
        <row r="786">
          <cell r="A786" t="str">
            <v>ID005400</v>
          </cell>
          <cell r="B786">
            <v>5810003603</v>
          </cell>
          <cell r="C786" t="str">
            <v>W39088</v>
          </cell>
          <cell r="D786">
            <v>5401</v>
          </cell>
          <cell r="E786">
            <v>9011</v>
          </cell>
          <cell r="F786">
            <v>38356</v>
          </cell>
          <cell r="G786" t="str">
            <v>IDR</v>
          </cell>
          <cell r="H786">
            <v>82711</v>
          </cell>
          <cell r="I786">
            <v>82711</v>
          </cell>
          <cell r="J786">
            <v>0</v>
          </cell>
        </row>
        <row r="787">
          <cell r="A787" t="str">
            <v>ID005400</v>
          </cell>
          <cell r="B787">
            <v>5810003603</v>
          </cell>
          <cell r="C787" t="str">
            <v>W39088</v>
          </cell>
          <cell r="D787">
            <v>5401</v>
          </cell>
          <cell r="E787">
            <v>9011</v>
          </cell>
          <cell r="F787">
            <v>38356</v>
          </cell>
          <cell r="G787" t="str">
            <v>IDR</v>
          </cell>
          <cell r="H787">
            <v>923780</v>
          </cell>
          <cell r="I787">
            <v>923780</v>
          </cell>
          <cell r="J787">
            <v>0</v>
          </cell>
        </row>
        <row r="788">
          <cell r="A788" t="str">
            <v>ID005400</v>
          </cell>
          <cell r="B788">
            <v>5810003604</v>
          </cell>
          <cell r="C788" t="str">
            <v>W39088</v>
          </cell>
          <cell r="D788">
            <v>5401</v>
          </cell>
          <cell r="E788">
            <v>9011</v>
          </cell>
          <cell r="F788">
            <v>38356</v>
          </cell>
          <cell r="G788" t="str">
            <v>IDR</v>
          </cell>
          <cell r="H788">
            <v>82711</v>
          </cell>
          <cell r="I788">
            <v>82711</v>
          </cell>
          <cell r="J788">
            <v>0</v>
          </cell>
        </row>
        <row r="789">
          <cell r="A789" t="str">
            <v>ID005400</v>
          </cell>
          <cell r="B789">
            <v>5810003604</v>
          </cell>
          <cell r="C789" t="str">
            <v>W39088</v>
          </cell>
          <cell r="D789">
            <v>5401</v>
          </cell>
          <cell r="E789">
            <v>9011</v>
          </cell>
          <cell r="F789">
            <v>38356</v>
          </cell>
          <cell r="G789" t="str">
            <v>IDR</v>
          </cell>
          <cell r="H789">
            <v>923780</v>
          </cell>
          <cell r="I789">
            <v>923780</v>
          </cell>
          <cell r="J789">
            <v>0</v>
          </cell>
        </row>
        <row r="790">
          <cell r="A790" t="str">
            <v>ID005400</v>
          </cell>
          <cell r="B790">
            <v>5810003605</v>
          </cell>
          <cell r="C790" t="str">
            <v>W39088</v>
          </cell>
          <cell r="D790">
            <v>5401</v>
          </cell>
          <cell r="E790">
            <v>9011</v>
          </cell>
          <cell r="F790">
            <v>38356</v>
          </cell>
          <cell r="G790" t="str">
            <v>IDR</v>
          </cell>
          <cell r="H790">
            <v>82711</v>
          </cell>
          <cell r="I790">
            <v>82711</v>
          </cell>
          <cell r="J790">
            <v>0</v>
          </cell>
        </row>
        <row r="791">
          <cell r="A791" t="str">
            <v>ID005400</v>
          </cell>
          <cell r="B791">
            <v>5810003605</v>
          </cell>
          <cell r="C791" t="str">
            <v>W39088</v>
          </cell>
          <cell r="D791">
            <v>5401</v>
          </cell>
          <cell r="E791">
            <v>9011</v>
          </cell>
          <cell r="F791">
            <v>38356</v>
          </cell>
          <cell r="G791" t="str">
            <v>IDR</v>
          </cell>
          <cell r="H791">
            <v>923780</v>
          </cell>
          <cell r="I791">
            <v>923780</v>
          </cell>
          <cell r="J791">
            <v>0</v>
          </cell>
        </row>
        <row r="792">
          <cell r="A792" t="str">
            <v>ID005400</v>
          </cell>
          <cell r="B792">
            <v>5810003606</v>
          </cell>
          <cell r="C792" t="str">
            <v>W39088</v>
          </cell>
          <cell r="D792">
            <v>5401</v>
          </cell>
          <cell r="E792">
            <v>9011</v>
          </cell>
          <cell r="F792">
            <v>38356</v>
          </cell>
          <cell r="G792" t="str">
            <v>IDR</v>
          </cell>
          <cell r="H792">
            <v>82711</v>
          </cell>
          <cell r="I792">
            <v>82711</v>
          </cell>
          <cell r="J792">
            <v>0</v>
          </cell>
        </row>
        <row r="793">
          <cell r="A793" t="str">
            <v>ID005400</v>
          </cell>
          <cell r="B793">
            <v>5810003606</v>
          </cell>
          <cell r="C793" t="str">
            <v>W39088</v>
          </cell>
          <cell r="D793">
            <v>5401</v>
          </cell>
          <cell r="E793">
            <v>9011</v>
          </cell>
          <cell r="F793">
            <v>38356</v>
          </cell>
          <cell r="G793" t="str">
            <v>IDR</v>
          </cell>
          <cell r="H793">
            <v>923780</v>
          </cell>
          <cell r="I793">
            <v>923780</v>
          </cell>
          <cell r="J793">
            <v>0</v>
          </cell>
        </row>
        <row r="794">
          <cell r="A794" t="str">
            <v>ID005400</v>
          </cell>
          <cell r="B794">
            <v>5810003607</v>
          </cell>
          <cell r="C794" t="str">
            <v>W39088</v>
          </cell>
          <cell r="D794">
            <v>5401</v>
          </cell>
          <cell r="E794">
            <v>9011</v>
          </cell>
          <cell r="F794">
            <v>38356</v>
          </cell>
          <cell r="G794" t="str">
            <v>IDR</v>
          </cell>
          <cell r="H794">
            <v>82711</v>
          </cell>
          <cell r="I794">
            <v>82711</v>
          </cell>
          <cell r="J794">
            <v>0</v>
          </cell>
        </row>
        <row r="795">
          <cell r="A795" t="str">
            <v>ID005400</v>
          </cell>
          <cell r="B795">
            <v>5810003607</v>
          </cell>
          <cell r="C795" t="str">
            <v>W39088</v>
          </cell>
          <cell r="D795">
            <v>5401</v>
          </cell>
          <cell r="E795">
            <v>9011</v>
          </cell>
          <cell r="F795">
            <v>38356</v>
          </cell>
          <cell r="G795" t="str">
            <v>IDR</v>
          </cell>
          <cell r="H795">
            <v>923780</v>
          </cell>
          <cell r="I795">
            <v>923780</v>
          </cell>
          <cell r="J795">
            <v>0</v>
          </cell>
        </row>
        <row r="796">
          <cell r="A796" t="str">
            <v>ID005400</v>
          </cell>
          <cell r="B796">
            <v>5810003608</v>
          </cell>
          <cell r="C796" t="str">
            <v>W39088</v>
          </cell>
          <cell r="D796">
            <v>5401</v>
          </cell>
          <cell r="E796">
            <v>9011</v>
          </cell>
          <cell r="F796">
            <v>38356</v>
          </cell>
          <cell r="G796" t="str">
            <v>IDR</v>
          </cell>
          <cell r="H796">
            <v>82711</v>
          </cell>
          <cell r="I796">
            <v>82711</v>
          </cell>
          <cell r="J796">
            <v>0</v>
          </cell>
        </row>
        <row r="797">
          <cell r="A797" t="str">
            <v>ID005400</v>
          </cell>
          <cell r="B797">
            <v>5810003608</v>
          </cell>
          <cell r="C797" t="str">
            <v>W39088</v>
          </cell>
          <cell r="D797">
            <v>5401</v>
          </cell>
          <cell r="E797">
            <v>9011</v>
          </cell>
          <cell r="F797">
            <v>38356</v>
          </cell>
          <cell r="G797" t="str">
            <v>IDR</v>
          </cell>
          <cell r="H797">
            <v>923780</v>
          </cell>
          <cell r="I797">
            <v>923780</v>
          </cell>
          <cell r="J797">
            <v>0</v>
          </cell>
        </row>
        <row r="798">
          <cell r="A798" t="str">
            <v>ID005400</v>
          </cell>
          <cell r="B798">
            <v>5810003609</v>
          </cell>
          <cell r="C798" t="str">
            <v>W39088</v>
          </cell>
          <cell r="D798">
            <v>5401</v>
          </cell>
          <cell r="E798">
            <v>9011</v>
          </cell>
          <cell r="F798">
            <v>38356</v>
          </cell>
          <cell r="G798" t="str">
            <v>IDR</v>
          </cell>
          <cell r="H798">
            <v>82711</v>
          </cell>
          <cell r="I798">
            <v>82711</v>
          </cell>
          <cell r="J798">
            <v>0</v>
          </cell>
        </row>
        <row r="799">
          <cell r="A799" t="str">
            <v>ID005400</v>
          </cell>
          <cell r="B799">
            <v>5810003609</v>
          </cell>
          <cell r="C799" t="str">
            <v>W39088</v>
          </cell>
          <cell r="D799">
            <v>5401</v>
          </cell>
          <cell r="E799">
            <v>9011</v>
          </cell>
          <cell r="F799">
            <v>38356</v>
          </cell>
          <cell r="G799" t="str">
            <v>IDR</v>
          </cell>
          <cell r="H799">
            <v>923780</v>
          </cell>
          <cell r="I799">
            <v>923780</v>
          </cell>
          <cell r="J799">
            <v>0</v>
          </cell>
        </row>
        <row r="800">
          <cell r="A800" t="str">
            <v>ID005400</v>
          </cell>
          <cell r="B800">
            <v>5810003610</v>
          </cell>
          <cell r="C800" t="str">
            <v>W39088</v>
          </cell>
          <cell r="D800">
            <v>5401</v>
          </cell>
          <cell r="E800">
            <v>9011</v>
          </cell>
          <cell r="F800">
            <v>38356</v>
          </cell>
          <cell r="G800" t="str">
            <v>IDR</v>
          </cell>
          <cell r="H800">
            <v>82711</v>
          </cell>
          <cell r="I800">
            <v>82711</v>
          </cell>
          <cell r="J800">
            <v>0</v>
          </cell>
        </row>
        <row r="801">
          <cell r="A801" t="str">
            <v>ID005400</v>
          </cell>
          <cell r="B801">
            <v>5810003610</v>
          </cell>
          <cell r="C801" t="str">
            <v>W39088</v>
          </cell>
          <cell r="D801">
            <v>5401</v>
          </cell>
          <cell r="E801">
            <v>9011</v>
          </cell>
          <cell r="F801">
            <v>38356</v>
          </cell>
          <cell r="G801" t="str">
            <v>IDR</v>
          </cell>
          <cell r="H801">
            <v>923780</v>
          </cell>
          <cell r="I801">
            <v>923780</v>
          </cell>
          <cell r="J801">
            <v>0</v>
          </cell>
        </row>
        <row r="802">
          <cell r="A802" t="str">
            <v>ID005400</v>
          </cell>
          <cell r="B802">
            <v>5810003611</v>
          </cell>
          <cell r="C802" t="str">
            <v>W39088</v>
          </cell>
          <cell r="D802">
            <v>5401</v>
          </cell>
          <cell r="E802">
            <v>9011</v>
          </cell>
          <cell r="F802">
            <v>38356</v>
          </cell>
          <cell r="G802" t="str">
            <v>IDR</v>
          </cell>
          <cell r="H802">
            <v>82711</v>
          </cell>
          <cell r="I802">
            <v>82711</v>
          </cell>
          <cell r="J802">
            <v>0</v>
          </cell>
        </row>
        <row r="803">
          <cell r="A803" t="str">
            <v>ID005400</v>
          </cell>
          <cell r="B803">
            <v>5810003611</v>
          </cell>
          <cell r="C803" t="str">
            <v>W39088</v>
          </cell>
          <cell r="D803">
            <v>5401</v>
          </cell>
          <cell r="E803">
            <v>9011</v>
          </cell>
          <cell r="F803">
            <v>38356</v>
          </cell>
          <cell r="G803" t="str">
            <v>IDR</v>
          </cell>
          <cell r="H803">
            <v>923780</v>
          </cell>
          <cell r="I803">
            <v>923780</v>
          </cell>
          <cell r="J803">
            <v>0</v>
          </cell>
        </row>
        <row r="804">
          <cell r="A804" t="str">
            <v>ID005400</v>
          </cell>
          <cell r="B804">
            <v>5810003612</v>
          </cell>
          <cell r="C804" t="str">
            <v>W39088</v>
          </cell>
          <cell r="D804">
            <v>5401</v>
          </cell>
          <cell r="E804">
            <v>9011</v>
          </cell>
          <cell r="F804">
            <v>38356</v>
          </cell>
          <cell r="G804" t="str">
            <v>IDR</v>
          </cell>
          <cell r="H804">
            <v>82711</v>
          </cell>
          <cell r="I804">
            <v>82711</v>
          </cell>
          <cell r="J804">
            <v>0</v>
          </cell>
        </row>
        <row r="805">
          <cell r="A805" t="str">
            <v>ID005400</v>
          </cell>
          <cell r="B805">
            <v>5810003612</v>
          </cell>
          <cell r="C805" t="str">
            <v>W39088</v>
          </cell>
          <cell r="D805">
            <v>5401</v>
          </cell>
          <cell r="E805">
            <v>9011</v>
          </cell>
          <cell r="F805">
            <v>38356</v>
          </cell>
          <cell r="G805" t="str">
            <v>IDR</v>
          </cell>
          <cell r="H805">
            <v>923780</v>
          </cell>
          <cell r="I805">
            <v>923780</v>
          </cell>
          <cell r="J805">
            <v>0</v>
          </cell>
        </row>
        <row r="806">
          <cell r="A806" t="str">
            <v>ID005400</v>
          </cell>
          <cell r="B806">
            <v>5810003613</v>
          </cell>
          <cell r="C806" t="str">
            <v>W39088</v>
          </cell>
          <cell r="D806">
            <v>5401</v>
          </cell>
          <cell r="E806">
            <v>9011</v>
          </cell>
          <cell r="F806">
            <v>38356</v>
          </cell>
          <cell r="G806" t="str">
            <v>IDR</v>
          </cell>
          <cell r="H806">
            <v>82711</v>
          </cell>
          <cell r="I806">
            <v>82711</v>
          </cell>
          <cell r="J806">
            <v>0</v>
          </cell>
        </row>
        <row r="807">
          <cell r="A807" t="str">
            <v>ID005400</v>
          </cell>
          <cell r="B807">
            <v>5810003613</v>
          </cell>
          <cell r="C807" t="str">
            <v>W39088</v>
          </cell>
          <cell r="D807">
            <v>5401</v>
          </cell>
          <cell r="E807">
            <v>9011</v>
          </cell>
          <cell r="F807">
            <v>38356</v>
          </cell>
          <cell r="G807" t="str">
            <v>IDR</v>
          </cell>
          <cell r="H807">
            <v>923780</v>
          </cell>
          <cell r="I807">
            <v>923780</v>
          </cell>
          <cell r="J807">
            <v>0</v>
          </cell>
        </row>
        <row r="808">
          <cell r="A808" t="str">
            <v>ID005400</v>
          </cell>
          <cell r="B808">
            <v>5810003614</v>
          </cell>
          <cell r="C808" t="str">
            <v>W39088</v>
          </cell>
          <cell r="D808">
            <v>5401</v>
          </cell>
          <cell r="E808">
            <v>9011</v>
          </cell>
          <cell r="F808">
            <v>38356</v>
          </cell>
          <cell r="G808" t="str">
            <v>IDR</v>
          </cell>
          <cell r="H808">
            <v>82711</v>
          </cell>
          <cell r="I808">
            <v>82711</v>
          </cell>
          <cell r="J808">
            <v>0</v>
          </cell>
        </row>
        <row r="809">
          <cell r="A809" t="str">
            <v>ID005400</v>
          </cell>
          <cell r="B809">
            <v>5810003614</v>
          </cell>
          <cell r="C809" t="str">
            <v>W39088</v>
          </cell>
          <cell r="D809">
            <v>5401</v>
          </cell>
          <cell r="E809">
            <v>9011</v>
          </cell>
          <cell r="F809">
            <v>38356</v>
          </cell>
          <cell r="G809" t="str">
            <v>IDR</v>
          </cell>
          <cell r="H809">
            <v>923780</v>
          </cell>
          <cell r="I809">
            <v>923780</v>
          </cell>
          <cell r="J809">
            <v>0</v>
          </cell>
        </row>
        <row r="810">
          <cell r="A810" t="str">
            <v>ID005400</v>
          </cell>
          <cell r="B810">
            <v>5810003615</v>
          </cell>
          <cell r="C810" t="str">
            <v>W39088</v>
          </cell>
          <cell r="D810">
            <v>5401</v>
          </cell>
          <cell r="E810">
            <v>9011</v>
          </cell>
          <cell r="F810">
            <v>38356</v>
          </cell>
          <cell r="G810" t="str">
            <v>IDR</v>
          </cell>
          <cell r="H810">
            <v>82711</v>
          </cell>
          <cell r="I810">
            <v>82711</v>
          </cell>
          <cell r="J810">
            <v>0</v>
          </cell>
        </row>
        <row r="811">
          <cell r="A811" t="str">
            <v>ID005400</v>
          </cell>
          <cell r="B811">
            <v>5810003615</v>
          </cell>
          <cell r="C811" t="str">
            <v>W39088</v>
          </cell>
          <cell r="D811">
            <v>5401</v>
          </cell>
          <cell r="E811">
            <v>9011</v>
          </cell>
          <cell r="F811">
            <v>38356</v>
          </cell>
          <cell r="G811" t="str">
            <v>IDR</v>
          </cell>
          <cell r="H811">
            <v>923780</v>
          </cell>
          <cell r="I811">
            <v>923780</v>
          </cell>
          <cell r="J811">
            <v>0</v>
          </cell>
        </row>
        <row r="812">
          <cell r="A812" t="str">
            <v>ID005400</v>
          </cell>
          <cell r="B812">
            <v>5810003616</v>
          </cell>
          <cell r="C812" t="str">
            <v>W39088</v>
          </cell>
          <cell r="D812">
            <v>5401</v>
          </cell>
          <cell r="E812">
            <v>9011</v>
          </cell>
          <cell r="F812">
            <v>38356</v>
          </cell>
          <cell r="G812" t="str">
            <v>IDR</v>
          </cell>
          <cell r="H812">
            <v>82711</v>
          </cell>
          <cell r="I812">
            <v>82711</v>
          </cell>
          <cell r="J812">
            <v>0</v>
          </cell>
        </row>
        <row r="813">
          <cell r="A813" t="str">
            <v>ID005400</v>
          </cell>
          <cell r="B813">
            <v>5810003616</v>
          </cell>
          <cell r="C813" t="str">
            <v>W39088</v>
          </cell>
          <cell r="D813">
            <v>5401</v>
          </cell>
          <cell r="E813">
            <v>9011</v>
          </cell>
          <cell r="F813">
            <v>38356</v>
          </cell>
          <cell r="G813" t="str">
            <v>IDR</v>
          </cell>
          <cell r="H813">
            <v>923780</v>
          </cell>
          <cell r="I813">
            <v>923780</v>
          </cell>
          <cell r="J813">
            <v>0</v>
          </cell>
        </row>
        <row r="814">
          <cell r="A814" t="str">
            <v>ID005400</v>
          </cell>
          <cell r="B814">
            <v>5810003617</v>
          </cell>
          <cell r="C814" t="str">
            <v>W39088</v>
          </cell>
          <cell r="D814">
            <v>5401</v>
          </cell>
          <cell r="E814">
            <v>9011</v>
          </cell>
          <cell r="F814">
            <v>38356</v>
          </cell>
          <cell r="G814" t="str">
            <v>IDR</v>
          </cell>
          <cell r="H814">
            <v>82711</v>
          </cell>
          <cell r="I814">
            <v>82711</v>
          </cell>
          <cell r="J814">
            <v>0</v>
          </cell>
        </row>
        <row r="815">
          <cell r="A815" t="str">
            <v>ID005400</v>
          </cell>
          <cell r="B815">
            <v>5810003617</v>
          </cell>
          <cell r="C815" t="str">
            <v>W39088</v>
          </cell>
          <cell r="D815">
            <v>5401</v>
          </cell>
          <cell r="E815">
            <v>9011</v>
          </cell>
          <cell r="F815">
            <v>38356</v>
          </cell>
          <cell r="G815" t="str">
            <v>IDR</v>
          </cell>
          <cell r="H815">
            <v>923780</v>
          </cell>
          <cell r="I815">
            <v>923780</v>
          </cell>
          <cell r="J815">
            <v>0</v>
          </cell>
        </row>
        <row r="816">
          <cell r="A816" t="str">
            <v>ID005400</v>
          </cell>
          <cell r="B816">
            <v>5810003618</v>
          </cell>
          <cell r="C816" t="str">
            <v>W39088</v>
          </cell>
          <cell r="D816">
            <v>5401</v>
          </cell>
          <cell r="E816">
            <v>9011</v>
          </cell>
          <cell r="F816">
            <v>38356</v>
          </cell>
          <cell r="G816" t="str">
            <v>IDR</v>
          </cell>
          <cell r="H816">
            <v>82711</v>
          </cell>
          <cell r="I816">
            <v>82711</v>
          </cell>
          <cell r="J816">
            <v>0</v>
          </cell>
        </row>
        <row r="817">
          <cell r="A817" t="str">
            <v>ID005400</v>
          </cell>
          <cell r="B817">
            <v>5810003618</v>
          </cell>
          <cell r="C817" t="str">
            <v>W39088</v>
          </cell>
          <cell r="D817">
            <v>5401</v>
          </cell>
          <cell r="E817">
            <v>9011</v>
          </cell>
          <cell r="F817">
            <v>38356</v>
          </cell>
          <cell r="G817" t="str">
            <v>IDR</v>
          </cell>
          <cell r="H817">
            <v>923780</v>
          </cell>
          <cell r="I817">
            <v>923780</v>
          </cell>
          <cell r="J817">
            <v>0</v>
          </cell>
        </row>
        <row r="818">
          <cell r="A818" t="str">
            <v>ID005400</v>
          </cell>
          <cell r="B818">
            <v>5810003619</v>
          </cell>
          <cell r="C818" t="str">
            <v>W39088</v>
          </cell>
          <cell r="D818">
            <v>5401</v>
          </cell>
          <cell r="E818">
            <v>9011</v>
          </cell>
          <cell r="F818">
            <v>38356</v>
          </cell>
          <cell r="G818" t="str">
            <v>IDR</v>
          </cell>
          <cell r="H818">
            <v>82711</v>
          </cell>
          <cell r="I818">
            <v>82711</v>
          </cell>
          <cell r="J818">
            <v>0</v>
          </cell>
        </row>
        <row r="819">
          <cell r="A819" t="str">
            <v>ID005400</v>
          </cell>
          <cell r="B819">
            <v>5810003619</v>
          </cell>
          <cell r="C819" t="str">
            <v>W39088</v>
          </cell>
          <cell r="D819">
            <v>5401</v>
          </cell>
          <cell r="E819">
            <v>9011</v>
          </cell>
          <cell r="F819">
            <v>38356</v>
          </cell>
          <cell r="G819" t="str">
            <v>IDR</v>
          </cell>
          <cell r="H819">
            <v>923780</v>
          </cell>
          <cell r="I819">
            <v>923780</v>
          </cell>
          <cell r="J819">
            <v>0</v>
          </cell>
        </row>
        <row r="820">
          <cell r="A820" t="str">
            <v>ID005400</v>
          </cell>
          <cell r="B820">
            <v>5810003620</v>
          </cell>
          <cell r="C820" t="str">
            <v>W39088</v>
          </cell>
          <cell r="D820">
            <v>5401</v>
          </cell>
          <cell r="E820">
            <v>9011</v>
          </cell>
          <cell r="F820">
            <v>38356</v>
          </cell>
          <cell r="G820" t="str">
            <v>IDR</v>
          </cell>
          <cell r="H820">
            <v>82711</v>
          </cell>
          <cell r="I820">
            <v>82711</v>
          </cell>
          <cell r="J820">
            <v>0</v>
          </cell>
        </row>
        <row r="821">
          <cell r="A821" t="str">
            <v>ID005400</v>
          </cell>
          <cell r="B821">
            <v>5810003620</v>
          </cell>
          <cell r="C821" t="str">
            <v>W39088</v>
          </cell>
          <cell r="D821">
            <v>5401</v>
          </cell>
          <cell r="E821">
            <v>9011</v>
          </cell>
          <cell r="F821">
            <v>38356</v>
          </cell>
          <cell r="G821" t="str">
            <v>IDR</v>
          </cell>
          <cell r="H821">
            <v>923780</v>
          </cell>
          <cell r="I821">
            <v>923780</v>
          </cell>
          <cell r="J821">
            <v>0</v>
          </cell>
        </row>
        <row r="822">
          <cell r="A822" t="str">
            <v>ID005400</v>
          </cell>
          <cell r="B822">
            <v>5810003621</v>
          </cell>
          <cell r="C822" t="str">
            <v>W39088</v>
          </cell>
          <cell r="D822">
            <v>5401</v>
          </cell>
          <cell r="E822">
            <v>9011</v>
          </cell>
          <cell r="F822">
            <v>38356</v>
          </cell>
          <cell r="G822" t="str">
            <v>IDR</v>
          </cell>
          <cell r="H822">
            <v>82711</v>
          </cell>
          <cell r="I822">
            <v>82711</v>
          </cell>
          <cell r="J822">
            <v>0</v>
          </cell>
        </row>
        <row r="823">
          <cell r="A823" t="str">
            <v>ID005400</v>
          </cell>
          <cell r="B823">
            <v>5810003621</v>
          </cell>
          <cell r="C823" t="str">
            <v>W39088</v>
          </cell>
          <cell r="D823">
            <v>5401</v>
          </cell>
          <cell r="E823">
            <v>9011</v>
          </cell>
          <cell r="F823">
            <v>38356</v>
          </cell>
          <cell r="G823" t="str">
            <v>IDR</v>
          </cell>
          <cell r="H823">
            <v>923780</v>
          </cell>
          <cell r="I823">
            <v>923780</v>
          </cell>
          <cell r="J823">
            <v>0</v>
          </cell>
        </row>
        <row r="824">
          <cell r="A824" t="str">
            <v>ID005400</v>
          </cell>
          <cell r="B824">
            <v>5810003622</v>
          </cell>
          <cell r="C824" t="str">
            <v>W39088</v>
          </cell>
          <cell r="D824">
            <v>5401</v>
          </cell>
          <cell r="E824">
            <v>9011</v>
          </cell>
          <cell r="F824">
            <v>38356</v>
          </cell>
          <cell r="G824" t="str">
            <v>IDR</v>
          </cell>
          <cell r="H824">
            <v>82711</v>
          </cell>
          <cell r="I824">
            <v>82711</v>
          </cell>
          <cell r="J824">
            <v>0</v>
          </cell>
        </row>
        <row r="825">
          <cell r="A825" t="str">
            <v>ID005400</v>
          </cell>
          <cell r="B825">
            <v>5810003622</v>
          </cell>
          <cell r="C825" t="str">
            <v>W39088</v>
          </cell>
          <cell r="D825">
            <v>5401</v>
          </cell>
          <cell r="E825">
            <v>9011</v>
          </cell>
          <cell r="F825">
            <v>38356</v>
          </cell>
          <cell r="G825" t="str">
            <v>IDR</v>
          </cell>
          <cell r="H825">
            <v>923780</v>
          </cell>
          <cell r="I825">
            <v>923780</v>
          </cell>
          <cell r="J825">
            <v>0</v>
          </cell>
        </row>
        <row r="826">
          <cell r="A826" t="str">
            <v>ID005400</v>
          </cell>
          <cell r="B826">
            <v>5810003623</v>
          </cell>
          <cell r="C826" t="str">
            <v>W39088</v>
          </cell>
          <cell r="D826">
            <v>5401</v>
          </cell>
          <cell r="E826">
            <v>9011</v>
          </cell>
          <cell r="F826">
            <v>38356</v>
          </cell>
          <cell r="G826" t="str">
            <v>IDR</v>
          </cell>
          <cell r="H826">
            <v>82711</v>
          </cell>
          <cell r="I826">
            <v>82711</v>
          </cell>
          <cell r="J826">
            <v>0</v>
          </cell>
        </row>
        <row r="827">
          <cell r="A827" t="str">
            <v>ID005400</v>
          </cell>
          <cell r="B827">
            <v>5810003623</v>
          </cell>
          <cell r="C827" t="str">
            <v>W39088</v>
          </cell>
          <cell r="D827">
            <v>5401</v>
          </cell>
          <cell r="E827">
            <v>9011</v>
          </cell>
          <cell r="F827">
            <v>38356</v>
          </cell>
          <cell r="G827" t="str">
            <v>IDR</v>
          </cell>
          <cell r="H827">
            <v>923780</v>
          </cell>
          <cell r="I827">
            <v>923780</v>
          </cell>
          <cell r="J827">
            <v>0</v>
          </cell>
        </row>
        <row r="828">
          <cell r="A828" t="str">
            <v>ID005400</v>
          </cell>
          <cell r="B828">
            <v>5810003624</v>
          </cell>
          <cell r="C828" t="str">
            <v>W39088</v>
          </cell>
          <cell r="D828">
            <v>5401</v>
          </cell>
          <cell r="E828">
            <v>9011</v>
          </cell>
          <cell r="F828">
            <v>38356</v>
          </cell>
          <cell r="G828" t="str">
            <v>IDR</v>
          </cell>
          <cell r="H828">
            <v>82711</v>
          </cell>
          <cell r="I828">
            <v>82711</v>
          </cell>
          <cell r="J828">
            <v>0</v>
          </cell>
        </row>
        <row r="829">
          <cell r="A829" t="str">
            <v>ID005400</v>
          </cell>
          <cell r="B829">
            <v>5810003624</v>
          </cell>
          <cell r="C829" t="str">
            <v>W39088</v>
          </cell>
          <cell r="D829">
            <v>5401</v>
          </cell>
          <cell r="E829">
            <v>9011</v>
          </cell>
          <cell r="F829">
            <v>38356</v>
          </cell>
          <cell r="G829" t="str">
            <v>IDR</v>
          </cell>
          <cell r="H829">
            <v>923780</v>
          </cell>
          <cell r="I829">
            <v>923780</v>
          </cell>
          <cell r="J829">
            <v>0</v>
          </cell>
        </row>
        <row r="830">
          <cell r="A830" t="str">
            <v>ID005400</v>
          </cell>
          <cell r="B830">
            <v>5810003625</v>
          </cell>
          <cell r="C830" t="str">
            <v>W39088</v>
          </cell>
          <cell r="D830">
            <v>5401</v>
          </cell>
          <cell r="E830">
            <v>9011</v>
          </cell>
          <cell r="F830">
            <v>38356</v>
          </cell>
          <cell r="G830" t="str">
            <v>IDR</v>
          </cell>
          <cell r="H830">
            <v>82711</v>
          </cell>
          <cell r="I830">
            <v>82711</v>
          </cell>
          <cell r="J830">
            <v>0</v>
          </cell>
        </row>
        <row r="831">
          <cell r="A831" t="str">
            <v>ID005400</v>
          </cell>
          <cell r="B831">
            <v>5810003625</v>
          </cell>
          <cell r="C831" t="str">
            <v>W39088</v>
          </cell>
          <cell r="D831">
            <v>5401</v>
          </cell>
          <cell r="E831">
            <v>9011</v>
          </cell>
          <cell r="F831">
            <v>38356</v>
          </cell>
          <cell r="G831" t="str">
            <v>IDR</v>
          </cell>
          <cell r="H831">
            <v>923780</v>
          </cell>
          <cell r="I831">
            <v>923780</v>
          </cell>
          <cell r="J831">
            <v>0</v>
          </cell>
        </row>
        <row r="832">
          <cell r="A832" t="str">
            <v>ID005400</v>
          </cell>
          <cell r="B832">
            <v>5810003626</v>
          </cell>
          <cell r="C832" t="str">
            <v>W39088</v>
          </cell>
          <cell r="D832">
            <v>5401</v>
          </cell>
          <cell r="E832">
            <v>9011</v>
          </cell>
          <cell r="F832">
            <v>38356</v>
          </cell>
          <cell r="G832" t="str">
            <v>IDR</v>
          </cell>
          <cell r="H832">
            <v>82711</v>
          </cell>
          <cell r="I832">
            <v>82711</v>
          </cell>
          <cell r="J832">
            <v>0</v>
          </cell>
        </row>
        <row r="833">
          <cell r="A833" t="str">
            <v>ID005400</v>
          </cell>
          <cell r="B833">
            <v>5810003626</v>
          </cell>
          <cell r="C833" t="str">
            <v>W39088</v>
          </cell>
          <cell r="D833">
            <v>5401</v>
          </cell>
          <cell r="E833">
            <v>9011</v>
          </cell>
          <cell r="F833">
            <v>38356</v>
          </cell>
          <cell r="G833" t="str">
            <v>IDR</v>
          </cell>
          <cell r="H833">
            <v>923780</v>
          </cell>
          <cell r="I833">
            <v>923780</v>
          </cell>
          <cell r="J833">
            <v>0</v>
          </cell>
        </row>
        <row r="834">
          <cell r="A834" t="str">
            <v>ID005400</v>
          </cell>
          <cell r="B834">
            <v>5810003627</v>
          </cell>
          <cell r="C834" t="str">
            <v>W39088</v>
          </cell>
          <cell r="D834">
            <v>5401</v>
          </cell>
          <cell r="E834">
            <v>9011</v>
          </cell>
          <cell r="F834">
            <v>38356</v>
          </cell>
          <cell r="G834" t="str">
            <v>IDR</v>
          </cell>
          <cell r="H834">
            <v>82711</v>
          </cell>
          <cell r="I834">
            <v>82711</v>
          </cell>
          <cell r="J834">
            <v>0</v>
          </cell>
        </row>
        <row r="835">
          <cell r="A835" t="str">
            <v>ID005400</v>
          </cell>
          <cell r="B835">
            <v>5810003627</v>
          </cell>
          <cell r="C835" t="str">
            <v>W39088</v>
          </cell>
          <cell r="D835">
            <v>5401</v>
          </cell>
          <cell r="E835">
            <v>9011</v>
          </cell>
          <cell r="F835">
            <v>38356</v>
          </cell>
          <cell r="G835" t="str">
            <v>IDR</v>
          </cell>
          <cell r="H835">
            <v>923780</v>
          </cell>
          <cell r="I835">
            <v>923780</v>
          </cell>
          <cell r="J835">
            <v>0</v>
          </cell>
        </row>
        <row r="836">
          <cell r="A836" t="str">
            <v>ID005400</v>
          </cell>
          <cell r="B836">
            <v>5810003628</v>
          </cell>
          <cell r="C836" t="str">
            <v>W39088</v>
          </cell>
          <cell r="D836">
            <v>5401</v>
          </cell>
          <cell r="E836">
            <v>9011</v>
          </cell>
          <cell r="F836">
            <v>38356</v>
          </cell>
          <cell r="G836" t="str">
            <v>IDR</v>
          </cell>
          <cell r="H836">
            <v>82711</v>
          </cell>
          <cell r="I836">
            <v>82711</v>
          </cell>
          <cell r="J836">
            <v>0</v>
          </cell>
        </row>
        <row r="837">
          <cell r="A837" t="str">
            <v>ID005400</v>
          </cell>
          <cell r="B837">
            <v>5810003628</v>
          </cell>
          <cell r="C837" t="str">
            <v>W39088</v>
          </cell>
          <cell r="D837">
            <v>5401</v>
          </cell>
          <cell r="E837">
            <v>9011</v>
          </cell>
          <cell r="F837">
            <v>38356</v>
          </cell>
          <cell r="G837" t="str">
            <v>IDR</v>
          </cell>
          <cell r="H837">
            <v>923780</v>
          </cell>
          <cell r="I837">
            <v>923780</v>
          </cell>
          <cell r="J837">
            <v>0</v>
          </cell>
        </row>
        <row r="838">
          <cell r="A838" t="str">
            <v>ID005400</v>
          </cell>
          <cell r="B838">
            <v>5810003629</v>
          </cell>
          <cell r="C838" t="str">
            <v>W39088</v>
          </cell>
          <cell r="D838">
            <v>5401</v>
          </cell>
          <cell r="E838">
            <v>9011</v>
          </cell>
          <cell r="F838">
            <v>38356</v>
          </cell>
          <cell r="G838" t="str">
            <v>IDR</v>
          </cell>
          <cell r="H838">
            <v>82711</v>
          </cell>
          <cell r="I838">
            <v>82711</v>
          </cell>
          <cell r="J838">
            <v>0</v>
          </cell>
        </row>
        <row r="839">
          <cell r="A839" t="str">
            <v>ID005400</v>
          </cell>
          <cell r="B839">
            <v>5810003629</v>
          </cell>
          <cell r="C839" t="str">
            <v>W39088</v>
          </cell>
          <cell r="D839">
            <v>5401</v>
          </cell>
          <cell r="E839">
            <v>9011</v>
          </cell>
          <cell r="F839">
            <v>38356</v>
          </cell>
          <cell r="G839" t="str">
            <v>IDR</v>
          </cell>
          <cell r="H839">
            <v>923780</v>
          </cell>
          <cell r="I839">
            <v>923780</v>
          </cell>
          <cell r="J839">
            <v>0</v>
          </cell>
        </row>
        <row r="840">
          <cell r="A840" t="str">
            <v>ID005400</v>
          </cell>
          <cell r="B840">
            <v>5810003630</v>
          </cell>
          <cell r="C840" t="str">
            <v>W39088</v>
          </cell>
          <cell r="D840">
            <v>5401</v>
          </cell>
          <cell r="E840">
            <v>9011</v>
          </cell>
          <cell r="F840">
            <v>38356</v>
          </cell>
          <cell r="G840" t="str">
            <v>IDR</v>
          </cell>
          <cell r="H840">
            <v>82711</v>
          </cell>
          <cell r="I840">
            <v>82711</v>
          </cell>
          <cell r="J840">
            <v>0</v>
          </cell>
        </row>
        <row r="841">
          <cell r="A841" t="str">
            <v>ID005400</v>
          </cell>
          <cell r="B841">
            <v>5810003630</v>
          </cell>
          <cell r="C841" t="str">
            <v>W39088</v>
          </cell>
          <cell r="D841">
            <v>5401</v>
          </cell>
          <cell r="E841">
            <v>9011</v>
          </cell>
          <cell r="F841">
            <v>38356</v>
          </cell>
          <cell r="G841" t="str">
            <v>IDR</v>
          </cell>
          <cell r="H841">
            <v>923780</v>
          </cell>
          <cell r="I841">
            <v>923780</v>
          </cell>
          <cell r="J841">
            <v>0</v>
          </cell>
        </row>
        <row r="842">
          <cell r="A842" t="str">
            <v>ID005400</v>
          </cell>
          <cell r="B842">
            <v>5810003631</v>
          </cell>
          <cell r="C842" t="str">
            <v>W39088</v>
          </cell>
          <cell r="D842">
            <v>5401</v>
          </cell>
          <cell r="E842">
            <v>9011</v>
          </cell>
          <cell r="F842">
            <v>38356</v>
          </cell>
          <cell r="G842" t="str">
            <v>IDR</v>
          </cell>
          <cell r="H842">
            <v>82711</v>
          </cell>
          <cell r="I842">
            <v>82711</v>
          </cell>
          <cell r="J842">
            <v>0</v>
          </cell>
        </row>
        <row r="843">
          <cell r="A843" t="str">
            <v>ID005400</v>
          </cell>
          <cell r="B843">
            <v>5810003631</v>
          </cell>
          <cell r="C843" t="str">
            <v>W39088</v>
          </cell>
          <cell r="D843">
            <v>5401</v>
          </cell>
          <cell r="E843">
            <v>9011</v>
          </cell>
          <cell r="F843">
            <v>38356</v>
          </cell>
          <cell r="G843" t="str">
            <v>IDR</v>
          </cell>
          <cell r="H843">
            <v>923780</v>
          </cell>
          <cell r="I843">
            <v>923780</v>
          </cell>
          <cell r="J843">
            <v>0</v>
          </cell>
        </row>
        <row r="844">
          <cell r="A844" t="str">
            <v>ID005400</v>
          </cell>
          <cell r="B844">
            <v>5810003632</v>
          </cell>
          <cell r="C844" t="str">
            <v>W39088</v>
          </cell>
          <cell r="D844">
            <v>5401</v>
          </cell>
          <cell r="E844">
            <v>9011</v>
          </cell>
          <cell r="F844">
            <v>38356</v>
          </cell>
          <cell r="G844" t="str">
            <v>IDR</v>
          </cell>
          <cell r="H844">
            <v>82711</v>
          </cell>
          <cell r="I844">
            <v>82711</v>
          </cell>
          <cell r="J844">
            <v>0</v>
          </cell>
        </row>
        <row r="845">
          <cell r="A845" t="str">
            <v>ID005400</v>
          </cell>
          <cell r="B845">
            <v>5810003632</v>
          </cell>
          <cell r="C845" t="str">
            <v>W39088</v>
          </cell>
          <cell r="D845">
            <v>5401</v>
          </cell>
          <cell r="E845">
            <v>9011</v>
          </cell>
          <cell r="F845">
            <v>38356</v>
          </cell>
          <cell r="G845" t="str">
            <v>IDR</v>
          </cell>
          <cell r="H845">
            <v>923780</v>
          </cell>
          <cell r="I845">
            <v>923780</v>
          </cell>
          <cell r="J845">
            <v>0</v>
          </cell>
        </row>
        <row r="846">
          <cell r="A846" t="str">
            <v>ID005400</v>
          </cell>
          <cell r="B846">
            <v>5810003633</v>
          </cell>
          <cell r="C846" t="str">
            <v>W39088</v>
          </cell>
          <cell r="D846">
            <v>5401</v>
          </cell>
          <cell r="E846">
            <v>9011</v>
          </cell>
          <cell r="F846">
            <v>38356</v>
          </cell>
          <cell r="G846" t="str">
            <v>IDR</v>
          </cell>
          <cell r="H846">
            <v>82711</v>
          </cell>
          <cell r="I846">
            <v>82711</v>
          </cell>
          <cell r="J846">
            <v>0</v>
          </cell>
        </row>
        <row r="847">
          <cell r="A847" t="str">
            <v>ID005400</v>
          </cell>
          <cell r="B847">
            <v>5810003633</v>
          </cell>
          <cell r="C847" t="str">
            <v>W39088</v>
          </cell>
          <cell r="D847">
            <v>5401</v>
          </cell>
          <cell r="E847">
            <v>9011</v>
          </cell>
          <cell r="F847">
            <v>38356</v>
          </cell>
          <cell r="G847" t="str">
            <v>IDR</v>
          </cell>
          <cell r="H847">
            <v>923780</v>
          </cell>
          <cell r="I847">
            <v>923780</v>
          </cell>
          <cell r="J847">
            <v>0</v>
          </cell>
        </row>
        <row r="848">
          <cell r="A848" t="str">
            <v>ID005400</v>
          </cell>
          <cell r="B848">
            <v>5810003634</v>
          </cell>
          <cell r="C848" t="str">
            <v>W39088</v>
          </cell>
          <cell r="D848">
            <v>5401</v>
          </cell>
          <cell r="E848">
            <v>9011</v>
          </cell>
          <cell r="F848">
            <v>38356</v>
          </cell>
          <cell r="G848" t="str">
            <v>IDR</v>
          </cell>
          <cell r="H848">
            <v>82711</v>
          </cell>
          <cell r="I848">
            <v>82711</v>
          </cell>
          <cell r="J848">
            <v>0</v>
          </cell>
        </row>
        <row r="849">
          <cell r="A849" t="str">
            <v>ID005400</v>
          </cell>
          <cell r="B849">
            <v>5810003634</v>
          </cell>
          <cell r="C849" t="str">
            <v>W39088</v>
          </cell>
          <cell r="D849">
            <v>5401</v>
          </cell>
          <cell r="E849">
            <v>9011</v>
          </cell>
          <cell r="F849">
            <v>38356</v>
          </cell>
          <cell r="G849" t="str">
            <v>IDR</v>
          </cell>
          <cell r="H849">
            <v>923780</v>
          </cell>
          <cell r="I849">
            <v>923780</v>
          </cell>
          <cell r="J849">
            <v>0</v>
          </cell>
        </row>
        <row r="850">
          <cell r="A850" t="str">
            <v>ID005400</v>
          </cell>
          <cell r="B850">
            <v>5810003635</v>
          </cell>
          <cell r="C850" t="str">
            <v>W39088</v>
          </cell>
          <cell r="D850">
            <v>5401</v>
          </cell>
          <cell r="E850">
            <v>9011</v>
          </cell>
          <cell r="F850">
            <v>38356</v>
          </cell>
          <cell r="G850" t="str">
            <v>IDR</v>
          </cell>
          <cell r="H850">
            <v>82711</v>
          </cell>
          <cell r="I850">
            <v>82711</v>
          </cell>
          <cell r="J850">
            <v>0</v>
          </cell>
        </row>
        <row r="851">
          <cell r="A851" t="str">
            <v>ID005400</v>
          </cell>
          <cell r="B851">
            <v>5810003635</v>
          </cell>
          <cell r="C851" t="str">
            <v>W39088</v>
          </cell>
          <cell r="D851">
            <v>5401</v>
          </cell>
          <cell r="E851">
            <v>9011</v>
          </cell>
          <cell r="F851">
            <v>38356</v>
          </cell>
          <cell r="G851" t="str">
            <v>IDR</v>
          </cell>
          <cell r="H851">
            <v>923780</v>
          </cell>
          <cell r="I851">
            <v>923780</v>
          </cell>
          <cell r="J851">
            <v>0</v>
          </cell>
        </row>
        <row r="852">
          <cell r="A852" t="str">
            <v>ID005400</v>
          </cell>
          <cell r="B852">
            <v>5810003636</v>
          </cell>
          <cell r="C852" t="str">
            <v>W39088</v>
          </cell>
          <cell r="D852">
            <v>5401</v>
          </cell>
          <cell r="E852">
            <v>9011</v>
          </cell>
          <cell r="F852">
            <v>38356</v>
          </cell>
          <cell r="G852" t="str">
            <v>IDR</v>
          </cell>
          <cell r="H852">
            <v>82711</v>
          </cell>
          <cell r="I852">
            <v>82711</v>
          </cell>
          <cell r="J852">
            <v>0</v>
          </cell>
        </row>
        <row r="853">
          <cell r="A853" t="str">
            <v>ID005400</v>
          </cell>
          <cell r="B853">
            <v>5810003636</v>
          </cell>
          <cell r="C853" t="str">
            <v>W39088</v>
          </cell>
          <cell r="D853">
            <v>5401</v>
          </cell>
          <cell r="E853">
            <v>9011</v>
          </cell>
          <cell r="F853">
            <v>38356</v>
          </cell>
          <cell r="G853" t="str">
            <v>IDR</v>
          </cell>
          <cell r="H853">
            <v>923780</v>
          </cell>
          <cell r="I853">
            <v>923780</v>
          </cell>
          <cell r="J853">
            <v>0</v>
          </cell>
        </row>
        <row r="854">
          <cell r="A854" t="str">
            <v>ID005400</v>
          </cell>
          <cell r="B854">
            <v>5810003637</v>
          </cell>
          <cell r="C854" t="str">
            <v>W39088</v>
          </cell>
          <cell r="D854">
            <v>5401</v>
          </cell>
          <cell r="E854">
            <v>9011</v>
          </cell>
          <cell r="F854">
            <v>38356</v>
          </cell>
          <cell r="G854" t="str">
            <v>IDR</v>
          </cell>
          <cell r="H854">
            <v>82711</v>
          </cell>
          <cell r="I854">
            <v>82711</v>
          </cell>
          <cell r="J854">
            <v>0</v>
          </cell>
        </row>
        <row r="855">
          <cell r="A855" t="str">
            <v>ID005400</v>
          </cell>
          <cell r="B855">
            <v>5810003637</v>
          </cell>
          <cell r="C855" t="str">
            <v>W39088</v>
          </cell>
          <cell r="D855">
            <v>5401</v>
          </cell>
          <cell r="E855">
            <v>9011</v>
          </cell>
          <cell r="F855">
            <v>38356</v>
          </cell>
          <cell r="G855" t="str">
            <v>IDR</v>
          </cell>
          <cell r="H855">
            <v>923780</v>
          </cell>
          <cell r="I855">
            <v>923780</v>
          </cell>
          <cell r="J855">
            <v>0</v>
          </cell>
        </row>
        <row r="856">
          <cell r="A856" t="str">
            <v>ID005400</v>
          </cell>
          <cell r="B856">
            <v>5810003638</v>
          </cell>
          <cell r="C856" t="str">
            <v>W39088</v>
          </cell>
          <cell r="D856">
            <v>5401</v>
          </cell>
          <cell r="E856">
            <v>9011</v>
          </cell>
          <cell r="F856">
            <v>38356</v>
          </cell>
          <cell r="G856" t="str">
            <v>IDR</v>
          </cell>
          <cell r="H856">
            <v>82711</v>
          </cell>
          <cell r="I856">
            <v>82711</v>
          </cell>
          <cell r="J856">
            <v>0</v>
          </cell>
        </row>
        <row r="857">
          <cell r="A857" t="str">
            <v>ID005400</v>
          </cell>
          <cell r="B857">
            <v>5810003638</v>
          </cell>
          <cell r="C857" t="str">
            <v>W39088</v>
          </cell>
          <cell r="D857">
            <v>5401</v>
          </cell>
          <cell r="E857">
            <v>9011</v>
          </cell>
          <cell r="F857">
            <v>38356</v>
          </cell>
          <cell r="G857" t="str">
            <v>IDR</v>
          </cell>
          <cell r="H857">
            <v>923780</v>
          </cell>
          <cell r="I857">
            <v>923780</v>
          </cell>
          <cell r="J857">
            <v>0</v>
          </cell>
        </row>
        <row r="858">
          <cell r="A858" t="str">
            <v>ID005400</v>
          </cell>
          <cell r="B858">
            <v>5810003639</v>
          </cell>
          <cell r="C858" t="str">
            <v>W39088</v>
          </cell>
          <cell r="D858">
            <v>5401</v>
          </cell>
          <cell r="E858">
            <v>9011</v>
          </cell>
          <cell r="F858">
            <v>38356</v>
          </cell>
          <cell r="G858" t="str">
            <v>IDR</v>
          </cell>
          <cell r="H858">
            <v>82711</v>
          </cell>
          <cell r="I858">
            <v>82711</v>
          </cell>
          <cell r="J858">
            <v>0</v>
          </cell>
        </row>
        <row r="859">
          <cell r="A859" t="str">
            <v>ID005400</v>
          </cell>
          <cell r="B859">
            <v>5810003639</v>
          </cell>
          <cell r="C859" t="str">
            <v>W39088</v>
          </cell>
          <cell r="D859">
            <v>5401</v>
          </cell>
          <cell r="E859">
            <v>9011</v>
          </cell>
          <cell r="F859">
            <v>38356</v>
          </cell>
          <cell r="G859" t="str">
            <v>IDR</v>
          </cell>
          <cell r="H859">
            <v>923780</v>
          </cell>
          <cell r="I859">
            <v>923780</v>
          </cell>
          <cell r="J859">
            <v>0</v>
          </cell>
        </row>
        <row r="860">
          <cell r="A860" t="str">
            <v>ID005400</v>
          </cell>
          <cell r="B860">
            <v>5810003640</v>
          </cell>
          <cell r="C860" t="str">
            <v>W39088</v>
          </cell>
          <cell r="D860">
            <v>5401</v>
          </cell>
          <cell r="E860">
            <v>9011</v>
          </cell>
          <cell r="F860">
            <v>38356</v>
          </cell>
          <cell r="G860" t="str">
            <v>IDR</v>
          </cell>
          <cell r="H860">
            <v>82711</v>
          </cell>
          <cell r="I860">
            <v>82711</v>
          </cell>
          <cell r="J860">
            <v>0</v>
          </cell>
        </row>
        <row r="861">
          <cell r="A861" t="str">
            <v>ID005400</v>
          </cell>
          <cell r="B861">
            <v>5810003640</v>
          </cell>
          <cell r="C861" t="str">
            <v>W39088</v>
          </cell>
          <cell r="D861">
            <v>5401</v>
          </cell>
          <cell r="E861">
            <v>9011</v>
          </cell>
          <cell r="F861">
            <v>38356</v>
          </cell>
          <cell r="G861" t="str">
            <v>IDR</v>
          </cell>
          <cell r="H861">
            <v>923780</v>
          </cell>
          <cell r="I861">
            <v>923780</v>
          </cell>
          <cell r="J861">
            <v>0</v>
          </cell>
        </row>
        <row r="862">
          <cell r="A862" t="str">
            <v>ID005400</v>
          </cell>
          <cell r="B862">
            <v>5810003641</v>
          </cell>
          <cell r="C862" t="str">
            <v>W39088</v>
          </cell>
          <cell r="D862">
            <v>5401</v>
          </cell>
          <cell r="E862">
            <v>9011</v>
          </cell>
          <cell r="F862">
            <v>38356</v>
          </cell>
          <cell r="G862" t="str">
            <v>IDR</v>
          </cell>
          <cell r="H862">
            <v>82711</v>
          </cell>
          <cell r="I862">
            <v>82711</v>
          </cell>
          <cell r="J862">
            <v>0</v>
          </cell>
        </row>
        <row r="863">
          <cell r="A863" t="str">
            <v>ID005400</v>
          </cell>
          <cell r="B863">
            <v>5810003641</v>
          </cell>
          <cell r="C863" t="str">
            <v>W39088</v>
          </cell>
          <cell r="D863">
            <v>5401</v>
          </cell>
          <cell r="E863">
            <v>9011</v>
          </cell>
          <cell r="F863">
            <v>38356</v>
          </cell>
          <cell r="G863" t="str">
            <v>IDR</v>
          </cell>
          <cell r="H863">
            <v>923780</v>
          </cell>
          <cell r="I863">
            <v>923780</v>
          </cell>
          <cell r="J863">
            <v>0</v>
          </cell>
        </row>
        <row r="864">
          <cell r="A864" t="str">
            <v>ID005400</v>
          </cell>
          <cell r="B864">
            <v>5810003642</v>
          </cell>
          <cell r="C864" t="str">
            <v>W39088</v>
          </cell>
          <cell r="D864">
            <v>5401</v>
          </cell>
          <cell r="E864">
            <v>9011</v>
          </cell>
          <cell r="F864">
            <v>38356</v>
          </cell>
          <cell r="G864" t="str">
            <v>IDR</v>
          </cell>
          <cell r="H864">
            <v>82711</v>
          </cell>
          <cell r="I864">
            <v>82711</v>
          </cell>
          <cell r="J864">
            <v>0</v>
          </cell>
        </row>
        <row r="865">
          <cell r="A865" t="str">
            <v>ID005400</v>
          </cell>
          <cell r="B865">
            <v>5810003642</v>
          </cell>
          <cell r="C865" t="str">
            <v>W39088</v>
          </cell>
          <cell r="D865">
            <v>5401</v>
          </cell>
          <cell r="E865">
            <v>9011</v>
          </cell>
          <cell r="F865">
            <v>38356</v>
          </cell>
          <cell r="G865" t="str">
            <v>IDR</v>
          </cell>
          <cell r="H865">
            <v>923780</v>
          </cell>
          <cell r="I865">
            <v>923780</v>
          </cell>
          <cell r="J865">
            <v>0</v>
          </cell>
        </row>
        <row r="866">
          <cell r="A866" t="str">
            <v>ID005400</v>
          </cell>
          <cell r="B866">
            <v>5810003643</v>
          </cell>
          <cell r="C866" t="str">
            <v>W39088</v>
          </cell>
          <cell r="D866">
            <v>5401</v>
          </cell>
          <cell r="E866">
            <v>9011</v>
          </cell>
          <cell r="F866">
            <v>38356</v>
          </cell>
          <cell r="G866" t="str">
            <v>IDR</v>
          </cell>
          <cell r="H866">
            <v>82711</v>
          </cell>
          <cell r="I866">
            <v>82711</v>
          </cell>
          <cell r="J866">
            <v>0</v>
          </cell>
        </row>
        <row r="867">
          <cell r="A867" t="str">
            <v>ID005400</v>
          </cell>
          <cell r="B867">
            <v>5810003643</v>
          </cell>
          <cell r="C867" t="str">
            <v>W39088</v>
          </cell>
          <cell r="D867">
            <v>5401</v>
          </cell>
          <cell r="E867">
            <v>9011</v>
          </cell>
          <cell r="F867">
            <v>38356</v>
          </cell>
          <cell r="G867" t="str">
            <v>IDR</v>
          </cell>
          <cell r="H867">
            <v>923780</v>
          </cell>
          <cell r="I867">
            <v>923780</v>
          </cell>
          <cell r="J867">
            <v>0</v>
          </cell>
        </row>
        <row r="868">
          <cell r="A868" t="str">
            <v>ID005400</v>
          </cell>
          <cell r="B868">
            <v>5810003644</v>
          </cell>
          <cell r="C868" t="str">
            <v>W39088</v>
          </cell>
          <cell r="D868">
            <v>5401</v>
          </cell>
          <cell r="E868">
            <v>9011</v>
          </cell>
          <cell r="F868">
            <v>38356</v>
          </cell>
          <cell r="G868" t="str">
            <v>IDR</v>
          </cell>
          <cell r="H868">
            <v>82711</v>
          </cell>
          <cell r="I868">
            <v>82711</v>
          </cell>
          <cell r="J868">
            <v>0</v>
          </cell>
        </row>
        <row r="869">
          <cell r="A869" t="str">
            <v>ID005400</v>
          </cell>
          <cell r="B869">
            <v>5810003644</v>
          </cell>
          <cell r="C869" t="str">
            <v>W39088</v>
          </cell>
          <cell r="D869">
            <v>5401</v>
          </cell>
          <cell r="E869">
            <v>9011</v>
          </cell>
          <cell r="F869">
            <v>38356</v>
          </cell>
          <cell r="G869" t="str">
            <v>IDR</v>
          </cell>
          <cell r="H869">
            <v>923780</v>
          </cell>
          <cell r="I869">
            <v>923780</v>
          </cell>
          <cell r="J869">
            <v>0</v>
          </cell>
        </row>
        <row r="870">
          <cell r="A870" t="str">
            <v>ID005400</v>
          </cell>
          <cell r="B870">
            <v>5810003645</v>
          </cell>
          <cell r="C870" t="str">
            <v>W39088</v>
          </cell>
          <cell r="D870">
            <v>5401</v>
          </cell>
          <cell r="E870">
            <v>9011</v>
          </cell>
          <cell r="F870">
            <v>38356</v>
          </cell>
          <cell r="G870" t="str">
            <v>IDR</v>
          </cell>
          <cell r="H870">
            <v>82711</v>
          </cell>
          <cell r="I870">
            <v>82711</v>
          </cell>
          <cell r="J870">
            <v>0</v>
          </cell>
        </row>
        <row r="871">
          <cell r="A871" t="str">
            <v>ID005400</v>
          </cell>
          <cell r="B871">
            <v>5810003645</v>
          </cell>
          <cell r="C871" t="str">
            <v>W39088</v>
          </cell>
          <cell r="D871">
            <v>5401</v>
          </cell>
          <cell r="E871">
            <v>9011</v>
          </cell>
          <cell r="F871">
            <v>38356</v>
          </cell>
          <cell r="G871" t="str">
            <v>IDR</v>
          </cell>
          <cell r="H871">
            <v>923780</v>
          </cell>
          <cell r="I871">
            <v>923780</v>
          </cell>
          <cell r="J871">
            <v>0</v>
          </cell>
        </row>
        <row r="872">
          <cell r="A872" t="str">
            <v>ID005400</v>
          </cell>
          <cell r="B872">
            <v>5810003646</v>
          </cell>
          <cell r="C872" t="str">
            <v>W39088</v>
          </cell>
          <cell r="D872">
            <v>5401</v>
          </cell>
          <cell r="E872">
            <v>9011</v>
          </cell>
          <cell r="F872">
            <v>38356</v>
          </cell>
          <cell r="G872" t="str">
            <v>IDR</v>
          </cell>
          <cell r="H872">
            <v>82711</v>
          </cell>
          <cell r="I872">
            <v>82711</v>
          </cell>
          <cell r="J872">
            <v>0</v>
          </cell>
        </row>
        <row r="873">
          <cell r="A873" t="str">
            <v>ID005400</v>
          </cell>
          <cell r="B873">
            <v>5810003646</v>
          </cell>
          <cell r="C873" t="str">
            <v>W39088</v>
          </cell>
          <cell r="D873">
            <v>5401</v>
          </cell>
          <cell r="E873">
            <v>9011</v>
          </cell>
          <cell r="F873">
            <v>38356</v>
          </cell>
          <cell r="G873" t="str">
            <v>IDR</v>
          </cell>
          <cell r="H873">
            <v>923780</v>
          </cell>
          <cell r="I873">
            <v>923780</v>
          </cell>
          <cell r="J873">
            <v>0</v>
          </cell>
        </row>
        <row r="874">
          <cell r="A874" t="str">
            <v>ID005400</v>
          </cell>
          <cell r="B874">
            <v>5810003647</v>
          </cell>
          <cell r="C874" t="str">
            <v>W39088</v>
          </cell>
          <cell r="D874">
            <v>5401</v>
          </cell>
          <cell r="E874">
            <v>9011</v>
          </cell>
          <cell r="F874">
            <v>38356</v>
          </cell>
          <cell r="G874" t="str">
            <v>IDR</v>
          </cell>
          <cell r="H874">
            <v>82711</v>
          </cell>
          <cell r="I874">
            <v>82711</v>
          </cell>
          <cell r="J874">
            <v>0</v>
          </cell>
        </row>
        <row r="875">
          <cell r="A875" t="str">
            <v>ID005400</v>
          </cell>
          <cell r="B875">
            <v>5810003647</v>
          </cell>
          <cell r="C875" t="str">
            <v>W39088</v>
          </cell>
          <cell r="D875">
            <v>5401</v>
          </cell>
          <cell r="E875">
            <v>9011</v>
          </cell>
          <cell r="F875">
            <v>38356</v>
          </cell>
          <cell r="G875" t="str">
            <v>IDR</v>
          </cell>
          <cell r="H875">
            <v>923780</v>
          </cell>
          <cell r="I875">
            <v>923780</v>
          </cell>
          <cell r="J875">
            <v>0</v>
          </cell>
        </row>
        <row r="876">
          <cell r="A876" t="str">
            <v>ID005400</v>
          </cell>
          <cell r="B876">
            <v>5810003648</v>
          </cell>
          <cell r="C876" t="str">
            <v>W39088</v>
          </cell>
          <cell r="D876">
            <v>5401</v>
          </cell>
          <cell r="E876">
            <v>9011</v>
          </cell>
          <cell r="F876">
            <v>38356</v>
          </cell>
          <cell r="G876" t="str">
            <v>IDR</v>
          </cell>
          <cell r="H876">
            <v>82711</v>
          </cell>
          <cell r="I876">
            <v>82711</v>
          </cell>
          <cell r="J876">
            <v>0</v>
          </cell>
        </row>
        <row r="877">
          <cell r="A877" t="str">
            <v>ID005400</v>
          </cell>
          <cell r="B877">
            <v>5810003648</v>
          </cell>
          <cell r="C877" t="str">
            <v>W39088</v>
          </cell>
          <cell r="D877">
            <v>5401</v>
          </cell>
          <cell r="E877">
            <v>9011</v>
          </cell>
          <cell r="F877">
            <v>38356</v>
          </cell>
          <cell r="G877" t="str">
            <v>IDR</v>
          </cell>
          <cell r="H877">
            <v>923780</v>
          </cell>
          <cell r="I877">
            <v>923780</v>
          </cell>
          <cell r="J877">
            <v>0</v>
          </cell>
        </row>
        <row r="878">
          <cell r="A878" t="str">
            <v>ID005400</v>
          </cell>
          <cell r="B878">
            <v>5810003649</v>
          </cell>
          <cell r="C878" t="str">
            <v>W39088</v>
          </cell>
          <cell r="D878">
            <v>5401</v>
          </cell>
          <cell r="E878">
            <v>9011</v>
          </cell>
          <cell r="F878">
            <v>38356</v>
          </cell>
          <cell r="G878" t="str">
            <v>IDR</v>
          </cell>
          <cell r="H878">
            <v>82711</v>
          </cell>
          <cell r="I878">
            <v>82711</v>
          </cell>
          <cell r="J878">
            <v>0</v>
          </cell>
        </row>
        <row r="879">
          <cell r="A879" t="str">
            <v>ID005400</v>
          </cell>
          <cell r="B879">
            <v>5810003649</v>
          </cell>
          <cell r="C879" t="str">
            <v>W39088</v>
          </cell>
          <cell r="D879">
            <v>5401</v>
          </cell>
          <cell r="E879">
            <v>9011</v>
          </cell>
          <cell r="F879">
            <v>38356</v>
          </cell>
          <cell r="G879" t="str">
            <v>IDR</v>
          </cell>
          <cell r="H879">
            <v>923780</v>
          </cell>
          <cell r="I879">
            <v>923780</v>
          </cell>
          <cell r="J879">
            <v>0</v>
          </cell>
        </row>
        <row r="880">
          <cell r="A880" t="str">
            <v>ID005400</v>
          </cell>
          <cell r="B880">
            <v>5810003650</v>
          </cell>
          <cell r="C880" t="str">
            <v>W39088</v>
          </cell>
          <cell r="D880">
            <v>5401</v>
          </cell>
          <cell r="E880">
            <v>9011</v>
          </cell>
          <cell r="F880">
            <v>38356</v>
          </cell>
          <cell r="G880" t="str">
            <v>IDR</v>
          </cell>
          <cell r="H880">
            <v>82711</v>
          </cell>
          <cell r="I880">
            <v>82711</v>
          </cell>
          <cell r="J880">
            <v>0</v>
          </cell>
        </row>
        <row r="881">
          <cell r="A881" t="str">
            <v>ID005400</v>
          </cell>
          <cell r="B881">
            <v>5810003650</v>
          </cell>
          <cell r="C881" t="str">
            <v>W39088</v>
          </cell>
          <cell r="D881">
            <v>5401</v>
          </cell>
          <cell r="E881">
            <v>9011</v>
          </cell>
          <cell r="F881">
            <v>38356</v>
          </cell>
          <cell r="G881" t="str">
            <v>IDR</v>
          </cell>
          <cell r="H881">
            <v>923780</v>
          </cell>
          <cell r="I881">
            <v>923780</v>
          </cell>
          <cell r="J881">
            <v>0</v>
          </cell>
        </row>
        <row r="882">
          <cell r="A882" t="str">
            <v>ID005400</v>
          </cell>
          <cell r="B882">
            <v>5810003651</v>
          </cell>
          <cell r="C882" t="str">
            <v>W39088</v>
          </cell>
          <cell r="D882">
            <v>5401</v>
          </cell>
          <cell r="E882">
            <v>9011</v>
          </cell>
          <cell r="F882">
            <v>38356</v>
          </cell>
          <cell r="G882" t="str">
            <v>IDR</v>
          </cell>
          <cell r="H882">
            <v>82711</v>
          </cell>
          <cell r="I882">
            <v>82711</v>
          </cell>
          <cell r="J882">
            <v>0</v>
          </cell>
        </row>
        <row r="883">
          <cell r="A883" t="str">
            <v>ID005400</v>
          </cell>
          <cell r="B883">
            <v>5810003651</v>
          </cell>
          <cell r="C883" t="str">
            <v>W39088</v>
          </cell>
          <cell r="D883">
            <v>5401</v>
          </cell>
          <cell r="E883">
            <v>9011</v>
          </cell>
          <cell r="F883">
            <v>38356</v>
          </cell>
          <cell r="G883" t="str">
            <v>IDR</v>
          </cell>
          <cell r="H883">
            <v>923780</v>
          </cell>
          <cell r="I883">
            <v>923780</v>
          </cell>
          <cell r="J883">
            <v>0</v>
          </cell>
        </row>
        <row r="884">
          <cell r="A884" t="str">
            <v>ID005400</v>
          </cell>
          <cell r="B884">
            <v>5810003652</v>
          </cell>
          <cell r="C884" t="str">
            <v>W39088</v>
          </cell>
          <cell r="D884">
            <v>5401</v>
          </cell>
          <cell r="E884">
            <v>9011</v>
          </cell>
          <cell r="F884">
            <v>38356</v>
          </cell>
          <cell r="G884" t="str">
            <v>IDR</v>
          </cell>
          <cell r="H884">
            <v>82711</v>
          </cell>
          <cell r="I884">
            <v>82711</v>
          </cell>
          <cell r="J884">
            <v>0</v>
          </cell>
        </row>
        <row r="885">
          <cell r="A885" t="str">
            <v>ID005400</v>
          </cell>
          <cell r="B885">
            <v>5810003652</v>
          </cell>
          <cell r="C885" t="str">
            <v>W39088</v>
          </cell>
          <cell r="D885">
            <v>5401</v>
          </cell>
          <cell r="E885">
            <v>9011</v>
          </cell>
          <cell r="F885">
            <v>38356</v>
          </cell>
          <cell r="G885" t="str">
            <v>IDR</v>
          </cell>
          <cell r="H885">
            <v>923780</v>
          </cell>
          <cell r="I885">
            <v>923780</v>
          </cell>
          <cell r="J885">
            <v>0</v>
          </cell>
        </row>
        <row r="886">
          <cell r="A886" t="str">
            <v>ID005400</v>
          </cell>
          <cell r="B886">
            <v>5810003653</v>
          </cell>
          <cell r="C886" t="str">
            <v>W39088</v>
          </cell>
          <cell r="D886">
            <v>5401</v>
          </cell>
          <cell r="E886">
            <v>9011</v>
          </cell>
          <cell r="F886">
            <v>38356</v>
          </cell>
          <cell r="G886" t="str">
            <v>IDR</v>
          </cell>
          <cell r="H886">
            <v>82711</v>
          </cell>
          <cell r="I886">
            <v>82711</v>
          </cell>
          <cell r="J886">
            <v>0</v>
          </cell>
        </row>
        <row r="887">
          <cell r="A887" t="str">
            <v>ID005400</v>
          </cell>
          <cell r="B887">
            <v>5810003653</v>
          </cell>
          <cell r="C887" t="str">
            <v>W39088</v>
          </cell>
          <cell r="D887">
            <v>5401</v>
          </cell>
          <cell r="E887">
            <v>9011</v>
          </cell>
          <cell r="F887">
            <v>38356</v>
          </cell>
          <cell r="G887" t="str">
            <v>IDR</v>
          </cell>
          <cell r="H887">
            <v>923780</v>
          </cell>
          <cell r="I887">
            <v>923780</v>
          </cell>
          <cell r="J887">
            <v>0</v>
          </cell>
        </row>
        <row r="888">
          <cell r="A888" t="str">
            <v>ID005400</v>
          </cell>
          <cell r="B888">
            <v>5810003654</v>
          </cell>
          <cell r="C888" t="str">
            <v>W39088</v>
          </cell>
          <cell r="D888">
            <v>5401</v>
          </cell>
          <cell r="E888">
            <v>9011</v>
          </cell>
          <cell r="F888">
            <v>38356</v>
          </cell>
          <cell r="G888" t="str">
            <v>IDR</v>
          </cell>
          <cell r="H888">
            <v>82711</v>
          </cell>
          <cell r="I888">
            <v>82711</v>
          </cell>
          <cell r="J888">
            <v>0</v>
          </cell>
        </row>
        <row r="889">
          <cell r="A889" t="str">
            <v>ID005400</v>
          </cell>
          <cell r="B889">
            <v>5810003654</v>
          </cell>
          <cell r="C889" t="str">
            <v>W39088</v>
          </cell>
          <cell r="D889">
            <v>5401</v>
          </cell>
          <cell r="E889">
            <v>9011</v>
          </cell>
          <cell r="F889">
            <v>38356</v>
          </cell>
          <cell r="G889" t="str">
            <v>IDR</v>
          </cell>
          <cell r="H889">
            <v>923780</v>
          </cell>
          <cell r="I889">
            <v>923780</v>
          </cell>
          <cell r="J889">
            <v>0</v>
          </cell>
        </row>
        <row r="890">
          <cell r="A890" t="str">
            <v>ID005400</v>
          </cell>
          <cell r="B890">
            <v>5810003655</v>
          </cell>
          <cell r="C890" t="str">
            <v>W39088</v>
          </cell>
          <cell r="D890">
            <v>5401</v>
          </cell>
          <cell r="E890">
            <v>9011</v>
          </cell>
          <cell r="F890">
            <v>38356</v>
          </cell>
          <cell r="G890" t="str">
            <v>IDR</v>
          </cell>
          <cell r="H890">
            <v>82711</v>
          </cell>
          <cell r="I890">
            <v>82711</v>
          </cell>
          <cell r="J890">
            <v>0</v>
          </cell>
        </row>
        <row r="891">
          <cell r="A891" t="str">
            <v>ID005400</v>
          </cell>
          <cell r="B891">
            <v>5810003655</v>
          </cell>
          <cell r="C891" t="str">
            <v>W39088</v>
          </cell>
          <cell r="D891">
            <v>5401</v>
          </cell>
          <cell r="E891">
            <v>9011</v>
          </cell>
          <cell r="F891">
            <v>38356</v>
          </cell>
          <cell r="G891" t="str">
            <v>IDR</v>
          </cell>
          <cell r="H891">
            <v>923780</v>
          </cell>
          <cell r="I891">
            <v>923780</v>
          </cell>
          <cell r="J891">
            <v>0</v>
          </cell>
        </row>
        <row r="892">
          <cell r="A892" t="str">
            <v>ID005400</v>
          </cell>
          <cell r="B892">
            <v>5810003656</v>
          </cell>
          <cell r="C892" t="str">
            <v>W39088</v>
          </cell>
          <cell r="D892">
            <v>5401</v>
          </cell>
          <cell r="E892">
            <v>9011</v>
          </cell>
          <cell r="F892">
            <v>38356</v>
          </cell>
          <cell r="G892" t="str">
            <v>IDR</v>
          </cell>
          <cell r="H892">
            <v>82711</v>
          </cell>
          <cell r="I892">
            <v>82711</v>
          </cell>
          <cell r="J892">
            <v>0</v>
          </cell>
        </row>
        <row r="893">
          <cell r="A893" t="str">
            <v>ID005400</v>
          </cell>
          <cell r="B893">
            <v>5810003656</v>
          </cell>
          <cell r="C893" t="str">
            <v>W39088</v>
          </cell>
          <cell r="D893">
            <v>5401</v>
          </cell>
          <cell r="E893">
            <v>9011</v>
          </cell>
          <cell r="F893">
            <v>38356</v>
          </cell>
          <cell r="G893" t="str">
            <v>IDR</v>
          </cell>
          <cell r="H893">
            <v>923780</v>
          </cell>
          <cell r="I893">
            <v>923780</v>
          </cell>
          <cell r="J893">
            <v>0</v>
          </cell>
        </row>
        <row r="894">
          <cell r="A894" t="str">
            <v>ID005400</v>
          </cell>
          <cell r="B894">
            <v>5810003657</v>
          </cell>
          <cell r="C894" t="str">
            <v>W39088</v>
          </cell>
          <cell r="D894">
            <v>5401</v>
          </cell>
          <cell r="E894">
            <v>9011</v>
          </cell>
          <cell r="F894">
            <v>38356</v>
          </cell>
          <cell r="G894" t="str">
            <v>IDR</v>
          </cell>
          <cell r="H894">
            <v>82711</v>
          </cell>
          <cell r="I894">
            <v>82711</v>
          </cell>
          <cell r="J894">
            <v>0</v>
          </cell>
        </row>
        <row r="895">
          <cell r="A895" t="str">
            <v>ID005400</v>
          </cell>
          <cell r="B895">
            <v>5810003657</v>
          </cell>
          <cell r="C895" t="str">
            <v>W39088</v>
          </cell>
          <cell r="D895">
            <v>5401</v>
          </cell>
          <cell r="E895">
            <v>9011</v>
          </cell>
          <cell r="F895">
            <v>38356</v>
          </cell>
          <cell r="G895" t="str">
            <v>IDR</v>
          </cell>
          <cell r="H895">
            <v>923780</v>
          </cell>
          <cell r="I895">
            <v>923780</v>
          </cell>
          <cell r="J895">
            <v>0</v>
          </cell>
        </row>
        <row r="896">
          <cell r="A896" t="str">
            <v>ID005400</v>
          </cell>
          <cell r="B896">
            <v>5810003658</v>
          </cell>
          <cell r="C896" t="str">
            <v>W39088</v>
          </cell>
          <cell r="D896">
            <v>5401</v>
          </cell>
          <cell r="E896">
            <v>9011</v>
          </cell>
          <cell r="F896">
            <v>38356</v>
          </cell>
          <cell r="G896" t="str">
            <v>IDR</v>
          </cell>
          <cell r="H896">
            <v>82711</v>
          </cell>
          <cell r="I896">
            <v>82711</v>
          </cell>
          <cell r="J896">
            <v>0</v>
          </cell>
        </row>
        <row r="897">
          <cell r="A897" t="str">
            <v>ID005400</v>
          </cell>
          <cell r="B897">
            <v>5810003658</v>
          </cell>
          <cell r="C897" t="str">
            <v>W39088</v>
          </cell>
          <cell r="D897">
            <v>5401</v>
          </cell>
          <cell r="E897">
            <v>9011</v>
          </cell>
          <cell r="F897">
            <v>38356</v>
          </cell>
          <cell r="G897" t="str">
            <v>IDR</v>
          </cell>
          <cell r="H897">
            <v>923780</v>
          </cell>
          <cell r="I897">
            <v>923780</v>
          </cell>
          <cell r="J897">
            <v>0</v>
          </cell>
        </row>
        <row r="898">
          <cell r="A898" t="str">
            <v>ID005400</v>
          </cell>
          <cell r="B898">
            <v>5810003659</v>
          </cell>
          <cell r="C898" t="str">
            <v>W39088</v>
          </cell>
          <cell r="D898">
            <v>5401</v>
          </cell>
          <cell r="E898">
            <v>9011</v>
          </cell>
          <cell r="F898">
            <v>38356</v>
          </cell>
          <cell r="G898" t="str">
            <v>IDR</v>
          </cell>
          <cell r="H898">
            <v>82711</v>
          </cell>
          <cell r="I898">
            <v>82711</v>
          </cell>
          <cell r="J898">
            <v>0</v>
          </cell>
        </row>
        <row r="899">
          <cell r="A899" t="str">
            <v>ID005400</v>
          </cell>
          <cell r="B899">
            <v>5810003659</v>
          </cell>
          <cell r="C899" t="str">
            <v>W39088</v>
          </cell>
          <cell r="D899">
            <v>5401</v>
          </cell>
          <cell r="E899">
            <v>9011</v>
          </cell>
          <cell r="F899">
            <v>38356</v>
          </cell>
          <cell r="G899" t="str">
            <v>IDR</v>
          </cell>
          <cell r="H899">
            <v>923780</v>
          </cell>
          <cell r="I899">
            <v>923780</v>
          </cell>
          <cell r="J899">
            <v>0</v>
          </cell>
        </row>
        <row r="900">
          <cell r="A900" t="str">
            <v>ID005400</v>
          </cell>
          <cell r="B900">
            <v>5810003660</v>
          </cell>
          <cell r="C900" t="str">
            <v>W39088</v>
          </cell>
          <cell r="D900">
            <v>5401</v>
          </cell>
          <cell r="E900">
            <v>9011</v>
          </cell>
          <cell r="F900">
            <v>38356</v>
          </cell>
          <cell r="G900" t="str">
            <v>IDR</v>
          </cell>
          <cell r="H900">
            <v>82711</v>
          </cell>
          <cell r="I900">
            <v>82711</v>
          </cell>
          <cell r="J900">
            <v>0</v>
          </cell>
        </row>
        <row r="901">
          <cell r="A901" t="str">
            <v>ID005400</v>
          </cell>
          <cell r="B901">
            <v>5810003660</v>
          </cell>
          <cell r="C901" t="str">
            <v>W39088</v>
          </cell>
          <cell r="D901">
            <v>5401</v>
          </cell>
          <cell r="E901">
            <v>9011</v>
          </cell>
          <cell r="F901">
            <v>38356</v>
          </cell>
          <cell r="G901" t="str">
            <v>IDR</v>
          </cell>
          <cell r="H901">
            <v>923780</v>
          </cell>
          <cell r="I901">
            <v>923780</v>
          </cell>
          <cell r="J901">
            <v>0</v>
          </cell>
        </row>
        <row r="902">
          <cell r="A902" t="str">
            <v>ID005400</v>
          </cell>
          <cell r="B902">
            <v>5810003661</v>
          </cell>
          <cell r="C902" t="str">
            <v>W39088</v>
          </cell>
          <cell r="D902">
            <v>5401</v>
          </cell>
          <cell r="E902">
            <v>9011</v>
          </cell>
          <cell r="F902">
            <v>38356</v>
          </cell>
          <cell r="G902" t="str">
            <v>IDR</v>
          </cell>
          <cell r="H902">
            <v>82711</v>
          </cell>
          <cell r="I902">
            <v>82711</v>
          </cell>
          <cell r="J902">
            <v>0</v>
          </cell>
        </row>
        <row r="903">
          <cell r="A903" t="str">
            <v>ID005400</v>
          </cell>
          <cell r="B903">
            <v>5810003661</v>
          </cell>
          <cell r="C903" t="str">
            <v>W39088</v>
          </cell>
          <cell r="D903">
            <v>5401</v>
          </cell>
          <cell r="E903">
            <v>9011</v>
          </cell>
          <cell r="F903">
            <v>38356</v>
          </cell>
          <cell r="G903" t="str">
            <v>IDR</v>
          </cell>
          <cell r="H903">
            <v>923780</v>
          </cell>
          <cell r="I903">
            <v>923780</v>
          </cell>
          <cell r="J903">
            <v>0</v>
          </cell>
        </row>
        <row r="904">
          <cell r="A904" t="str">
            <v>ID005400</v>
          </cell>
          <cell r="B904">
            <v>5810003662</v>
          </cell>
          <cell r="C904" t="str">
            <v>W39088</v>
          </cell>
          <cell r="D904">
            <v>5401</v>
          </cell>
          <cell r="E904">
            <v>9011</v>
          </cell>
          <cell r="F904">
            <v>38356</v>
          </cell>
          <cell r="G904" t="str">
            <v>IDR</v>
          </cell>
          <cell r="H904">
            <v>82711</v>
          </cell>
          <cell r="I904">
            <v>82711</v>
          </cell>
          <cell r="J904">
            <v>0</v>
          </cell>
        </row>
        <row r="905">
          <cell r="A905" t="str">
            <v>ID005400</v>
          </cell>
          <cell r="B905">
            <v>5810003662</v>
          </cell>
          <cell r="C905" t="str">
            <v>W39088</v>
          </cell>
          <cell r="D905">
            <v>5401</v>
          </cell>
          <cell r="E905">
            <v>9011</v>
          </cell>
          <cell r="F905">
            <v>38356</v>
          </cell>
          <cell r="G905" t="str">
            <v>IDR</v>
          </cell>
          <cell r="H905">
            <v>923780</v>
          </cell>
          <cell r="I905">
            <v>923780</v>
          </cell>
          <cell r="J905">
            <v>0</v>
          </cell>
        </row>
        <row r="906">
          <cell r="A906" t="str">
            <v>ID005400</v>
          </cell>
          <cell r="B906">
            <v>5810003663</v>
          </cell>
          <cell r="C906" t="str">
            <v>W39088</v>
          </cell>
          <cell r="D906">
            <v>5401</v>
          </cell>
          <cell r="E906">
            <v>9011</v>
          </cell>
          <cell r="F906">
            <v>38356</v>
          </cell>
          <cell r="G906" t="str">
            <v>IDR</v>
          </cell>
          <cell r="H906">
            <v>82711</v>
          </cell>
          <cell r="I906">
            <v>82711</v>
          </cell>
          <cell r="J906">
            <v>0</v>
          </cell>
        </row>
        <row r="907">
          <cell r="A907" t="str">
            <v>ID005400</v>
          </cell>
          <cell r="B907">
            <v>5810003663</v>
          </cell>
          <cell r="C907" t="str">
            <v>W39088</v>
          </cell>
          <cell r="D907">
            <v>5401</v>
          </cell>
          <cell r="E907">
            <v>9011</v>
          </cell>
          <cell r="F907">
            <v>38356</v>
          </cell>
          <cell r="G907" t="str">
            <v>IDR</v>
          </cell>
          <cell r="H907">
            <v>923780</v>
          </cell>
          <cell r="I907">
            <v>923780</v>
          </cell>
          <cell r="J907">
            <v>0</v>
          </cell>
        </row>
        <row r="908">
          <cell r="A908" t="str">
            <v>ID005400</v>
          </cell>
          <cell r="B908">
            <v>5810003664</v>
          </cell>
          <cell r="C908" t="str">
            <v>W39088</v>
          </cell>
          <cell r="D908">
            <v>5401</v>
          </cell>
          <cell r="E908">
            <v>9011</v>
          </cell>
          <cell r="F908">
            <v>38356</v>
          </cell>
          <cell r="G908" t="str">
            <v>IDR</v>
          </cell>
          <cell r="H908">
            <v>82711</v>
          </cell>
          <cell r="I908">
            <v>82711</v>
          </cell>
          <cell r="J908">
            <v>0</v>
          </cell>
        </row>
        <row r="909">
          <cell r="A909" t="str">
            <v>ID005400</v>
          </cell>
          <cell r="B909">
            <v>5810003664</v>
          </cell>
          <cell r="C909" t="str">
            <v>W39088</v>
          </cell>
          <cell r="D909">
            <v>5401</v>
          </cell>
          <cell r="E909">
            <v>9011</v>
          </cell>
          <cell r="F909">
            <v>38356</v>
          </cell>
          <cell r="G909" t="str">
            <v>IDR</v>
          </cell>
          <cell r="H909">
            <v>923780</v>
          </cell>
          <cell r="I909">
            <v>923780</v>
          </cell>
          <cell r="J909">
            <v>0</v>
          </cell>
        </row>
        <row r="910">
          <cell r="A910" t="str">
            <v>ID005400</v>
          </cell>
          <cell r="B910">
            <v>5810003665</v>
          </cell>
          <cell r="C910" t="str">
            <v>W39088</v>
          </cell>
          <cell r="D910">
            <v>5401</v>
          </cell>
          <cell r="E910">
            <v>9011</v>
          </cell>
          <cell r="F910">
            <v>38356</v>
          </cell>
          <cell r="G910" t="str">
            <v>IDR</v>
          </cell>
          <cell r="H910">
            <v>82711</v>
          </cell>
          <cell r="I910">
            <v>82711</v>
          </cell>
          <cell r="J910">
            <v>0</v>
          </cell>
        </row>
        <row r="911">
          <cell r="A911" t="str">
            <v>ID005400</v>
          </cell>
          <cell r="B911">
            <v>5810003665</v>
          </cell>
          <cell r="C911" t="str">
            <v>W39088</v>
          </cell>
          <cell r="D911">
            <v>5401</v>
          </cell>
          <cell r="E911">
            <v>9011</v>
          </cell>
          <cell r="F911">
            <v>38356</v>
          </cell>
          <cell r="G911" t="str">
            <v>IDR</v>
          </cell>
          <cell r="H911">
            <v>923780</v>
          </cell>
          <cell r="I911">
            <v>923780</v>
          </cell>
          <cell r="J911">
            <v>0</v>
          </cell>
        </row>
        <row r="912">
          <cell r="A912" t="str">
            <v>ID005400</v>
          </cell>
          <cell r="B912">
            <v>5810003666</v>
          </cell>
          <cell r="C912" t="str">
            <v>W39088</v>
          </cell>
          <cell r="D912">
            <v>5401</v>
          </cell>
          <cell r="E912">
            <v>9011</v>
          </cell>
          <cell r="F912">
            <v>38356</v>
          </cell>
          <cell r="G912" t="str">
            <v>IDR</v>
          </cell>
          <cell r="H912">
            <v>82711</v>
          </cell>
          <cell r="I912">
            <v>82711</v>
          </cell>
          <cell r="J912">
            <v>0</v>
          </cell>
        </row>
        <row r="913">
          <cell r="A913" t="str">
            <v>ID005400</v>
          </cell>
          <cell r="B913">
            <v>5810003666</v>
          </cell>
          <cell r="C913" t="str">
            <v>W39088</v>
          </cell>
          <cell r="D913">
            <v>5401</v>
          </cell>
          <cell r="E913">
            <v>9011</v>
          </cell>
          <cell r="F913">
            <v>38356</v>
          </cell>
          <cell r="G913" t="str">
            <v>IDR</v>
          </cell>
          <cell r="H913">
            <v>923780</v>
          </cell>
          <cell r="I913">
            <v>923780</v>
          </cell>
          <cell r="J913">
            <v>0</v>
          </cell>
        </row>
        <row r="914">
          <cell r="A914" t="str">
            <v>ID005400</v>
          </cell>
          <cell r="B914">
            <v>5810003667</v>
          </cell>
          <cell r="C914" t="str">
            <v>W39088</v>
          </cell>
          <cell r="D914">
            <v>5401</v>
          </cell>
          <cell r="E914">
            <v>9011</v>
          </cell>
          <cell r="F914">
            <v>38356</v>
          </cell>
          <cell r="G914" t="str">
            <v>IDR</v>
          </cell>
          <cell r="H914">
            <v>82711</v>
          </cell>
          <cell r="I914">
            <v>82711</v>
          </cell>
          <cell r="J914">
            <v>0</v>
          </cell>
        </row>
        <row r="915">
          <cell r="A915" t="str">
            <v>ID005400</v>
          </cell>
          <cell r="B915">
            <v>5810003667</v>
          </cell>
          <cell r="C915" t="str">
            <v>W39088</v>
          </cell>
          <cell r="D915">
            <v>5401</v>
          </cell>
          <cell r="E915">
            <v>9011</v>
          </cell>
          <cell r="F915">
            <v>38356</v>
          </cell>
          <cell r="G915" t="str">
            <v>IDR</v>
          </cell>
          <cell r="H915">
            <v>923780</v>
          </cell>
          <cell r="I915">
            <v>923780</v>
          </cell>
          <cell r="J915">
            <v>0</v>
          </cell>
        </row>
        <row r="916">
          <cell r="A916" t="str">
            <v>ID005400</v>
          </cell>
          <cell r="B916">
            <v>5810003668</v>
          </cell>
          <cell r="C916" t="str">
            <v>W39088</v>
          </cell>
          <cell r="D916">
            <v>5401</v>
          </cell>
          <cell r="E916">
            <v>9011</v>
          </cell>
          <cell r="F916">
            <v>38356</v>
          </cell>
          <cell r="G916" t="str">
            <v>IDR</v>
          </cell>
          <cell r="H916">
            <v>82711</v>
          </cell>
          <cell r="I916">
            <v>82711</v>
          </cell>
          <cell r="J916">
            <v>0</v>
          </cell>
        </row>
        <row r="917">
          <cell r="A917" t="str">
            <v>ID005400</v>
          </cell>
          <cell r="B917">
            <v>5810003668</v>
          </cell>
          <cell r="C917" t="str">
            <v>W39088</v>
          </cell>
          <cell r="D917">
            <v>5401</v>
          </cell>
          <cell r="E917">
            <v>9011</v>
          </cell>
          <cell r="F917">
            <v>38356</v>
          </cell>
          <cell r="G917" t="str">
            <v>IDR</v>
          </cell>
          <cell r="H917">
            <v>923780</v>
          </cell>
          <cell r="I917">
            <v>923780</v>
          </cell>
          <cell r="J917">
            <v>0</v>
          </cell>
        </row>
        <row r="918">
          <cell r="A918" t="str">
            <v>ID005400</v>
          </cell>
          <cell r="B918">
            <v>5810003669</v>
          </cell>
          <cell r="C918" t="str">
            <v>W39088</v>
          </cell>
          <cell r="D918">
            <v>5401</v>
          </cell>
          <cell r="E918">
            <v>9011</v>
          </cell>
          <cell r="F918">
            <v>38356</v>
          </cell>
          <cell r="G918" t="str">
            <v>IDR</v>
          </cell>
          <cell r="H918">
            <v>82711</v>
          </cell>
          <cell r="I918">
            <v>82711</v>
          </cell>
          <cell r="J918">
            <v>0</v>
          </cell>
        </row>
        <row r="919">
          <cell r="A919" t="str">
            <v>ID005400</v>
          </cell>
          <cell r="B919">
            <v>5810003669</v>
          </cell>
          <cell r="C919" t="str">
            <v>W39088</v>
          </cell>
          <cell r="D919">
            <v>5401</v>
          </cell>
          <cell r="E919">
            <v>9011</v>
          </cell>
          <cell r="F919">
            <v>38356</v>
          </cell>
          <cell r="G919" t="str">
            <v>IDR</v>
          </cell>
          <cell r="H919">
            <v>923780</v>
          </cell>
          <cell r="I919">
            <v>923780</v>
          </cell>
          <cell r="J919">
            <v>0</v>
          </cell>
        </row>
        <row r="920">
          <cell r="A920" t="str">
            <v>ID005400</v>
          </cell>
          <cell r="B920">
            <v>5810003670</v>
          </cell>
          <cell r="C920" t="str">
            <v>W39088</v>
          </cell>
          <cell r="D920">
            <v>5401</v>
          </cell>
          <cell r="E920">
            <v>9011</v>
          </cell>
          <cell r="F920">
            <v>38356</v>
          </cell>
          <cell r="G920" t="str">
            <v>IDR</v>
          </cell>
          <cell r="H920">
            <v>82711</v>
          </cell>
          <cell r="I920">
            <v>82711</v>
          </cell>
          <cell r="J920">
            <v>0</v>
          </cell>
        </row>
        <row r="921">
          <cell r="A921" t="str">
            <v>ID005400</v>
          </cell>
          <cell r="B921">
            <v>5810003670</v>
          </cell>
          <cell r="C921" t="str">
            <v>W39088</v>
          </cell>
          <cell r="D921">
            <v>5401</v>
          </cell>
          <cell r="E921">
            <v>9011</v>
          </cell>
          <cell r="F921">
            <v>38356</v>
          </cell>
          <cell r="G921" t="str">
            <v>IDR</v>
          </cell>
          <cell r="H921">
            <v>923780</v>
          </cell>
          <cell r="I921">
            <v>923780</v>
          </cell>
          <cell r="J921">
            <v>0</v>
          </cell>
        </row>
        <row r="922">
          <cell r="A922" t="str">
            <v>ID005400</v>
          </cell>
          <cell r="B922">
            <v>5810003671</v>
          </cell>
          <cell r="C922" t="str">
            <v>W39088</v>
          </cell>
          <cell r="D922">
            <v>5401</v>
          </cell>
          <cell r="E922">
            <v>9011</v>
          </cell>
          <cell r="F922">
            <v>38356</v>
          </cell>
          <cell r="G922" t="str">
            <v>IDR</v>
          </cell>
          <cell r="H922">
            <v>82711</v>
          </cell>
          <cell r="I922">
            <v>82711</v>
          </cell>
          <cell r="J922">
            <v>0</v>
          </cell>
        </row>
        <row r="923">
          <cell r="A923" t="str">
            <v>ID005400</v>
          </cell>
          <cell r="B923">
            <v>5810003671</v>
          </cell>
          <cell r="C923" t="str">
            <v>W39088</v>
          </cell>
          <cell r="D923">
            <v>5401</v>
          </cell>
          <cell r="E923">
            <v>9011</v>
          </cell>
          <cell r="F923">
            <v>38356</v>
          </cell>
          <cell r="G923" t="str">
            <v>IDR</v>
          </cell>
          <cell r="H923">
            <v>923780</v>
          </cell>
          <cell r="I923">
            <v>923780</v>
          </cell>
          <cell r="J923">
            <v>0</v>
          </cell>
        </row>
        <row r="924">
          <cell r="A924" t="str">
            <v>ID005400</v>
          </cell>
          <cell r="B924">
            <v>5810003672</v>
          </cell>
          <cell r="C924" t="str">
            <v>W39088</v>
          </cell>
          <cell r="D924">
            <v>5401</v>
          </cell>
          <cell r="E924">
            <v>9011</v>
          </cell>
          <cell r="F924">
            <v>38356</v>
          </cell>
          <cell r="G924" t="str">
            <v>IDR</v>
          </cell>
          <cell r="H924">
            <v>82711</v>
          </cell>
          <cell r="I924">
            <v>82711</v>
          </cell>
          <cell r="J924">
            <v>0</v>
          </cell>
        </row>
        <row r="925">
          <cell r="A925" t="str">
            <v>ID005400</v>
          </cell>
          <cell r="B925">
            <v>5810003672</v>
          </cell>
          <cell r="C925" t="str">
            <v>W39088</v>
          </cell>
          <cell r="D925">
            <v>5401</v>
          </cell>
          <cell r="E925">
            <v>9011</v>
          </cell>
          <cell r="F925">
            <v>38356</v>
          </cell>
          <cell r="G925" t="str">
            <v>IDR</v>
          </cell>
          <cell r="H925">
            <v>923780</v>
          </cell>
          <cell r="I925">
            <v>923780</v>
          </cell>
          <cell r="J925">
            <v>0</v>
          </cell>
        </row>
        <row r="926">
          <cell r="A926" t="str">
            <v>ID005400</v>
          </cell>
          <cell r="B926">
            <v>5810003673</v>
          </cell>
          <cell r="C926" t="str">
            <v>W39088</v>
          </cell>
          <cell r="D926">
            <v>5401</v>
          </cell>
          <cell r="E926">
            <v>9011</v>
          </cell>
          <cell r="F926">
            <v>38356</v>
          </cell>
          <cell r="G926" t="str">
            <v>IDR</v>
          </cell>
          <cell r="H926">
            <v>82711</v>
          </cell>
          <cell r="I926">
            <v>82711</v>
          </cell>
          <cell r="J926">
            <v>0</v>
          </cell>
        </row>
        <row r="927">
          <cell r="A927" t="str">
            <v>ID005400</v>
          </cell>
          <cell r="B927">
            <v>5810003673</v>
          </cell>
          <cell r="C927" t="str">
            <v>W39088</v>
          </cell>
          <cell r="D927">
            <v>5401</v>
          </cell>
          <cell r="E927">
            <v>9011</v>
          </cell>
          <cell r="F927">
            <v>38356</v>
          </cell>
          <cell r="G927" t="str">
            <v>IDR</v>
          </cell>
          <cell r="H927">
            <v>923780</v>
          </cell>
          <cell r="I927">
            <v>923780</v>
          </cell>
          <cell r="J927">
            <v>0</v>
          </cell>
        </row>
        <row r="928">
          <cell r="A928" t="str">
            <v>ID005400</v>
          </cell>
          <cell r="B928">
            <v>5810003674</v>
          </cell>
          <cell r="C928" t="str">
            <v>W39088</v>
          </cell>
          <cell r="D928">
            <v>5401</v>
          </cell>
          <cell r="E928">
            <v>9011</v>
          </cell>
          <cell r="F928">
            <v>38356</v>
          </cell>
          <cell r="G928" t="str">
            <v>IDR</v>
          </cell>
          <cell r="H928">
            <v>82711</v>
          </cell>
          <cell r="I928">
            <v>82711</v>
          </cell>
          <cell r="J928">
            <v>0</v>
          </cell>
        </row>
        <row r="929">
          <cell r="A929" t="str">
            <v>ID005400</v>
          </cell>
          <cell r="B929">
            <v>5810003674</v>
          </cell>
          <cell r="C929" t="str">
            <v>W39088</v>
          </cell>
          <cell r="D929">
            <v>5401</v>
          </cell>
          <cell r="E929">
            <v>9011</v>
          </cell>
          <cell r="F929">
            <v>38356</v>
          </cell>
          <cell r="G929" t="str">
            <v>IDR</v>
          </cell>
          <cell r="H929">
            <v>923780</v>
          </cell>
          <cell r="I929">
            <v>923780</v>
          </cell>
          <cell r="J929">
            <v>0</v>
          </cell>
        </row>
        <row r="930">
          <cell r="A930" t="str">
            <v>ID005400</v>
          </cell>
          <cell r="B930">
            <v>5810003675</v>
          </cell>
          <cell r="C930" t="str">
            <v>W39088</v>
          </cell>
          <cell r="D930">
            <v>5401</v>
          </cell>
          <cell r="E930">
            <v>9011</v>
          </cell>
          <cell r="F930">
            <v>38356</v>
          </cell>
          <cell r="G930" t="str">
            <v>IDR</v>
          </cell>
          <cell r="H930">
            <v>82711</v>
          </cell>
          <cell r="I930">
            <v>82711</v>
          </cell>
          <cell r="J930">
            <v>0</v>
          </cell>
        </row>
        <row r="931">
          <cell r="A931" t="str">
            <v>ID005400</v>
          </cell>
          <cell r="B931">
            <v>5810003675</v>
          </cell>
          <cell r="C931" t="str">
            <v>W39088</v>
          </cell>
          <cell r="D931">
            <v>5401</v>
          </cell>
          <cell r="E931">
            <v>9011</v>
          </cell>
          <cell r="F931">
            <v>38356</v>
          </cell>
          <cell r="G931" t="str">
            <v>IDR</v>
          </cell>
          <cell r="H931">
            <v>923780</v>
          </cell>
          <cell r="I931">
            <v>923780</v>
          </cell>
          <cell r="J931">
            <v>0</v>
          </cell>
        </row>
        <row r="932">
          <cell r="A932" t="str">
            <v>ID005400</v>
          </cell>
          <cell r="B932">
            <v>5810003676</v>
          </cell>
          <cell r="C932" t="str">
            <v>W39088</v>
          </cell>
          <cell r="D932">
            <v>5401</v>
          </cell>
          <cell r="E932">
            <v>9011</v>
          </cell>
          <cell r="F932">
            <v>38356</v>
          </cell>
          <cell r="G932" t="str">
            <v>IDR</v>
          </cell>
          <cell r="H932">
            <v>82711</v>
          </cell>
          <cell r="I932">
            <v>82711</v>
          </cell>
          <cell r="J932">
            <v>0</v>
          </cell>
        </row>
        <row r="933">
          <cell r="A933" t="str">
            <v>ID005400</v>
          </cell>
          <cell r="B933">
            <v>5810003676</v>
          </cell>
          <cell r="C933" t="str">
            <v>W39088</v>
          </cell>
          <cell r="D933">
            <v>5401</v>
          </cell>
          <cell r="E933">
            <v>9011</v>
          </cell>
          <cell r="F933">
            <v>38356</v>
          </cell>
          <cell r="G933" t="str">
            <v>IDR</v>
          </cell>
          <cell r="H933">
            <v>923780</v>
          </cell>
          <cell r="I933">
            <v>923780</v>
          </cell>
          <cell r="J933">
            <v>0</v>
          </cell>
        </row>
        <row r="934">
          <cell r="A934" t="str">
            <v>ID005400</v>
          </cell>
          <cell r="B934">
            <v>5810003677</v>
          </cell>
          <cell r="C934" t="str">
            <v>W39088</v>
          </cell>
          <cell r="D934">
            <v>5401</v>
          </cell>
          <cell r="E934">
            <v>9011</v>
          </cell>
          <cell r="F934">
            <v>38356</v>
          </cell>
          <cell r="G934" t="str">
            <v>IDR</v>
          </cell>
          <cell r="H934">
            <v>82711</v>
          </cell>
          <cell r="I934">
            <v>82711</v>
          </cell>
          <cell r="J934">
            <v>0</v>
          </cell>
        </row>
        <row r="935">
          <cell r="A935" t="str">
            <v>ID005400</v>
          </cell>
          <cell r="B935">
            <v>5810003677</v>
          </cell>
          <cell r="C935" t="str">
            <v>W39088</v>
          </cell>
          <cell r="D935">
            <v>5401</v>
          </cell>
          <cell r="E935">
            <v>9011</v>
          </cell>
          <cell r="F935">
            <v>38356</v>
          </cell>
          <cell r="G935" t="str">
            <v>IDR</v>
          </cell>
          <cell r="H935">
            <v>923780</v>
          </cell>
          <cell r="I935">
            <v>923780</v>
          </cell>
          <cell r="J935">
            <v>0</v>
          </cell>
        </row>
        <row r="936">
          <cell r="A936" t="str">
            <v>ID005400</v>
          </cell>
          <cell r="B936">
            <v>5810003678</v>
          </cell>
          <cell r="C936" t="str">
            <v>W39088</v>
          </cell>
          <cell r="D936">
            <v>5401</v>
          </cell>
          <cell r="E936">
            <v>9011</v>
          </cell>
          <cell r="F936">
            <v>38356</v>
          </cell>
          <cell r="G936" t="str">
            <v>IDR</v>
          </cell>
          <cell r="H936">
            <v>82711</v>
          </cell>
          <cell r="I936">
            <v>82711</v>
          </cell>
          <cell r="J936">
            <v>0</v>
          </cell>
        </row>
        <row r="937">
          <cell r="A937" t="str">
            <v>ID005400</v>
          </cell>
          <cell r="B937">
            <v>5810003678</v>
          </cell>
          <cell r="C937" t="str">
            <v>W39088</v>
          </cell>
          <cell r="D937">
            <v>5401</v>
          </cell>
          <cell r="E937">
            <v>9011</v>
          </cell>
          <cell r="F937">
            <v>38356</v>
          </cell>
          <cell r="G937" t="str">
            <v>IDR</v>
          </cell>
          <cell r="H937">
            <v>923780</v>
          </cell>
          <cell r="I937">
            <v>923780</v>
          </cell>
          <cell r="J937">
            <v>0</v>
          </cell>
        </row>
        <row r="938">
          <cell r="A938" t="str">
            <v>ID005400</v>
          </cell>
          <cell r="B938">
            <v>5810003679</v>
          </cell>
          <cell r="C938" t="str">
            <v>W39088</v>
          </cell>
          <cell r="D938">
            <v>5401</v>
          </cell>
          <cell r="E938">
            <v>9011</v>
          </cell>
          <cell r="F938">
            <v>38356</v>
          </cell>
          <cell r="G938" t="str">
            <v>IDR</v>
          </cell>
          <cell r="H938">
            <v>82711</v>
          </cell>
          <cell r="I938">
            <v>82711</v>
          </cell>
          <cell r="J938">
            <v>0</v>
          </cell>
        </row>
        <row r="939">
          <cell r="A939" t="str">
            <v>ID005400</v>
          </cell>
          <cell r="B939">
            <v>5810003679</v>
          </cell>
          <cell r="C939" t="str">
            <v>W39088</v>
          </cell>
          <cell r="D939">
            <v>5401</v>
          </cell>
          <cell r="E939">
            <v>9011</v>
          </cell>
          <cell r="F939">
            <v>38356</v>
          </cell>
          <cell r="G939" t="str">
            <v>IDR</v>
          </cell>
          <cell r="H939">
            <v>923780</v>
          </cell>
          <cell r="I939">
            <v>923780</v>
          </cell>
          <cell r="J939">
            <v>0</v>
          </cell>
        </row>
        <row r="940">
          <cell r="A940" t="str">
            <v>ID005400</v>
          </cell>
          <cell r="B940">
            <v>5810003680</v>
          </cell>
          <cell r="C940" t="str">
            <v>W39088</v>
          </cell>
          <cell r="D940">
            <v>5401</v>
          </cell>
          <cell r="E940">
            <v>9011</v>
          </cell>
          <cell r="F940">
            <v>38356</v>
          </cell>
          <cell r="G940" t="str">
            <v>IDR</v>
          </cell>
          <cell r="H940">
            <v>82711</v>
          </cell>
          <cell r="I940">
            <v>82711</v>
          </cell>
          <cell r="J940">
            <v>0</v>
          </cell>
        </row>
        <row r="941">
          <cell r="A941" t="str">
            <v>ID005400</v>
          </cell>
          <cell r="B941">
            <v>5810003680</v>
          </cell>
          <cell r="C941" t="str">
            <v>W39088</v>
          </cell>
          <cell r="D941">
            <v>5401</v>
          </cell>
          <cell r="E941">
            <v>9011</v>
          </cell>
          <cell r="F941">
            <v>38356</v>
          </cell>
          <cell r="G941" t="str">
            <v>IDR</v>
          </cell>
          <cell r="H941">
            <v>923780</v>
          </cell>
          <cell r="I941">
            <v>923780</v>
          </cell>
          <cell r="J941">
            <v>0</v>
          </cell>
        </row>
        <row r="942">
          <cell r="A942" t="str">
            <v>ID005400</v>
          </cell>
          <cell r="B942">
            <v>5810003681</v>
          </cell>
          <cell r="C942" t="str">
            <v>W39088</v>
          </cell>
          <cell r="D942">
            <v>5401</v>
          </cell>
          <cell r="E942">
            <v>9011</v>
          </cell>
          <cell r="F942">
            <v>38356</v>
          </cell>
          <cell r="G942" t="str">
            <v>IDR</v>
          </cell>
          <cell r="H942">
            <v>82711</v>
          </cell>
          <cell r="I942">
            <v>82711</v>
          </cell>
          <cell r="J942">
            <v>0</v>
          </cell>
        </row>
        <row r="943">
          <cell r="A943" t="str">
            <v>ID005400</v>
          </cell>
          <cell r="B943">
            <v>5810003681</v>
          </cell>
          <cell r="C943" t="str">
            <v>W39088</v>
          </cell>
          <cell r="D943">
            <v>5401</v>
          </cell>
          <cell r="E943">
            <v>9011</v>
          </cell>
          <cell r="F943">
            <v>38356</v>
          </cell>
          <cell r="G943" t="str">
            <v>IDR</v>
          </cell>
          <cell r="H943">
            <v>923780</v>
          </cell>
          <cell r="I943">
            <v>923780</v>
          </cell>
          <cell r="J943">
            <v>0</v>
          </cell>
        </row>
        <row r="944">
          <cell r="A944" t="str">
            <v>ID005400</v>
          </cell>
          <cell r="B944">
            <v>5810003682</v>
          </cell>
          <cell r="C944" t="str">
            <v>W39088</v>
          </cell>
          <cell r="D944">
            <v>5401</v>
          </cell>
          <cell r="E944">
            <v>9011</v>
          </cell>
          <cell r="F944">
            <v>38356</v>
          </cell>
          <cell r="G944" t="str">
            <v>IDR</v>
          </cell>
          <cell r="H944">
            <v>82711</v>
          </cell>
          <cell r="I944">
            <v>82711</v>
          </cell>
          <cell r="J944">
            <v>0</v>
          </cell>
        </row>
        <row r="945">
          <cell r="A945" t="str">
            <v>ID005400</v>
          </cell>
          <cell r="B945">
            <v>5810003682</v>
          </cell>
          <cell r="C945" t="str">
            <v>W39088</v>
          </cell>
          <cell r="D945">
            <v>5401</v>
          </cell>
          <cell r="E945">
            <v>9011</v>
          </cell>
          <cell r="F945">
            <v>38356</v>
          </cell>
          <cell r="G945" t="str">
            <v>IDR</v>
          </cell>
          <cell r="H945">
            <v>923780</v>
          </cell>
          <cell r="I945">
            <v>923780</v>
          </cell>
          <cell r="J945">
            <v>0</v>
          </cell>
        </row>
        <row r="946">
          <cell r="A946" t="str">
            <v>ID005400</v>
          </cell>
          <cell r="B946">
            <v>5810003683</v>
          </cell>
          <cell r="C946" t="str">
            <v>W39088</v>
          </cell>
          <cell r="D946">
            <v>5401</v>
          </cell>
          <cell r="E946">
            <v>9011</v>
          </cell>
          <cell r="F946">
            <v>38356</v>
          </cell>
          <cell r="G946" t="str">
            <v>IDR</v>
          </cell>
          <cell r="H946">
            <v>82711</v>
          </cell>
          <cell r="I946">
            <v>82711</v>
          </cell>
          <cell r="J946">
            <v>0</v>
          </cell>
        </row>
        <row r="947">
          <cell r="A947" t="str">
            <v>ID005400</v>
          </cell>
          <cell r="B947">
            <v>5810003683</v>
          </cell>
          <cell r="C947" t="str">
            <v>W39088</v>
          </cell>
          <cell r="D947">
            <v>5401</v>
          </cell>
          <cell r="E947">
            <v>9011</v>
          </cell>
          <cell r="F947">
            <v>38356</v>
          </cell>
          <cell r="G947" t="str">
            <v>IDR</v>
          </cell>
          <cell r="H947">
            <v>923780</v>
          </cell>
          <cell r="I947">
            <v>923780</v>
          </cell>
          <cell r="J947">
            <v>0</v>
          </cell>
        </row>
        <row r="948">
          <cell r="A948" t="str">
            <v>ID005400</v>
          </cell>
          <cell r="B948">
            <v>5810003684</v>
          </cell>
          <cell r="C948" t="str">
            <v>W39088</v>
          </cell>
          <cell r="D948">
            <v>5401</v>
          </cell>
          <cell r="E948">
            <v>9011</v>
          </cell>
          <cell r="F948">
            <v>38356</v>
          </cell>
          <cell r="G948" t="str">
            <v>IDR</v>
          </cell>
          <cell r="H948">
            <v>82711</v>
          </cell>
          <cell r="I948">
            <v>82711</v>
          </cell>
          <cell r="J948">
            <v>0</v>
          </cell>
        </row>
        <row r="949">
          <cell r="A949" t="str">
            <v>ID005400</v>
          </cell>
          <cell r="B949">
            <v>5810003684</v>
          </cell>
          <cell r="C949" t="str">
            <v>W39088</v>
          </cell>
          <cell r="D949">
            <v>5401</v>
          </cell>
          <cell r="E949">
            <v>9011</v>
          </cell>
          <cell r="F949">
            <v>38356</v>
          </cell>
          <cell r="G949" t="str">
            <v>IDR</v>
          </cell>
          <cell r="H949">
            <v>923780</v>
          </cell>
          <cell r="I949">
            <v>923780</v>
          </cell>
          <cell r="J949">
            <v>0</v>
          </cell>
        </row>
        <row r="950">
          <cell r="A950" t="str">
            <v>ID005400</v>
          </cell>
          <cell r="B950">
            <v>5810003685</v>
          </cell>
          <cell r="C950" t="str">
            <v>W39088</v>
          </cell>
          <cell r="D950">
            <v>5401</v>
          </cell>
          <cell r="E950">
            <v>9011</v>
          </cell>
          <cell r="F950">
            <v>38356</v>
          </cell>
          <cell r="G950" t="str">
            <v>IDR</v>
          </cell>
          <cell r="H950">
            <v>82711</v>
          </cell>
          <cell r="I950">
            <v>82711</v>
          </cell>
          <cell r="J950">
            <v>0</v>
          </cell>
        </row>
        <row r="951">
          <cell r="A951" t="str">
            <v>ID005400</v>
          </cell>
          <cell r="B951">
            <v>5810003685</v>
          </cell>
          <cell r="C951" t="str">
            <v>W39088</v>
          </cell>
          <cell r="D951">
            <v>5401</v>
          </cell>
          <cell r="E951">
            <v>9011</v>
          </cell>
          <cell r="F951">
            <v>38356</v>
          </cell>
          <cell r="G951" t="str">
            <v>IDR</v>
          </cell>
          <cell r="H951">
            <v>923780</v>
          </cell>
          <cell r="I951">
            <v>923780</v>
          </cell>
          <cell r="J951">
            <v>0</v>
          </cell>
        </row>
        <row r="952">
          <cell r="A952" t="str">
            <v>ID005400</v>
          </cell>
          <cell r="B952">
            <v>5810003686</v>
          </cell>
          <cell r="C952" t="str">
            <v>W39088</v>
          </cell>
          <cell r="D952">
            <v>5401</v>
          </cell>
          <cell r="E952">
            <v>9011</v>
          </cell>
          <cell r="F952">
            <v>38356</v>
          </cell>
          <cell r="G952" t="str">
            <v>IDR</v>
          </cell>
          <cell r="H952">
            <v>82711</v>
          </cell>
          <cell r="I952">
            <v>82711</v>
          </cell>
          <cell r="J952">
            <v>0</v>
          </cell>
        </row>
        <row r="953">
          <cell r="A953" t="str">
            <v>ID005400</v>
          </cell>
          <cell r="B953">
            <v>5810003686</v>
          </cell>
          <cell r="C953" t="str">
            <v>W39088</v>
          </cell>
          <cell r="D953">
            <v>5401</v>
          </cell>
          <cell r="E953">
            <v>9011</v>
          </cell>
          <cell r="F953">
            <v>38356</v>
          </cell>
          <cell r="G953" t="str">
            <v>IDR</v>
          </cell>
          <cell r="H953">
            <v>923780</v>
          </cell>
          <cell r="I953">
            <v>923780</v>
          </cell>
          <cell r="J953">
            <v>0</v>
          </cell>
        </row>
        <row r="954">
          <cell r="A954" t="str">
            <v>ID005400</v>
          </cell>
          <cell r="B954">
            <v>5810003687</v>
          </cell>
          <cell r="C954" t="str">
            <v>W39088</v>
          </cell>
          <cell r="D954">
            <v>5401</v>
          </cell>
          <cell r="E954">
            <v>9011</v>
          </cell>
          <cell r="F954">
            <v>38356</v>
          </cell>
          <cell r="G954" t="str">
            <v>IDR</v>
          </cell>
          <cell r="H954">
            <v>82711</v>
          </cell>
          <cell r="I954">
            <v>82711</v>
          </cell>
          <cell r="J954">
            <v>0</v>
          </cell>
        </row>
        <row r="955">
          <cell r="A955" t="str">
            <v>ID005400</v>
          </cell>
          <cell r="B955">
            <v>5810003687</v>
          </cell>
          <cell r="C955" t="str">
            <v>W39088</v>
          </cell>
          <cell r="D955">
            <v>5401</v>
          </cell>
          <cell r="E955">
            <v>9011</v>
          </cell>
          <cell r="F955">
            <v>38356</v>
          </cell>
          <cell r="G955" t="str">
            <v>IDR</v>
          </cell>
          <cell r="H955">
            <v>923780</v>
          </cell>
          <cell r="I955">
            <v>923780</v>
          </cell>
          <cell r="J955">
            <v>0</v>
          </cell>
        </row>
        <row r="956">
          <cell r="A956" t="str">
            <v>ID005400</v>
          </cell>
          <cell r="B956">
            <v>5810003688</v>
          </cell>
          <cell r="C956" t="str">
            <v>W39088</v>
          </cell>
          <cell r="D956">
            <v>5401</v>
          </cell>
          <cell r="E956">
            <v>9011</v>
          </cell>
          <cell r="F956">
            <v>38356</v>
          </cell>
          <cell r="G956" t="str">
            <v>IDR</v>
          </cell>
          <cell r="H956">
            <v>82711</v>
          </cell>
          <cell r="I956">
            <v>82711</v>
          </cell>
          <cell r="J956">
            <v>0</v>
          </cell>
        </row>
        <row r="957">
          <cell r="A957" t="str">
            <v>ID005400</v>
          </cell>
          <cell r="B957">
            <v>5810003688</v>
          </cell>
          <cell r="C957" t="str">
            <v>W39088</v>
          </cell>
          <cell r="D957">
            <v>5401</v>
          </cell>
          <cell r="E957">
            <v>9011</v>
          </cell>
          <cell r="F957">
            <v>38356</v>
          </cell>
          <cell r="G957" t="str">
            <v>IDR</v>
          </cell>
          <cell r="H957">
            <v>923780</v>
          </cell>
          <cell r="I957">
            <v>923780</v>
          </cell>
          <cell r="J957">
            <v>0</v>
          </cell>
        </row>
        <row r="958">
          <cell r="A958" t="str">
            <v>ID005400</v>
          </cell>
          <cell r="B958">
            <v>5810003689</v>
          </cell>
          <cell r="C958" t="str">
            <v>W39088</v>
          </cell>
          <cell r="D958">
            <v>5401</v>
          </cell>
          <cell r="E958">
            <v>9011</v>
          </cell>
          <cell r="F958">
            <v>38356</v>
          </cell>
          <cell r="G958" t="str">
            <v>IDR</v>
          </cell>
          <cell r="H958">
            <v>82711</v>
          </cell>
          <cell r="I958">
            <v>82711</v>
          </cell>
          <cell r="J958">
            <v>0</v>
          </cell>
        </row>
        <row r="959">
          <cell r="A959" t="str">
            <v>ID005400</v>
          </cell>
          <cell r="B959">
            <v>5810003689</v>
          </cell>
          <cell r="C959" t="str">
            <v>W39088</v>
          </cell>
          <cell r="D959">
            <v>5401</v>
          </cell>
          <cell r="E959">
            <v>9011</v>
          </cell>
          <cell r="F959">
            <v>38356</v>
          </cell>
          <cell r="G959" t="str">
            <v>IDR</v>
          </cell>
          <cell r="H959">
            <v>923780</v>
          </cell>
          <cell r="I959">
            <v>923780</v>
          </cell>
          <cell r="J959">
            <v>0</v>
          </cell>
        </row>
        <row r="960">
          <cell r="A960" t="str">
            <v>ID005400</v>
          </cell>
          <cell r="B960">
            <v>5810003690</v>
          </cell>
          <cell r="C960" t="str">
            <v>W39088</v>
          </cell>
          <cell r="D960">
            <v>5401</v>
          </cell>
          <cell r="E960">
            <v>9011</v>
          </cell>
          <cell r="F960">
            <v>38356</v>
          </cell>
          <cell r="G960" t="str">
            <v>IDR</v>
          </cell>
          <cell r="H960">
            <v>82711</v>
          </cell>
          <cell r="I960">
            <v>82711</v>
          </cell>
          <cell r="J960">
            <v>0</v>
          </cell>
        </row>
        <row r="961">
          <cell r="A961" t="str">
            <v>ID005400</v>
          </cell>
          <cell r="B961">
            <v>5810003690</v>
          </cell>
          <cell r="C961" t="str">
            <v>W39088</v>
          </cell>
          <cell r="D961">
            <v>5401</v>
          </cell>
          <cell r="E961">
            <v>9011</v>
          </cell>
          <cell r="F961">
            <v>38356</v>
          </cell>
          <cell r="G961" t="str">
            <v>IDR</v>
          </cell>
          <cell r="H961">
            <v>923780</v>
          </cell>
          <cell r="I961">
            <v>923780</v>
          </cell>
          <cell r="J961">
            <v>0</v>
          </cell>
        </row>
        <row r="962">
          <cell r="A962" t="str">
            <v>ID005400</v>
          </cell>
          <cell r="B962">
            <v>5810003691</v>
          </cell>
          <cell r="C962" t="str">
            <v>W39088</v>
          </cell>
          <cell r="D962">
            <v>5401</v>
          </cell>
          <cell r="E962">
            <v>9011</v>
          </cell>
          <cell r="F962">
            <v>38356</v>
          </cell>
          <cell r="G962" t="str">
            <v>IDR</v>
          </cell>
          <cell r="H962">
            <v>82711</v>
          </cell>
          <cell r="I962">
            <v>82711</v>
          </cell>
          <cell r="J962">
            <v>0</v>
          </cell>
        </row>
        <row r="963">
          <cell r="A963" t="str">
            <v>ID005400</v>
          </cell>
          <cell r="B963">
            <v>5810003691</v>
          </cell>
          <cell r="C963" t="str">
            <v>W39088</v>
          </cell>
          <cell r="D963">
            <v>5401</v>
          </cell>
          <cell r="E963">
            <v>9011</v>
          </cell>
          <cell r="F963">
            <v>38356</v>
          </cell>
          <cell r="G963" t="str">
            <v>IDR</v>
          </cell>
          <cell r="H963">
            <v>923780</v>
          </cell>
          <cell r="I963">
            <v>923780</v>
          </cell>
          <cell r="J963">
            <v>0</v>
          </cell>
        </row>
        <row r="964">
          <cell r="A964" t="str">
            <v>ID005400</v>
          </cell>
          <cell r="B964">
            <v>5810003692</v>
          </cell>
          <cell r="C964" t="str">
            <v>W39088</v>
          </cell>
          <cell r="D964">
            <v>5401</v>
          </cell>
          <cell r="E964">
            <v>9011</v>
          </cell>
          <cell r="F964">
            <v>38356</v>
          </cell>
          <cell r="G964" t="str">
            <v>IDR</v>
          </cell>
          <cell r="H964">
            <v>82711</v>
          </cell>
          <cell r="I964">
            <v>82711</v>
          </cell>
          <cell r="J964">
            <v>0</v>
          </cell>
        </row>
        <row r="965">
          <cell r="A965" t="str">
            <v>ID005400</v>
          </cell>
          <cell r="B965">
            <v>5810003692</v>
          </cell>
          <cell r="C965" t="str">
            <v>W39088</v>
          </cell>
          <cell r="D965">
            <v>5401</v>
          </cell>
          <cell r="E965">
            <v>9011</v>
          </cell>
          <cell r="F965">
            <v>38356</v>
          </cell>
          <cell r="G965" t="str">
            <v>IDR</v>
          </cell>
          <cell r="H965">
            <v>923780</v>
          </cell>
          <cell r="I965">
            <v>923780</v>
          </cell>
          <cell r="J965">
            <v>0</v>
          </cell>
        </row>
        <row r="966">
          <cell r="A966" t="str">
            <v>ID005400</v>
          </cell>
          <cell r="B966">
            <v>5810003693</v>
          </cell>
          <cell r="C966" t="str">
            <v>W39088</v>
          </cell>
          <cell r="D966">
            <v>5401</v>
          </cell>
          <cell r="E966">
            <v>9011</v>
          </cell>
          <cell r="F966">
            <v>38356</v>
          </cell>
          <cell r="G966" t="str">
            <v>IDR</v>
          </cell>
          <cell r="H966">
            <v>82711</v>
          </cell>
          <cell r="I966">
            <v>82711</v>
          </cell>
          <cell r="J966">
            <v>0</v>
          </cell>
        </row>
        <row r="967">
          <cell r="A967" t="str">
            <v>ID005400</v>
          </cell>
          <cell r="B967">
            <v>5810003693</v>
          </cell>
          <cell r="C967" t="str">
            <v>W39088</v>
          </cell>
          <cell r="D967">
            <v>5401</v>
          </cell>
          <cell r="E967">
            <v>9011</v>
          </cell>
          <cell r="F967">
            <v>38356</v>
          </cell>
          <cell r="G967" t="str">
            <v>IDR</v>
          </cell>
          <cell r="H967">
            <v>923780</v>
          </cell>
          <cell r="I967">
            <v>923780</v>
          </cell>
          <cell r="J967">
            <v>0</v>
          </cell>
        </row>
        <row r="968">
          <cell r="A968" t="str">
            <v>ID005400</v>
          </cell>
          <cell r="B968">
            <v>5810003694</v>
          </cell>
          <cell r="C968" t="str">
            <v>W39088</v>
          </cell>
          <cell r="D968">
            <v>5401</v>
          </cell>
          <cell r="E968">
            <v>9011</v>
          </cell>
          <cell r="F968">
            <v>38356</v>
          </cell>
          <cell r="G968" t="str">
            <v>IDR</v>
          </cell>
          <cell r="H968">
            <v>82711</v>
          </cell>
          <cell r="I968">
            <v>82711</v>
          </cell>
          <cell r="J968">
            <v>0</v>
          </cell>
        </row>
        <row r="969">
          <cell r="A969" t="str">
            <v>ID005400</v>
          </cell>
          <cell r="B969">
            <v>5810003694</v>
          </cell>
          <cell r="C969" t="str">
            <v>W39088</v>
          </cell>
          <cell r="D969">
            <v>5401</v>
          </cell>
          <cell r="E969">
            <v>9011</v>
          </cell>
          <cell r="F969">
            <v>38356</v>
          </cell>
          <cell r="G969" t="str">
            <v>IDR</v>
          </cell>
          <cell r="H969">
            <v>923780</v>
          </cell>
          <cell r="I969">
            <v>923780</v>
          </cell>
          <cell r="J969">
            <v>0</v>
          </cell>
        </row>
        <row r="970">
          <cell r="A970" t="str">
            <v>ID005400</v>
          </cell>
          <cell r="B970">
            <v>5810003695</v>
          </cell>
          <cell r="C970" t="str">
            <v>W39088</v>
          </cell>
          <cell r="D970">
            <v>5401</v>
          </cell>
          <cell r="E970">
            <v>9011</v>
          </cell>
          <cell r="F970">
            <v>38356</v>
          </cell>
          <cell r="G970" t="str">
            <v>IDR</v>
          </cell>
          <cell r="H970">
            <v>82711</v>
          </cell>
          <cell r="I970">
            <v>82711</v>
          </cell>
          <cell r="J970">
            <v>0</v>
          </cell>
        </row>
        <row r="971">
          <cell r="A971" t="str">
            <v>ID005400</v>
          </cell>
          <cell r="B971">
            <v>5810003695</v>
          </cell>
          <cell r="C971" t="str">
            <v>W39088</v>
          </cell>
          <cell r="D971">
            <v>5401</v>
          </cell>
          <cell r="E971">
            <v>9011</v>
          </cell>
          <cell r="F971">
            <v>38356</v>
          </cell>
          <cell r="G971" t="str">
            <v>IDR</v>
          </cell>
          <cell r="H971">
            <v>923780</v>
          </cell>
          <cell r="I971">
            <v>923780</v>
          </cell>
          <cell r="J971">
            <v>0</v>
          </cell>
        </row>
        <row r="972">
          <cell r="A972" t="str">
            <v>ID005400</v>
          </cell>
          <cell r="B972">
            <v>5810003696</v>
          </cell>
          <cell r="C972" t="str">
            <v>W39088</v>
          </cell>
          <cell r="D972">
            <v>5401</v>
          </cell>
          <cell r="E972">
            <v>9011</v>
          </cell>
          <cell r="F972">
            <v>38356</v>
          </cell>
          <cell r="G972" t="str">
            <v>IDR</v>
          </cell>
          <cell r="H972">
            <v>82711</v>
          </cell>
          <cell r="I972">
            <v>82711</v>
          </cell>
          <cell r="J972">
            <v>0</v>
          </cell>
        </row>
        <row r="973">
          <cell r="A973" t="str">
            <v>ID005400</v>
          </cell>
          <cell r="B973">
            <v>5810003696</v>
          </cell>
          <cell r="C973" t="str">
            <v>W39088</v>
          </cell>
          <cell r="D973">
            <v>5401</v>
          </cell>
          <cell r="E973">
            <v>9011</v>
          </cell>
          <cell r="F973">
            <v>38356</v>
          </cell>
          <cell r="G973" t="str">
            <v>IDR</v>
          </cell>
          <cell r="H973">
            <v>923780</v>
          </cell>
          <cell r="I973">
            <v>923780</v>
          </cell>
          <cell r="J973">
            <v>0</v>
          </cell>
        </row>
        <row r="974">
          <cell r="A974" t="str">
            <v>ID005400</v>
          </cell>
          <cell r="B974">
            <v>5810003697</v>
          </cell>
          <cell r="C974" t="str">
            <v>W39088</v>
          </cell>
          <cell r="D974">
            <v>5401</v>
          </cell>
          <cell r="E974">
            <v>9011</v>
          </cell>
          <cell r="F974">
            <v>38356</v>
          </cell>
          <cell r="G974" t="str">
            <v>IDR</v>
          </cell>
          <cell r="H974">
            <v>82711</v>
          </cell>
          <cell r="I974">
            <v>82711</v>
          </cell>
          <cell r="J974">
            <v>0</v>
          </cell>
        </row>
        <row r="975">
          <cell r="A975" t="str">
            <v>ID005400</v>
          </cell>
          <cell r="B975">
            <v>5810003697</v>
          </cell>
          <cell r="C975" t="str">
            <v>W39088</v>
          </cell>
          <cell r="D975">
            <v>5401</v>
          </cell>
          <cell r="E975">
            <v>9011</v>
          </cell>
          <cell r="F975">
            <v>38356</v>
          </cell>
          <cell r="G975" t="str">
            <v>IDR</v>
          </cell>
          <cell r="H975">
            <v>923780</v>
          </cell>
          <cell r="I975">
            <v>923780</v>
          </cell>
          <cell r="J975">
            <v>0</v>
          </cell>
        </row>
        <row r="976">
          <cell r="A976" t="str">
            <v>ID005400</v>
          </cell>
          <cell r="B976">
            <v>5810003698</v>
          </cell>
          <cell r="C976" t="str">
            <v>W39088</v>
          </cell>
          <cell r="D976">
            <v>5401</v>
          </cell>
          <cell r="E976">
            <v>9011</v>
          </cell>
          <cell r="F976">
            <v>38356</v>
          </cell>
          <cell r="G976" t="str">
            <v>IDR</v>
          </cell>
          <cell r="H976">
            <v>82711</v>
          </cell>
          <cell r="I976">
            <v>82711</v>
          </cell>
          <cell r="J976">
            <v>0</v>
          </cell>
        </row>
        <row r="977">
          <cell r="A977" t="str">
            <v>ID005400</v>
          </cell>
          <cell r="B977">
            <v>5810003698</v>
          </cell>
          <cell r="C977" t="str">
            <v>W39088</v>
          </cell>
          <cell r="D977">
            <v>5401</v>
          </cell>
          <cell r="E977">
            <v>9011</v>
          </cell>
          <cell r="F977">
            <v>38356</v>
          </cell>
          <cell r="G977" t="str">
            <v>IDR</v>
          </cell>
          <cell r="H977">
            <v>923780</v>
          </cell>
          <cell r="I977">
            <v>923780</v>
          </cell>
          <cell r="J977">
            <v>0</v>
          </cell>
        </row>
        <row r="978">
          <cell r="A978" t="str">
            <v>ID005400</v>
          </cell>
          <cell r="B978">
            <v>5810003699</v>
          </cell>
          <cell r="C978" t="str">
            <v>W39088</v>
          </cell>
          <cell r="D978">
            <v>5401</v>
          </cell>
          <cell r="E978">
            <v>9011</v>
          </cell>
          <cell r="F978">
            <v>38356</v>
          </cell>
          <cell r="G978" t="str">
            <v>IDR</v>
          </cell>
          <cell r="H978">
            <v>82711</v>
          </cell>
          <cell r="I978">
            <v>82711</v>
          </cell>
          <cell r="J978">
            <v>0</v>
          </cell>
        </row>
        <row r="979">
          <cell r="A979" t="str">
            <v>ID005400</v>
          </cell>
          <cell r="B979">
            <v>5810003699</v>
          </cell>
          <cell r="C979" t="str">
            <v>W39088</v>
          </cell>
          <cell r="D979">
            <v>5401</v>
          </cell>
          <cell r="E979">
            <v>9011</v>
          </cell>
          <cell r="F979">
            <v>38356</v>
          </cell>
          <cell r="G979" t="str">
            <v>IDR</v>
          </cell>
          <cell r="H979">
            <v>923780</v>
          </cell>
          <cell r="I979">
            <v>923780</v>
          </cell>
          <cell r="J979">
            <v>0</v>
          </cell>
        </row>
        <row r="980">
          <cell r="A980" t="str">
            <v>ID005400</v>
          </cell>
          <cell r="B980">
            <v>5810003700</v>
          </cell>
          <cell r="C980" t="str">
            <v>W39088</v>
          </cell>
          <cell r="D980">
            <v>5401</v>
          </cell>
          <cell r="E980">
            <v>9011</v>
          </cell>
          <cell r="F980">
            <v>38356</v>
          </cell>
          <cell r="G980" t="str">
            <v>IDR</v>
          </cell>
          <cell r="H980">
            <v>82711</v>
          </cell>
          <cell r="I980">
            <v>82711</v>
          </cell>
          <cell r="J980">
            <v>0</v>
          </cell>
        </row>
        <row r="981">
          <cell r="A981" t="str">
            <v>ID005400</v>
          </cell>
          <cell r="B981">
            <v>5810003700</v>
          </cell>
          <cell r="C981" t="str">
            <v>W39088</v>
          </cell>
          <cell r="D981">
            <v>5401</v>
          </cell>
          <cell r="E981">
            <v>9011</v>
          </cell>
          <cell r="F981">
            <v>38356</v>
          </cell>
          <cell r="G981" t="str">
            <v>IDR</v>
          </cell>
          <cell r="H981">
            <v>923780</v>
          </cell>
          <cell r="I981">
            <v>923780</v>
          </cell>
          <cell r="J981">
            <v>0</v>
          </cell>
        </row>
        <row r="982">
          <cell r="A982" t="str">
            <v>ID005400</v>
          </cell>
          <cell r="B982">
            <v>5810003701</v>
          </cell>
          <cell r="C982" t="str">
            <v>W39088</v>
          </cell>
          <cell r="D982">
            <v>5401</v>
          </cell>
          <cell r="E982">
            <v>9011</v>
          </cell>
          <cell r="F982">
            <v>38356</v>
          </cell>
          <cell r="G982" t="str">
            <v>IDR</v>
          </cell>
          <cell r="H982">
            <v>82711</v>
          </cell>
          <cell r="I982">
            <v>82711</v>
          </cell>
          <cell r="J982">
            <v>0</v>
          </cell>
        </row>
        <row r="983">
          <cell r="A983" t="str">
            <v>ID005400</v>
          </cell>
          <cell r="B983">
            <v>5810003701</v>
          </cell>
          <cell r="C983" t="str">
            <v>W39088</v>
          </cell>
          <cell r="D983">
            <v>5401</v>
          </cell>
          <cell r="E983">
            <v>9011</v>
          </cell>
          <cell r="F983">
            <v>38356</v>
          </cell>
          <cell r="G983" t="str">
            <v>IDR</v>
          </cell>
          <cell r="H983">
            <v>923780</v>
          </cell>
          <cell r="I983">
            <v>923780</v>
          </cell>
          <cell r="J983">
            <v>0</v>
          </cell>
        </row>
        <row r="984">
          <cell r="A984" t="str">
            <v>ID005400</v>
          </cell>
          <cell r="B984">
            <v>5810003702</v>
          </cell>
          <cell r="C984" t="str">
            <v>W39088</v>
          </cell>
          <cell r="D984">
            <v>5401</v>
          </cell>
          <cell r="E984">
            <v>9011</v>
          </cell>
          <cell r="F984">
            <v>38356</v>
          </cell>
          <cell r="G984" t="str">
            <v>IDR</v>
          </cell>
          <cell r="H984">
            <v>82711</v>
          </cell>
          <cell r="I984">
            <v>82711</v>
          </cell>
          <cell r="J984">
            <v>0</v>
          </cell>
        </row>
        <row r="985">
          <cell r="A985" t="str">
            <v>ID005400</v>
          </cell>
          <cell r="B985">
            <v>5810003702</v>
          </cell>
          <cell r="C985" t="str">
            <v>W39088</v>
          </cell>
          <cell r="D985">
            <v>5401</v>
          </cell>
          <cell r="E985">
            <v>9011</v>
          </cell>
          <cell r="F985">
            <v>38356</v>
          </cell>
          <cell r="G985" t="str">
            <v>IDR</v>
          </cell>
          <cell r="H985">
            <v>923780</v>
          </cell>
          <cell r="I985">
            <v>923780</v>
          </cell>
          <cell r="J985">
            <v>0</v>
          </cell>
        </row>
        <row r="986">
          <cell r="A986" t="str">
            <v>ID005400</v>
          </cell>
          <cell r="B986">
            <v>5810003703</v>
          </cell>
          <cell r="C986" t="str">
            <v>W39088</v>
          </cell>
          <cell r="D986">
            <v>5401</v>
          </cell>
          <cell r="E986">
            <v>9011</v>
          </cell>
          <cell r="F986">
            <v>38356</v>
          </cell>
          <cell r="G986" t="str">
            <v>IDR</v>
          </cell>
          <cell r="H986">
            <v>82711</v>
          </cell>
          <cell r="I986">
            <v>82711</v>
          </cell>
          <cell r="J986">
            <v>0</v>
          </cell>
        </row>
        <row r="987">
          <cell r="A987" t="str">
            <v>ID005400</v>
          </cell>
          <cell r="B987">
            <v>5810003703</v>
          </cell>
          <cell r="C987" t="str">
            <v>W39088</v>
          </cell>
          <cell r="D987">
            <v>5401</v>
          </cell>
          <cell r="E987">
            <v>9011</v>
          </cell>
          <cell r="F987">
            <v>38356</v>
          </cell>
          <cell r="G987" t="str">
            <v>IDR</v>
          </cell>
          <cell r="H987">
            <v>923780</v>
          </cell>
          <cell r="I987">
            <v>923780</v>
          </cell>
          <cell r="J987">
            <v>0</v>
          </cell>
        </row>
        <row r="988">
          <cell r="A988" t="str">
            <v>ID005400</v>
          </cell>
          <cell r="B988">
            <v>5810003704</v>
          </cell>
          <cell r="C988" t="str">
            <v>W39088</v>
          </cell>
          <cell r="D988">
            <v>5401</v>
          </cell>
          <cell r="E988">
            <v>9011</v>
          </cell>
          <cell r="F988">
            <v>38356</v>
          </cell>
          <cell r="G988" t="str">
            <v>IDR</v>
          </cell>
          <cell r="H988">
            <v>82711</v>
          </cell>
          <cell r="I988">
            <v>82711</v>
          </cell>
          <cell r="J988">
            <v>0</v>
          </cell>
        </row>
        <row r="989">
          <cell r="A989" t="str">
            <v>ID005400</v>
          </cell>
          <cell r="B989">
            <v>5810003704</v>
          </cell>
          <cell r="C989" t="str">
            <v>W39088</v>
          </cell>
          <cell r="D989">
            <v>5401</v>
          </cell>
          <cell r="E989">
            <v>9011</v>
          </cell>
          <cell r="F989">
            <v>38356</v>
          </cell>
          <cell r="G989" t="str">
            <v>IDR</v>
          </cell>
          <cell r="H989">
            <v>923780</v>
          </cell>
          <cell r="I989">
            <v>923780</v>
          </cell>
          <cell r="J989">
            <v>0</v>
          </cell>
        </row>
        <row r="990">
          <cell r="A990" t="str">
            <v>ID005400</v>
          </cell>
          <cell r="B990">
            <v>5810003705</v>
          </cell>
          <cell r="C990" t="str">
            <v>W39088</v>
          </cell>
          <cell r="D990">
            <v>5401</v>
          </cell>
          <cell r="E990">
            <v>9011</v>
          </cell>
          <cell r="F990">
            <v>38356</v>
          </cell>
          <cell r="G990" t="str">
            <v>IDR</v>
          </cell>
          <cell r="H990">
            <v>82711</v>
          </cell>
          <cell r="I990">
            <v>82711</v>
          </cell>
          <cell r="J990">
            <v>0</v>
          </cell>
        </row>
        <row r="991">
          <cell r="A991" t="str">
            <v>ID005400</v>
          </cell>
          <cell r="B991">
            <v>5810003705</v>
          </cell>
          <cell r="C991" t="str">
            <v>W39088</v>
          </cell>
          <cell r="D991">
            <v>5401</v>
          </cell>
          <cell r="E991">
            <v>9011</v>
          </cell>
          <cell r="F991">
            <v>38356</v>
          </cell>
          <cell r="G991" t="str">
            <v>IDR</v>
          </cell>
          <cell r="H991">
            <v>923780</v>
          </cell>
          <cell r="I991">
            <v>923780</v>
          </cell>
          <cell r="J991">
            <v>0</v>
          </cell>
        </row>
        <row r="992">
          <cell r="A992" t="str">
            <v>ID005400</v>
          </cell>
          <cell r="B992">
            <v>5810003706</v>
          </cell>
          <cell r="C992" t="str">
            <v>W39088</v>
          </cell>
          <cell r="D992">
            <v>5401</v>
          </cell>
          <cell r="E992">
            <v>9011</v>
          </cell>
          <cell r="F992">
            <v>38356</v>
          </cell>
          <cell r="G992" t="str">
            <v>IDR</v>
          </cell>
          <cell r="H992">
            <v>82711</v>
          </cell>
          <cell r="I992">
            <v>82711</v>
          </cell>
          <cell r="J992">
            <v>0</v>
          </cell>
        </row>
        <row r="993">
          <cell r="A993" t="str">
            <v>ID005400</v>
          </cell>
          <cell r="B993">
            <v>5810003706</v>
          </cell>
          <cell r="C993" t="str">
            <v>W39088</v>
          </cell>
          <cell r="D993">
            <v>5401</v>
          </cell>
          <cell r="E993">
            <v>9011</v>
          </cell>
          <cell r="F993">
            <v>38356</v>
          </cell>
          <cell r="G993" t="str">
            <v>IDR</v>
          </cell>
          <cell r="H993">
            <v>923780</v>
          </cell>
          <cell r="I993">
            <v>923780</v>
          </cell>
          <cell r="J993">
            <v>0</v>
          </cell>
        </row>
        <row r="994">
          <cell r="A994" t="str">
            <v>ID005400</v>
          </cell>
          <cell r="B994">
            <v>5810003707</v>
          </cell>
          <cell r="C994" t="str">
            <v>W39088</v>
          </cell>
          <cell r="D994">
            <v>5401</v>
          </cell>
          <cell r="E994">
            <v>9011</v>
          </cell>
          <cell r="F994">
            <v>38356</v>
          </cell>
          <cell r="G994" t="str">
            <v>IDR</v>
          </cell>
          <cell r="H994">
            <v>82711</v>
          </cell>
          <cell r="I994">
            <v>82711</v>
          </cell>
          <cell r="J994">
            <v>0</v>
          </cell>
        </row>
        <row r="995">
          <cell r="A995" t="str">
            <v>ID005400</v>
          </cell>
          <cell r="B995">
            <v>5810003707</v>
          </cell>
          <cell r="C995" t="str">
            <v>W39088</v>
          </cell>
          <cell r="D995">
            <v>5401</v>
          </cell>
          <cell r="E995">
            <v>9011</v>
          </cell>
          <cell r="F995">
            <v>38356</v>
          </cell>
          <cell r="G995" t="str">
            <v>IDR</v>
          </cell>
          <cell r="H995">
            <v>923780</v>
          </cell>
          <cell r="I995">
            <v>923780</v>
          </cell>
          <cell r="J995">
            <v>0</v>
          </cell>
        </row>
        <row r="996">
          <cell r="A996" t="str">
            <v>ID005400</v>
          </cell>
          <cell r="B996">
            <v>5810003708</v>
          </cell>
          <cell r="C996" t="str">
            <v>W39088</v>
          </cell>
          <cell r="D996">
            <v>5401</v>
          </cell>
          <cell r="E996">
            <v>9011</v>
          </cell>
          <cell r="F996">
            <v>38356</v>
          </cell>
          <cell r="G996" t="str">
            <v>IDR</v>
          </cell>
          <cell r="H996">
            <v>82711</v>
          </cell>
          <cell r="I996">
            <v>82711</v>
          </cell>
          <cell r="J996">
            <v>0</v>
          </cell>
        </row>
        <row r="997">
          <cell r="A997" t="str">
            <v>ID005400</v>
          </cell>
          <cell r="B997">
            <v>5810003708</v>
          </cell>
          <cell r="C997" t="str">
            <v>W39088</v>
          </cell>
          <cell r="D997">
            <v>5401</v>
          </cell>
          <cell r="E997">
            <v>9011</v>
          </cell>
          <cell r="F997">
            <v>38356</v>
          </cell>
          <cell r="G997" t="str">
            <v>IDR</v>
          </cell>
          <cell r="H997">
            <v>923780</v>
          </cell>
          <cell r="I997">
            <v>923780</v>
          </cell>
          <cell r="J997">
            <v>0</v>
          </cell>
        </row>
        <row r="998">
          <cell r="A998" t="str">
            <v>ID005400</v>
          </cell>
          <cell r="B998">
            <v>5810003709</v>
          </cell>
          <cell r="C998" t="str">
            <v>W39088</v>
          </cell>
          <cell r="D998">
            <v>5401</v>
          </cell>
          <cell r="E998">
            <v>9011</v>
          </cell>
          <cell r="F998">
            <v>38356</v>
          </cell>
          <cell r="G998" t="str">
            <v>IDR</v>
          </cell>
          <cell r="H998">
            <v>82711</v>
          </cell>
          <cell r="I998">
            <v>82711</v>
          </cell>
          <cell r="J998">
            <v>0</v>
          </cell>
        </row>
        <row r="999">
          <cell r="A999" t="str">
            <v>ID005400</v>
          </cell>
          <cell r="B999">
            <v>5810003709</v>
          </cell>
          <cell r="C999" t="str">
            <v>W39088</v>
          </cell>
          <cell r="D999">
            <v>5401</v>
          </cell>
          <cell r="E999">
            <v>9011</v>
          </cell>
          <cell r="F999">
            <v>38356</v>
          </cell>
          <cell r="G999" t="str">
            <v>IDR</v>
          </cell>
          <cell r="H999">
            <v>923780</v>
          </cell>
          <cell r="I999">
            <v>923780</v>
          </cell>
          <cell r="J999">
            <v>0</v>
          </cell>
        </row>
        <row r="1000">
          <cell r="A1000" t="str">
            <v>ID005400</v>
          </cell>
          <cell r="B1000">
            <v>5810003710</v>
          </cell>
          <cell r="C1000" t="str">
            <v>W39088</v>
          </cell>
          <cell r="D1000">
            <v>5401</v>
          </cell>
          <cell r="E1000">
            <v>9011</v>
          </cell>
          <cell r="F1000">
            <v>38356</v>
          </cell>
          <cell r="G1000" t="str">
            <v>IDR</v>
          </cell>
          <cell r="H1000">
            <v>82711</v>
          </cell>
          <cell r="I1000">
            <v>82711</v>
          </cell>
          <cell r="J1000">
            <v>0</v>
          </cell>
        </row>
        <row r="1001">
          <cell r="A1001" t="str">
            <v>ID005400</v>
          </cell>
          <cell r="B1001">
            <v>5810003710</v>
          </cell>
          <cell r="C1001" t="str">
            <v>W39088</v>
          </cell>
          <cell r="D1001">
            <v>5401</v>
          </cell>
          <cell r="E1001">
            <v>9011</v>
          </cell>
          <cell r="F1001">
            <v>38356</v>
          </cell>
          <cell r="G1001" t="str">
            <v>IDR</v>
          </cell>
          <cell r="H1001">
            <v>923780</v>
          </cell>
          <cell r="I1001">
            <v>923780</v>
          </cell>
          <cell r="J1001">
            <v>0</v>
          </cell>
        </row>
        <row r="1002">
          <cell r="A1002" t="str">
            <v>ID005400</v>
          </cell>
          <cell r="B1002">
            <v>5810003711</v>
          </cell>
          <cell r="C1002" t="str">
            <v>W39088</v>
          </cell>
          <cell r="D1002">
            <v>5401</v>
          </cell>
          <cell r="E1002">
            <v>9011</v>
          </cell>
          <cell r="F1002">
            <v>38356</v>
          </cell>
          <cell r="G1002" t="str">
            <v>IDR</v>
          </cell>
          <cell r="H1002">
            <v>82711</v>
          </cell>
          <cell r="I1002">
            <v>82711</v>
          </cell>
          <cell r="J1002">
            <v>0</v>
          </cell>
        </row>
        <row r="1003">
          <cell r="A1003" t="str">
            <v>ID005400</v>
          </cell>
          <cell r="B1003">
            <v>5810003711</v>
          </cell>
          <cell r="C1003" t="str">
            <v>W39088</v>
          </cell>
          <cell r="D1003">
            <v>5401</v>
          </cell>
          <cell r="E1003">
            <v>9011</v>
          </cell>
          <cell r="F1003">
            <v>38356</v>
          </cell>
          <cell r="G1003" t="str">
            <v>IDR</v>
          </cell>
          <cell r="H1003">
            <v>923780</v>
          </cell>
          <cell r="I1003">
            <v>923780</v>
          </cell>
          <cell r="J1003">
            <v>0</v>
          </cell>
        </row>
        <row r="1004">
          <cell r="A1004" t="str">
            <v>ID005400</v>
          </cell>
          <cell r="B1004">
            <v>5810003712</v>
          </cell>
          <cell r="C1004" t="str">
            <v>W39088</v>
          </cell>
          <cell r="D1004">
            <v>5401</v>
          </cell>
          <cell r="E1004">
            <v>9011</v>
          </cell>
          <cell r="F1004">
            <v>38356</v>
          </cell>
          <cell r="G1004" t="str">
            <v>IDR</v>
          </cell>
          <cell r="H1004">
            <v>82711</v>
          </cell>
          <cell r="I1004">
            <v>82711</v>
          </cell>
          <cell r="J1004">
            <v>0</v>
          </cell>
        </row>
        <row r="1005">
          <cell r="A1005" t="str">
            <v>ID005400</v>
          </cell>
          <cell r="B1005">
            <v>5810003712</v>
          </cell>
          <cell r="C1005" t="str">
            <v>W39088</v>
          </cell>
          <cell r="D1005">
            <v>5401</v>
          </cell>
          <cell r="E1005">
            <v>9011</v>
          </cell>
          <cell r="F1005">
            <v>38356</v>
          </cell>
          <cell r="G1005" t="str">
            <v>IDR</v>
          </cell>
          <cell r="H1005">
            <v>923780</v>
          </cell>
          <cell r="I1005">
            <v>923780</v>
          </cell>
          <cell r="J1005">
            <v>0</v>
          </cell>
        </row>
        <row r="1006">
          <cell r="A1006" t="str">
            <v>ID005400</v>
          </cell>
          <cell r="B1006">
            <v>5810003713</v>
          </cell>
          <cell r="C1006" t="str">
            <v>W39088</v>
          </cell>
          <cell r="D1006">
            <v>5401</v>
          </cell>
          <cell r="E1006">
            <v>9011</v>
          </cell>
          <cell r="F1006">
            <v>38356</v>
          </cell>
          <cell r="G1006" t="str">
            <v>IDR</v>
          </cell>
          <cell r="H1006">
            <v>82711</v>
          </cell>
          <cell r="I1006">
            <v>82711</v>
          </cell>
          <cell r="J1006">
            <v>0</v>
          </cell>
        </row>
        <row r="1007">
          <cell r="A1007" t="str">
            <v>ID005400</v>
          </cell>
          <cell r="B1007">
            <v>5810003713</v>
          </cell>
          <cell r="C1007" t="str">
            <v>W39088</v>
          </cell>
          <cell r="D1007">
            <v>5401</v>
          </cell>
          <cell r="E1007">
            <v>9011</v>
          </cell>
          <cell r="F1007">
            <v>38356</v>
          </cell>
          <cell r="G1007" t="str">
            <v>IDR</v>
          </cell>
          <cell r="H1007">
            <v>923780</v>
          </cell>
          <cell r="I1007">
            <v>923780</v>
          </cell>
          <cell r="J1007">
            <v>0</v>
          </cell>
        </row>
        <row r="1008">
          <cell r="A1008" t="str">
            <v>ID005400</v>
          </cell>
          <cell r="B1008">
            <v>5810003714</v>
          </cell>
          <cell r="C1008" t="str">
            <v>W39088</v>
          </cell>
          <cell r="D1008">
            <v>5401</v>
          </cell>
          <cell r="E1008">
            <v>9011</v>
          </cell>
          <cell r="F1008">
            <v>38356</v>
          </cell>
          <cell r="G1008" t="str">
            <v>IDR</v>
          </cell>
          <cell r="H1008">
            <v>82711</v>
          </cell>
          <cell r="I1008">
            <v>82711</v>
          </cell>
          <cell r="J1008">
            <v>0</v>
          </cell>
        </row>
        <row r="1009">
          <cell r="A1009" t="str">
            <v>ID005400</v>
          </cell>
          <cell r="B1009">
            <v>5810003714</v>
          </cell>
          <cell r="C1009" t="str">
            <v>W39088</v>
          </cell>
          <cell r="D1009">
            <v>5401</v>
          </cell>
          <cell r="E1009">
            <v>9011</v>
          </cell>
          <cell r="F1009">
            <v>38356</v>
          </cell>
          <cell r="G1009" t="str">
            <v>IDR</v>
          </cell>
          <cell r="H1009">
            <v>923780</v>
          </cell>
          <cell r="I1009">
            <v>923780</v>
          </cell>
          <cell r="J1009">
            <v>0</v>
          </cell>
        </row>
        <row r="1010">
          <cell r="A1010" t="str">
            <v>ID005400</v>
          </cell>
          <cell r="B1010">
            <v>5810003715</v>
          </cell>
          <cell r="C1010" t="str">
            <v>W39088</v>
          </cell>
          <cell r="D1010">
            <v>5401</v>
          </cell>
          <cell r="E1010">
            <v>9011</v>
          </cell>
          <cell r="F1010">
            <v>38356</v>
          </cell>
          <cell r="G1010" t="str">
            <v>IDR</v>
          </cell>
          <cell r="H1010">
            <v>82711</v>
          </cell>
          <cell r="I1010">
            <v>82711</v>
          </cell>
          <cell r="J1010">
            <v>0</v>
          </cell>
        </row>
        <row r="1011">
          <cell r="A1011" t="str">
            <v>ID005400</v>
          </cell>
          <cell r="B1011">
            <v>5810003715</v>
          </cell>
          <cell r="C1011" t="str">
            <v>W39088</v>
          </cell>
          <cell r="D1011">
            <v>5401</v>
          </cell>
          <cell r="E1011">
            <v>9011</v>
          </cell>
          <cell r="F1011">
            <v>38356</v>
          </cell>
          <cell r="G1011" t="str">
            <v>IDR</v>
          </cell>
          <cell r="H1011">
            <v>923780</v>
          </cell>
          <cell r="I1011">
            <v>923780</v>
          </cell>
          <cell r="J1011">
            <v>0</v>
          </cell>
        </row>
        <row r="1012">
          <cell r="A1012" t="str">
            <v>ID005400</v>
          </cell>
          <cell r="B1012">
            <v>5810003716</v>
          </cell>
          <cell r="C1012" t="str">
            <v>W39088</v>
          </cell>
          <cell r="D1012">
            <v>5401</v>
          </cell>
          <cell r="E1012">
            <v>9011</v>
          </cell>
          <cell r="F1012">
            <v>38356</v>
          </cell>
          <cell r="G1012" t="str">
            <v>IDR</v>
          </cell>
          <cell r="H1012">
            <v>82711</v>
          </cell>
          <cell r="I1012">
            <v>82711</v>
          </cell>
          <cell r="J1012">
            <v>0</v>
          </cell>
        </row>
        <row r="1013">
          <cell r="A1013" t="str">
            <v>ID005400</v>
          </cell>
          <cell r="B1013">
            <v>5810003716</v>
          </cell>
          <cell r="C1013" t="str">
            <v>W39088</v>
          </cell>
          <cell r="D1013">
            <v>5401</v>
          </cell>
          <cell r="E1013">
            <v>9011</v>
          </cell>
          <cell r="F1013">
            <v>38356</v>
          </cell>
          <cell r="G1013" t="str">
            <v>IDR</v>
          </cell>
          <cell r="H1013">
            <v>923780</v>
          </cell>
          <cell r="I1013">
            <v>923780</v>
          </cell>
          <cell r="J1013">
            <v>0</v>
          </cell>
        </row>
        <row r="1014">
          <cell r="A1014" t="str">
            <v>ID005400</v>
          </cell>
          <cell r="B1014">
            <v>5810003717</v>
          </cell>
          <cell r="C1014" t="str">
            <v>W39088</v>
          </cell>
          <cell r="D1014">
            <v>5401</v>
          </cell>
          <cell r="E1014">
            <v>9011</v>
          </cell>
          <cell r="F1014">
            <v>38356</v>
          </cell>
          <cell r="G1014" t="str">
            <v>IDR</v>
          </cell>
          <cell r="H1014">
            <v>82711</v>
          </cell>
          <cell r="I1014">
            <v>82711</v>
          </cell>
          <cell r="J1014">
            <v>0</v>
          </cell>
        </row>
        <row r="1015">
          <cell r="A1015" t="str">
            <v>ID005400</v>
          </cell>
          <cell r="B1015">
            <v>5810003717</v>
          </cell>
          <cell r="C1015" t="str">
            <v>W39088</v>
          </cell>
          <cell r="D1015">
            <v>5401</v>
          </cell>
          <cell r="E1015">
            <v>9011</v>
          </cell>
          <cell r="F1015">
            <v>38356</v>
          </cell>
          <cell r="G1015" t="str">
            <v>IDR</v>
          </cell>
          <cell r="H1015">
            <v>923780</v>
          </cell>
          <cell r="I1015">
            <v>923780</v>
          </cell>
          <cell r="J1015">
            <v>0</v>
          </cell>
        </row>
        <row r="1016">
          <cell r="A1016" t="str">
            <v>ID005400</v>
          </cell>
          <cell r="B1016">
            <v>5810003718</v>
          </cell>
          <cell r="C1016" t="str">
            <v>W39088</v>
          </cell>
          <cell r="D1016">
            <v>5401</v>
          </cell>
          <cell r="E1016">
            <v>9011</v>
          </cell>
          <cell r="F1016">
            <v>38356</v>
          </cell>
          <cell r="G1016" t="str">
            <v>IDR</v>
          </cell>
          <cell r="H1016">
            <v>82711</v>
          </cell>
          <cell r="I1016">
            <v>82711</v>
          </cell>
          <cell r="J1016">
            <v>0</v>
          </cell>
        </row>
        <row r="1017">
          <cell r="A1017" t="str">
            <v>ID005400</v>
          </cell>
          <cell r="B1017">
            <v>5810003718</v>
          </cell>
          <cell r="C1017" t="str">
            <v>W39088</v>
          </cell>
          <cell r="D1017">
            <v>5401</v>
          </cell>
          <cell r="E1017">
            <v>9011</v>
          </cell>
          <cell r="F1017">
            <v>38356</v>
          </cell>
          <cell r="G1017" t="str">
            <v>IDR</v>
          </cell>
          <cell r="H1017">
            <v>923780</v>
          </cell>
          <cell r="I1017">
            <v>923780</v>
          </cell>
          <cell r="J1017">
            <v>0</v>
          </cell>
        </row>
        <row r="1018">
          <cell r="A1018" t="str">
            <v>ID005400</v>
          </cell>
          <cell r="B1018">
            <v>5810003719</v>
          </cell>
          <cell r="C1018" t="str">
            <v>W39088</v>
          </cell>
          <cell r="D1018">
            <v>5401</v>
          </cell>
          <cell r="E1018">
            <v>9011</v>
          </cell>
          <cell r="F1018">
            <v>38356</v>
          </cell>
          <cell r="G1018" t="str">
            <v>IDR</v>
          </cell>
          <cell r="H1018">
            <v>82711</v>
          </cell>
          <cell r="I1018">
            <v>82711</v>
          </cell>
          <cell r="J1018">
            <v>0</v>
          </cell>
        </row>
        <row r="1019">
          <cell r="A1019" t="str">
            <v>ID005400</v>
          </cell>
          <cell r="B1019">
            <v>5810003719</v>
          </cell>
          <cell r="C1019" t="str">
            <v>W39088</v>
          </cell>
          <cell r="D1019">
            <v>5401</v>
          </cell>
          <cell r="E1019">
            <v>9011</v>
          </cell>
          <cell r="F1019">
            <v>38356</v>
          </cell>
          <cell r="G1019" t="str">
            <v>IDR</v>
          </cell>
          <cell r="H1019">
            <v>923780</v>
          </cell>
          <cell r="I1019">
            <v>923780</v>
          </cell>
          <cell r="J1019">
            <v>0</v>
          </cell>
        </row>
        <row r="1020">
          <cell r="A1020" t="str">
            <v>ID005400</v>
          </cell>
          <cell r="B1020">
            <v>5810003720</v>
          </cell>
          <cell r="C1020" t="str">
            <v>W39088</v>
          </cell>
          <cell r="D1020">
            <v>5401</v>
          </cell>
          <cell r="E1020">
            <v>9011</v>
          </cell>
          <cell r="F1020">
            <v>38356</v>
          </cell>
          <cell r="G1020" t="str">
            <v>IDR</v>
          </cell>
          <cell r="H1020">
            <v>82711</v>
          </cell>
          <cell r="I1020">
            <v>82711</v>
          </cell>
          <cell r="J1020">
            <v>0</v>
          </cell>
        </row>
        <row r="1021">
          <cell r="A1021" t="str">
            <v>ID005400</v>
          </cell>
          <cell r="B1021">
            <v>5810003720</v>
          </cell>
          <cell r="C1021" t="str">
            <v>W39088</v>
          </cell>
          <cell r="D1021">
            <v>5401</v>
          </cell>
          <cell r="E1021">
            <v>9011</v>
          </cell>
          <cell r="F1021">
            <v>38356</v>
          </cell>
          <cell r="G1021" t="str">
            <v>IDR</v>
          </cell>
          <cell r="H1021">
            <v>923780</v>
          </cell>
          <cell r="I1021">
            <v>923780</v>
          </cell>
          <cell r="J1021">
            <v>0</v>
          </cell>
        </row>
        <row r="1022">
          <cell r="A1022" t="str">
            <v>ID005400</v>
          </cell>
          <cell r="B1022">
            <v>5810003721</v>
          </cell>
          <cell r="C1022" t="str">
            <v>W39088</v>
          </cell>
          <cell r="D1022">
            <v>5401</v>
          </cell>
          <cell r="E1022">
            <v>9011</v>
          </cell>
          <cell r="F1022">
            <v>38356</v>
          </cell>
          <cell r="G1022" t="str">
            <v>IDR</v>
          </cell>
          <cell r="H1022">
            <v>82711</v>
          </cell>
          <cell r="I1022">
            <v>82711</v>
          </cell>
          <cell r="J1022">
            <v>0</v>
          </cell>
        </row>
        <row r="1023">
          <cell r="A1023" t="str">
            <v>ID005400</v>
          </cell>
          <cell r="B1023">
            <v>5810003721</v>
          </cell>
          <cell r="C1023" t="str">
            <v>W39088</v>
          </cell>
          <cell r="D1023">
            <v>5401</v>
          </cell>
          <cell r="E1023">
            <v>9011</v>
          </cell>
          <cell r="F1023">
            <v>38356</v>
          </cell>
          <cell r="G1023" t="str">
            <v>IDR</v>
          </cell>
          <cell r="H1023">
            <v>923780</v>
          </cell>
          <cell r="I1023">
            <v>923780</v>
          </cell>
          <cell r="J1023">
            <v>0</v>
          </cell>
        </row>
        <row r="1024">
          <cell r="A1024" t="str">
            <v>ID005400</v>
          </cell>
          <cell r="B1024">
            <v>5810003722</v>
          </cell>
          <cell r="C1024" t="str">
            <v>W39088</v>
          </cell>
          <cell r="D1024">
            <v>5401</v>
          </cell>
          <cell r="E1024">
            <v>9011</v>
          </cell>
          <cell r="F1024">
            <v>38356</v>
          </cell>
          <cell r="G1024" t="str">
            <v>IDR</v>
          </cell>
          <cell r="H1024">
            <v>82711</v>
          </cell>
          <cell r="I1024">
            <v>82711</v>
          </cell>
          <cell r="J1024">
            <v>0</v>
          </cell>
        </row>
        <row r="1025">
          <cell r="A1025" t="str">
            <v>ID005400</v>
          </cell>
          <cell r="B1025">
            <v>5810003722</v>
          </cell>
          <cell r="C1025" t="str">
            <v>W39088</v>
          </cell>
          <cell r="D1025">
            <v>5401</v>
          </cell>
          <cell r="E1025">
            <v>9011</v>
          </cell>
          <cell r="F1025">
            <v>38356</v>
          </cell>
          <cell r="G1025" t="str">
            <v>IDR</v>
          </cell>
          <cell r="H1025">
            <v>923780</v>
          </cell>
          <cell r="I1025">
            <v>923780</v>
          </cell>
          <cell r="J1025">
            <v>0</v>
          </cell>
        </row>
        <row r="1026">
          <cell r="A1026" t="str">
            <v>ID005400</v>
          </cell>
          <cell r="B1026">
            <v>5810003723</v>
          </cell>
          <cell r="C1026" t="str">
            <v>W39088</v>
          </cell>
          <cell r="D1026">
            <v>5401</v>
          </cell>
          <cell r="E1026">
            <v>9011</v>
          </cell>
          <cell r="F1026">
            <v>38356</v>
          </cell>
          <cell r="G1026" t="str">
            <v>IDR</v>
          </cell>
          <cell r="H1026">
            <v>82711</v>
          </cell>
          <cell r="I1026">
            <v>82711</v>
          </cell>
          <cell r="J1026">
            <v>0</v>
          </cell>
        </row>
        <row r="1027">
          <cell r="A1027" t="str">
            <v>ID005400</v>
          </cell>
          <cell r="B1027">
            <v>5810003723</v>
          </cell>
          <cell r="C1027" t="str">
            <v>W39088</v>
          </cell>
          <cell r="D1027">
            <v>5401</v>
          </cell>
          <cell r="E1027">
            <v>9011</v>
          </cell>
          <cell r="F1027">
            <v>38356</v>
          </cell>
          <cell r="G1027" t="str">
            <v>IDR</v>
          </cell>
          <cell r="H1027">
            <v>923780</v>
          </cell>
          <cell r="I1027">
            <v>923780</v>
          </cell>
          <cell r="J1027">
            <v>0</v>
          </cell>
        </row>
        <row r="1028">
          <cell r="A1028" t="str">
            <v>ID005400</v>
          </cell>
          <cell r="B1028">
            <v>5810003724</v>
          </cell>
          <cell r="C1028" t="str">
            <v>W39088</v>
          </cell>
          <cell r="D1028">
            <v>5401</v>
          </cell>
          <cell r="E1028">
            <v>9011</v>
          </cell>
          <cell r="F1028">
            <v>38356</v>
          </cell>
          <cell r="G1028" t="str">
            <v>IDR</v>
          </cell>
          <cell r="H1028">
            <v>82711</v>
          </cell>
          <cell r="I1028">
            <v>82711</v>
          </cell>
          <cell r="J1028">
            <v>0</v>
          </cell>
        </row>
        <row r="1029">
          <cell r="A1029" t="str">
            <v>ID005400</v>
          </cell>
          <cell r="B1029">
            <v>5810003724</v>
          </cell>
          <cell r="C1029" t="str">
            <v>W39088</v>
          </cell>
          <cell r="D1029">
            <v>5401</v>
          </cell>
          <cell r="E1029">
            <v>9011</v>
          </cell>
          <cell r="F1029">
            <v>38356</v>
          </cell>
          <cell r="G1029" t="str">
            <v>IDR</v>
          </cell>
          <cell r="H1029">
            <v>923780</v>
          </cell>
          <cell r="I1029">
            <v>923780</v>
          </cell>
          <cell r="J1029">
            <v>0</v>
          </cell>
        </row>
        <row r="1030">
          <cell r="A1030" t="str">
            <v>ID005400</v>
          </cell>
          <cell r="B1030">
            <v>5810003725</v>
          </cell>
          <cell r="C1030" t="str">
            <v>W39088</v>
          </cell>
          <cell r="D1030">
            <v>5401</v>
          </cell>
          <cell r="E1030">
            <v>9011</v>
          </cell>
          <cell r="F1030">
            <v>38356</v>
          </cell>
          <cell r="G1030" t="str">
            <v>IDR</v>
          </cell>
          <cell r="H1030">
            <v>82711</v>
          </cell>
          <cell r="I1030">
            <v>82711</v>
          </cell>
          <cell r="J1030">
            <v>0</v>
          </cell>
        </row>
        <row r="1031">
          <cell r="A1031" t="str">
            <v>ID005400</v>
          </cell>
          <cell r="B1031">
            <v>5810003725</v>
          </cell>
          <cell r="C1031" t="str">
            <v>W39088</v>
          </cell>
          <cell r="D1031">
            <v>5401</v>
          </cell>
          <cell r="E1031">
            <v>9011</v>
          </cell>
          <cell r="F1031">
            <v>38356</v>
          </cell>
          <cell r="G1031" t="str">
            <v>IDR</v>
          </cell>
          <cell r="H1031">
            <v>923780</v>
          </cell>
          <cell r="I1031">
            <v>923780</v>
          </cell>
          <cell r="J1031">
            <v>0</v>
          </cell>
        </row>
        <row r="1032">
          <cell r="A1032" t="str">
            <v>ID005400</v>
          </cell>
          <cell r="B1032">
            <v>5810003726</v>
          </cell>
          <cell r="C1032" t="str">
            <v>W39088</v>
          </cell>
          <cell r="D1032">
            <v>5401</v>
          </cell>
          <cell r="E1032">
            <v>9011</v>
          </cell>
          <cell r="F1032">
            <v>38356</v>
          </cell>
          <cell r="G1032" t="str">
            <v>IDR</v>
          </cell>
          <cell r="H1032">
            <v>82711</v>
          </cell>
          <cell r="I1032">
            <v>82711</v>
          </cell>
          <cell r="J1032">
            <v>0</v>
          </cell>
        </row>
        <row r="1033">
          <cell r="A1033" t="str">
            <v>ID005400</v>
          </cell>
          <cell r="B1033">
            <v>5810003726</v>
          </cell>
          <cell r="C1033" t="str">
            <v>W39088</v>
          </cell>
          <cell r="D1033">
            <v>5401</v>
          </cell>
          <cell r="E1033">
            <v>9011</v>
          </cell>
          <cell r="F1033">
            <v>38356</v>
          </cell>
          <cell r="G1033" t="str">
            <v>IDR</v>
          </cell>
          <cell r="H1033">
            <v>923780</v>
          </cell>
          <cell r="I1033">
            <v>923780</v>
          </cell>
          <cell r="J1033">
            <v>0</v>
          </cell>
        </row>
        <row r="1034">
          <cell r="A1034" t="str">
            <v>ID005400</v>
          </cell>
          <cell r="B1034">
            <v>5810003727</v>
          </cell>
          <cell r="C1034" t="str">
            <v>W39088</v>
          </cell>
          <cell r="D1034">
            <v>5401</v>
          </cell>
          <cell r="E1034">
            <v>9011</v>
          </cell>
          <cell r="F1034">
            <v>38356</v>
          </cell>
          <cell r="G1034" t="str">
            <v>IDR</v>
          </cell>
          <cell r="H1034">
            <v>82711</v>
          </cell>
          <cell r="I1034">
            <v>82711</v>
          </cell>
          <cell r="J1034">
            <v>0</v>
          </cell>
        </row>
        <row r="1035">
          <cell r="A1035" t="str">
            <v>ID005400</v>
          </cell>
          <cell r="B1035">
            <v>5810003727</v>
          </cell>
          <cell r="C1035" t="str">
            <v>W39088</v>
          </cell>
          <cell r="D1035">
            <v>5401</v>
          </cell>
          <cell r="E1035">
            <v>9011</v>
          </cell>
          <cell r="F1035">
            <v>38356</v>
          </cell>
          <cell r="G1035" t="str">
            <v>IDR</v>
          </cell>
          <cell r="H1035">
            <v>923780</v>
          </cell>
          <cell r="I1035">
            <v>923780</v>
          </cell>
          <cell r="J1035">
            <v>0</v>
          </cell>
        </row>
        <row r="1036">
          <cell r="A1036" t="str">
            <v>ID005400</v>
          </cell>
          <cell r="B1036">
            <v>5810003728</v>
          </cell>
          <cell r="C1036" t="str">
            <v>W39088</v>
          </cell>
          <cell r="D1036">
            <v>5401</v>
          </cell>
          <cell r="E1036">
            <v>9011</v>
          </cell>
          <cell r="F1036">
            <v>38356</v>
          </cell>
          <cell r="G1036" t="str">
            <v>IDR</v>
          </cell>
          <cell r="H1036">
            <v>82711</v>
          </cell>
          <cell r="I1036">
            <v>82711</v>
          </cell>
          <cell r="J1036">
            <v>0</v>
          </cell>
        </row>
        <row r="1037">
          <cell r="A1037" t="str">
            <v>ID005400</v>
          </cell>
          <cell r="B1037">
            <v>5810003728</v>
          </cell>
          <cell r="C1037" t="str">
            <v>W39088</v>
          </cell>
          <cell r="D1037">
            <v>5401</v>
          </cell>
          <cell r="E1037">
            <v>9011</v>
          </cell>
          <cell r="F1037">
            <v>38356</v>
          </cell>
          <cell r="G1037" t="str">
            <v>IDR</v>
          </cell>
          <cell r="H1037">
            <v>923780</v>
          </cell>
          <cell r="I1037">
            <v>923780</v>
          </cell>
          <cell r="J1037">
            <v>0</v>
          </cell>
        </row>
        <row r="1038">
          <cell r="A1038" t="str">
            <v>ID005400</v>
          </cell>
          <cell r="B1038">
            <v>5810003729</v>
          </cell>
          <cell r="C1038" t="str">
            <v>W39088</v>
          </cell>
          <cell r="D1038">
            <v>5401</v>
          </cell>
          <cell r="E1038">
            <v>9011</v>
          </cell>
          <cell r="F1038">
            <v>38356</v>
          </cell>
          <cell r="G1038" t="str">
            <v>IDR</v>
          </cell>
          <cell r="H1038">
            <v>82711</v>
          </cell>
          <cell r="I1038">
            <v>82711</v>
          </cell>
          <cell r="J1038">
            <v>0</v>
          </cell>
        </row>
        <row r="1039">
          <cell r="A1039" t="str">
            <v>ID005400</v>
          </cell>
          <cell r="B1039">
            <v>5810003729</v>
          </cell>
          <cell r="C1039" t="str">
            <v>W39088</v>
          </cell>
          <cell r="D1039">
            <v>5401</v>
          </cell>
          <cell r="E1039">
            <v>9011</v>
          </cell>
          <cell r="F1039">
            <v>38356</v>
          </cell>
          <cell r="G1039" t="str">
            <v>IDR</v>
          </cell>
          <cell r="H1039">
            <v>923780</v>
          </cell>
          <cell r="I1039">
            <v>923780</v>
          </cell>
          <cell r="J1039">
            <v>0</v>
          </cell>
        </row>
        <row r="1040">
          <cell r="A1040" t="str">
            <v>ID005400</v>
          </cell>
          <cell r="B1040">
            <v>5810003730</v>
          </cell>
          <cell r="C1040" t="str">
            <v>W39088</v>
          </cell>
          <cell r="D1040">
            <v>5401</v>
          </cell>
          <cell r="E1040">
            <v>9011</v>
          </cell>
          <cell r="F1040">
            <v>38356</v>
          </cell>
          <cell r="G1040" t="str">
            <v>IDR</v>
          </cell>
          <cell r="H1040">
            <v>82711</v>
          </cell>
          <cell r="I1040">
            <v>82711</v>
          </cell>
          <cell r="J1040">
            <v>0</v>
          </cell>
        </row>
        <row r="1041">
          <cell r="A1041" t="str">
            <v>ID005400</v>
          </cell>
          <cell r="B1041">
            <v>5810003730</v>
          </cell>
          <cell r="C1041" t="str">
            <v>W39088</v>
          </cell>
          <cell r="D1041">
            <v>5401</v>
          </cell>
          <cell r="E1041">
            <v>9011</v>
          </cell>
          <cell r="F1041">
            <v>38356</v>
          </cell>
          <cell r="G1041" t="str">
            <v>IDR</v>
          </cell>
          <cell r="H1041">
            <v>923780</v>
          </cell>
          <cell r="I1041">
            <v>923780</v>
          </cell>
          <cell r="J1041">
            <v>0</v>
          </cell>
        </row>
        <row r="1042">
          <cell r="A1042" t="str">
            <v>ID005400</v>
          </cell>
          <cell r="B1042">
            <v>5810003731</v>
          </cell>
          <cell r="C1042" t="str">
            <v>W39088</v>
          </cell>
          <cell r="D1042">
            <v>5401</v>
          </cell>
          <cell r="E1042">
            <v>9011</v>
          </cell>
          <cell r="F1042">
            <v>38356</v>
          </cell>
          <cell r="G1042" t="str">
            <v>IDR</v>
          </cell>
          <cell r="H1042">
            <v>82711</v>
          </cell>
          <cell r="I1042">
            <v>82711</v>
          </cell>
          <cell r="J1042">
            <v>0</v>
          </cell>
        </row>
        <row r="1043">
          <cell r="A1043" t="str">
            <v>ID005400</v>
          </cell>
          <cell r="B1043">
            <v>5810003731</v>
          </cell>
          <cell r="C1043" t="str">
            <v>W39088</v>
          </cell>
          <cell r="D1043">
            <v>5401</v>
          </cell>
          <cell r="E1043">
            <v>9011</v>
          </cell>
          <cell r="F1043">
            <v>38356</v>
          </cell>
          <cell r="G1043" t="str">
            <v>IDR</v>
          </cell>
          <cell r="H1043">
            <v>923780</v>
          </cell>
          <cell r="I1043">
            <v>923780</v>
          </cell>
          <cell r="J1043">
            <v>0</v>
          </cell>
        </row>
        <row r="1044">
          <cell r="A1044" t="str">
            <v>ID005400</v>
          </cell>
          <cell r="B1044">
            <v>5810003732</v>
          </cell>
          <cell r="C1044" t="str">
            <v>W39088</v>
          </cell>
          <cell r="D1044">
            <v>5401</v>
          </cell>
          <cell r="E1044">
            <v>9011</v>
          </cell>
          <cell r="F1044">
            <v>38356</v>
          </cell>
          <cell r="G1044" t="str">
            <v>IDR</v>
          </cell>
          <cell r="H1044">
            <v>82711</v>
          </cell>
          <cell r="I1044">
            <v>82711</v>
          </cell>
          <cell r="J1044">
            <v>0</v>
          </cell>
        </row>
        <row r="1045">
          <cell r="A1045" t="str">
            <v>ID005400</v>
          </cell>
          <cell r="B1045">
            <v>5810003732</v>
          </cell>
          <cell r="C1045" t="str">
            <v>W39088</v>
          </cell>
          <cell r="D1045">
            <v>5401</v>
          </cell>
          <cell r="E1045">
            <v>9011</v>
          </cell>
          <cell r="F1045">
            <v>38356</v>
          </cell>
          <cell r="G1045" t="str">
            <v>IDR</v>
          </cell>
          <cell r="H1045">
            <v>923780</v>
          </cell>
          <cell r="I1045">
            <v>923780</v>
          </cell>
          <cell r="J1045">
            <v>0</v>
          </cell>
        </row>
        <row r="1046">
          <cell r="A1046" t="str">
            <v>ID005400</v>
          </cell>
          <cell r="B1046">
            <v>5810003733</v>
          </cell>
          <cell r="C1046" t="str">
            <v>W39088</v>
          </cell>
          <cell r="D1046">
            <v>5401</v>
          </cell>
          <cell r="E1046">
            <v>9011</v>
          </cell>
          <cell r="F1046">
            <v>38356</v>
          </cell>
          <cell r="G1046" t="str">
            <v>IDR</v>
          </cell>
          <cell r="H1046">
            <v>82711</v>
          </cell>
          <cell r="I1046">
            <v>82711</v>
          </cell>
          <cell r="J1046">
            <v>0</v>
          </cell>
        </row>
        <row r="1047">
          <cell r="A1047" t="str">
            <v>ID005400</v>
          </cell>
          <cell r="B1047">
            <v>5810003733</v>
          </cell>
          <cell r="C1047" t="str">
            <v>W39088</v>
          </cell>
          <cell r="D1047">
            <v>5401</v>
          </cell>
          <cell r="E1047">
            <v>9011</v>
          </cell>
          <cell r="F1047">
            <v>38356</v>
          </cell>
          <cell r="G1047" t="str">
            <v>IDR</v>
          </cell>
          <cell r="H1047">
            <v>923780</v>
          </cell>
          <cell r="I1047">
            <v>923780</v>
          </cell>
          <cell r="J1047">
            <v>0</v>
          </cell>
        </row>
        <row r="1048">
          <cell r="A1048" t="str">
            <v>ID005400</v>
          </cell>
          <cell r="B1048">
            <v>5810003734</v>
          </cell>
          <cell r="C1048" t="str">
            <v>W39088</v>
          </cell>
          <cell r="D1048">
            <v>5401</v>
          </cell>
          <cell r="E1048">
            <v>9011</v>
          </cell>
          <cell r="F1048">
            <v>38356</v>
          </cell>
          <cell r="G1048" t="str">
            <v>IDR</v>
          </cell>
          <cell r="H1048">
            <v>82711</v>
          </cell>
          <cell r="I1048">
            <v>82711</v>
          </cell>
          <cell r="J1048">
            <v>0</v>
          </cell>
        </row>
        <row r="1049">
          <cell r="A1049" t="str">
            <v>ID005400</v>
          </cell>
          <cell r="B1049">
            <v>5810003734</v>
          </cell>
          <cell r="C1049" t="str">
            <v>W39088</v>
          </cell>
          <cell r="D1049">
            <v>5401</v>
          </cell>
          <cell r="E1049">
            <v>9011</v>
          </cell>
          <cell r="F1049">
            <v>38356</v>
          </cell>
          <cell r="G1049" t="str">
            <v>IDR</v>
          </cell>
          <cell r="H1049">
            <v>923780</v>
          </cell>
          <cell r="I1049">
            <v>923780</v>
          </cell>
          <cell r="J1049">
            <v>0</v>
          </cell>
        </row>
        <row r="1050">
          <cell r="A1050" t="str">
            <v>ID005400</v>
          </cell>
          <cell r="B1050">
            <v>5810003735</v>
          </cell>
          <cell r="C1050" t="str">
            <v>W39088</v>
          </cell>
          <cell r="D1050">
            <v>5401</v>
          </cell>
          <cell r="E1050">
            <v>9011</v>
          </cell>
          <cell r="F1050">
            <v>38356</v>
          </cell>
          <cell r="G1050" t="str">
            <v>IDR</v>
          </cell>
          <cell r="H1050">
            <v>82711</v>
          </cell>
          <cell r="I1050">
            <v>82711</v>
          </cell>
          <cell r="J1050">
            <v>0</v>
          </cell>
        </row>
        <row r="1051">
          <cell r="A1051" t="str">
            <v>ID005400</v>
          </cell>
          <cell r="B1051">
            <v>5810003735</v>
          </cell>
          <cell r="C1051" t="str">
            <v>W39088</v>
          </cell>
          <cell r="D1051">
            <v>5401</v>
          </cell>
          <cell r="E1051">
            <v>9011</v>
          </cell>
          <cell r="F1051">
            <v>38356</v>
          </cell>
          <cell r="G1051" t="str">
            <v>IDR</v>
          </cell>
          <cell r="H1051">
            <v>923780</v>
          </cell>
          <cell r="I1051">
            <v>923780</v>
          </cell>
          <cell r="J1051">
            <v>0</v>
          </cell>
        </row>
        <row r="1052">
          <cell r="A1052" t="str">
            <v>ID005400</v>
          </cell>
          <cell r="B1052">
            <v>5810003736</v>
          </cell>
          <cell r="C1052" t="str">
            <v>W39088</v>
          </cell>
          <cell r="D1052">
            <v>5401</v>
          </cell>
          <cell r="E1052">
            <v>9011</v>
          </cell>
          <cell r="F1052">
            <v>38356</v>
          </cell>
          <cell r="G1052" t="str">
            <v>IDR</v>
          </cell>
          <cell r="H1052">
            <v>82711</v>
          </cell>
          <cell r="I1052">
            <v>82711</v>
          </cell>
          <cell r="J1052">
            <v>0</v>
          </cell>
        </row>
        <row r="1053">
          <cell r="A1053" t="str">
            <v>ID005400</v>
          </cell>
          <cell r="B1053">
            <v>5810003736</v>
          </cell>
          <cell r="C1053" t="str">
            <v>W39088</v>
          </cell>
          <cell r="D1053">
            <v>5401</v>
          </cell>
          <cell r="E1053">
            <v>9011</v>
          </cell>
          <cell r="F1053">
            <v>38356</v>
          </cell>
          <cell r="G1053" t="str">
            <v>IDR</v>
          </cell>
          <cell r="H1053">
            <v>923780</v>
          </cell>
          <cell r="I1053">
            <v>923780</v>
          </cell>
          <cell r="J1053">
            <v>0</v>
          </cell>
        </row>
        <row r="1054">
          <cell r="A1054" t="str">
            <v>ID005400</v>
          </cell>
          <cell r="B1054">
            <v>5810003737</v>
          </cell>
          <cell r="C1054" t="str">
            <v>W39088</v>
          </cell>
          <cell r="D1054">
            <v>5401</v>
          </cell>
          <cell r="E1054">
            <v>9011</v>
          </cell>
          <cell r="F1054">
            <v>38356</v>
          </cell>
          <cell r="G1054" t="str">
            <v>IDR</v>
          </cell>
          <cell r="H1054">
            <v>82711</v>
          </cell>
          <cell r="I1054">
            <v>82711</v>
          </cell>
          <cell r="J1054">
            <v>0</v>
          </cell>
        </row>
        <row r="1055">
          <cell r="A1055" t="str">
            <v>ID005400</v>
          </cell>
          <cell r="B1055">
            <v>5810003737</v>
          </cell>
          <cell r="C1055" t="str">
            <v>W39088</v>
          </cell>
          <cell r="D1055">
            <v>5401</v>
          </cell>
          <cell r="E1055">
            <v>9011</v>
          </cell>
          <cell r="F1055">
            <v>38356</v>
          </cell>
          <cell r="G1055" t="str">
            <v>IDR</v>
          </cell>
          <cell r="H1055">
            <v>923780</v>
          </cell>
          <cell r="I1055">
            <v>923780</v>
          </cell>
          <cell r="J1055">
            <v>0</v>
          </cell>
        </row>
        <row r="1056">
          <cell r="A1056" t="str">
            <v>ID005400</v>
          </cell>
          <cell r="B1056">
            <v>5810003739</v>
          </cell>
          <cell r="C1056" t="str">
            <v>W47983</v>
          </cell>
          <cell r="D1056">
            <v>5401</v>
          </cell>
          <cell r="E1056">
            <v>9011</v>
          </cell>
          <cell r="F1056">
            <v>38366</v>
          </cell>
          <cell r="G1056" t="str">
            <v>IDR</v>
          </cell>
          <cell r="H1056">
            <v>11100000</v>
          </cell>
          <cell r="I1056">
            <v>11100000</v>
          </cell>
          <cell r="J1056">
            <v>0</v>
          </cell>
        </row>
        <row r="1057">
          <cell r="A1057" t="str">
            <v>ID005400</v>
          </cell>
          <cell r="B1057">
            <v>5810003795</v>
          </cell>
          <cell r="C1057" t="str">
            <v>W48057</v>
          </cell>
          <cell r="D1057">
            <v>5401</v>
          </cell>
          <cell r="E1057">
            <v>9011</v>
          </cell>
          <cell r="F1057">
            <v>38378</v>
          </cell>
          <cell r="G1057" t="str">
            <v>IDR</v>
          </cell>
          <cell r="H1057">
            <v>1422295</v>
          </cell>
          <cell r="I1057">
            <v>1422295</v>
          </cell>
          <cell r="J1057">
            <v>0</v>
          </cell>
        </row>
        <row r="1058">
          <cell r="A1058" t="str">
            <v>ID005400</v>
          </cell>
          <cell r="B1058">
            <v>5810003795</v>
          </cell>
          <cell r="C1058" t="str">
            <v>W48057</v>
          </cell>
          <cell r="D1058">
            <v>5401</v>
          </cell>
          <cell r="E1058">
            <v>9011</v>
          </cell>
          <cell r="F1058">
            <v>38378</v>
          </cell>
          <cell r="G1058" t="str">
            <v>IDR</v>
          </cell>
          <cell r="H1058">
            <v>298705</v>
          </cell>
          <cell r="I1058">
            <v>298705</v>
          </cell>
          <cell r="J1058">
            <v>0</v>
          </cell>
        </row>
        <row r="1059">
          <cell r="A1059" t="str">
            <v>ID005400</v>
          </cell>
          <cell r="B1059">
            <v>5810003824</v>
          </cell>
          <cell r="C1059" t="str">
            <v>W48057</v>
          </cell>
          <cell r="D1059">
            <v>5401</v>
          </cell>
          <cell r="E1059">
            <v>9011</v>
          </cell>
          <cell r="F1059">
            <v>38384</v>
          </cell>
          <cell r="G1059" t="str">
            <v>IDR</v>
          </cell>
          <cell r="H1059">
            <v>1623737</v>
          </cell>
          <cell r="I1059">
            <v>1623737</v>
          </cell>
          <cell r="J1059">
            <v>0</v>
          </cell>
        </row>
        <row r="1060">
          <cell r="A1060" t="str">
            <v>ID005400</v>
          </cell>
          <cell r="B1060">
            <v>5810003824</v>
          </cell>
          <cell r="C1060" t="str">
            <v>W48057</v>
          </cell>
          <cell r="D1060">
            <v>5401</v>
          </cell>
          <cell r="E1060">
            <v>9011</v>
          </cell>
          <cell r="F1060">
            <v>38384</v>
          </cell>
          <cell r="G1060" t="str">
            <v>IDR</v>
          </cell>
          <cell r="H1060">
            <v>122610</v>
          </cell>
          <cell r="I1060">
            <v>122610</v>
          </cell>
          <cell r="J1060">
            <v>0</v>
          </cell>
        </row>
        <row r="1061">
          <cell r="A1061" t="str">
            <v>ID005400</v>
          </cell>
          <cell r="B1061">
            <v>5810003833</v>
          </cell>
          <cell r="C1061" t="str">
            <v>W49338</v>
          </cell>
          <cell r="D1061">
            <v>5401</v>
          </cell>
          <cell r="E1061">
            <v>9011</v>
          </cell>
          <cell r="F1061">
            <v>38385</v>
          </cell>
          <cell r="G1061" t="str">
            <v>IDR</v>
          </cell>
          <cell r="H1061">
            <v>132656</v>
          </cell>
          <cell r="I1061">
            <v>132656</v>
          </cell>
          <cell r="J1061">
            <v>0</v>
          </cell>
        </row>
        <row r="1062">
          <cell r="A1062" t="str">
            <v>ID005400</v>
          </cell>
          <cell r="B1062">
            <v>5810003833</v>
          </cell>
          <cell r="C1062" t="str">
            <v>W49338</v>
          </cell>
          <cell r="D1062">
            <v>5401</v>
          </cell>
          <cell r="E1062">
            <v>9011</v>
          </cell>
          <cell r="F1062">
            <v>38385</v>
          </cell>
          <cell r="G1062" t="str">
            <v>IDR</v>
          </cell>
          <cell r="H1062">
            <v>105816</v>
          </cell>
          <cell r="I1062">
            <v>105816</v>
          </cell>
          <cell r="J1062">
            <v>0</v>
          </cell>
        </row>
        <row r="1063">
          <cell r="A1063" t="str">
            <v>ID005400</v>
          </cell>
          <cell r="B1063">
            <v>5810003840</v>
          </cell>
          <cell r="C1063" t="str">
            <v>W49338</v>
          </cell>
          <cell r="D1063">
            <v>5401</v>
          </cell>
          <cell r="E1063">
            <v>9011</v>
          </cell>
          <cell r="F1063">
            <v>38385</v>
          </cell>
          <cell r="G1063" t="str">
            <v>IDR</v>
          </cell>
          <cell r="H1063">
            <v>630000</v>
          </cell>
          <cell r="I1063">
            <v>630000</v>
          </cell>
          <cell r="J1063">
            <v>0</v>
          </cell>
        </row>
        <row r="1064">
          <cell r="A1064" t="str">
            <v>ID005400</v>
          </cell>
          <cell r="B1064">
            <v>5810003881</v>
          </cell>
          <cell r="C1064" t="str">
            <v>P49762</v>
          </cell>
          <cell r="D1064">
            <v>5401</v>
          </cell>
          <cell r="E1064">
            <v>9011</v>
          </cell>
          <cell r="F1064">
            <v>38394</v>
          </cell>
          <cell r="G1064" t="str">
            <v>IDR</v>
          </cell>
          <cell r="H1064">
            <v>92481</v>
          </cell>
          <cell r="I1064">
            <v>92481</v>
          </cell>
          <cell r="J1064">
            <v>0</v>
          </cell>
        </row>
        <row r="1065">
          <cell r="A1065" t="str">
            <v>ID005400</v>
          </cell>
          <cell r="B1065">
            <v>5810003899</v>
          </cell>
          <cell r="C1065" t="str">
            <v>W49002</v>
          </cell>
          <cell r="D1065">
            <v>5401</v>
          </cell>
          <cell r="E1065">
            <v>9011</v>
          </cell>
          <cell r="F1065">
            <v>38398</v>
          </cell>
          <cell r="G1065" t="str">
            <v>IDR</v>
          </cell>
          <cell r="H1065">
            <v>630000</v>
          </cell>
          <cell r="I1065">
            <v>630000</v>
          </cell>
          <cell r="J1065">
            <v>0</v>
          </cell>
        </row>
        <row r="1066">
          <cell r="A1066" t="str">
            <v>ID005400</v>
          </cell>
          <cell r="B1066">
            <v>5810003930</v>
          </cell>
          <cell r="C1066" t="str">
            <v>W50185</v>
          </cell>
          <cell r="D1066">
            <v>5401</v>
          </cell>
          <cell r="E1066">
            <v>9011</v>
          </cell>
          <cell r="F1066">
            <v>38401</v>
          </cell>
          <cell r="G1066" t="str">
            <v>IDR</v>
          </cell>
          <cell r="H1066">
            <v>630000</v>
          </cell>
          <cell r="I1066">
            <v>630000</v>
          </cell>
          <cell r="J1066">
            <v>0</v>
          </cell>
        </row>
        <row r="1067">
          <cell r="A1067" t="str">
            <v>ID005400</v>
          </cell>
          <cell r="B1067">
            <v>5810003930</v>
          </cell>
          <cell r="C1067" t="str">
            <v>W50185</v>
          </cell>
          <cell r="D1067">
            <v>5401</v>
          </cell>
          <cell r="E1067">
            <v>9011</v>
          </cell>
          <cell r="F1067">
            <v>38401</v>
          </cell>
          <cell r="G1067" t="str">
            <v>IDR</v>
          </cell>
          <cell r="H1067">
            <v>132656</v>
          </cell>
          <cell r="I1067">
            <v>132656</v>
          </cell>
          <cell r="J1067">
            <v>0</v>
          </cell>
        </row>
        <row r="1068">
          <cell r="A1068" t="str">
            <v>ID005400</v>
          </cell>
          <cell r="B1068">
            <v>5810003930</v>
          </cell>
          <cell r="C1068" t="str">
            <v>W50185</v>
          </cell>
          <cell r="D1068">
            <v>5401</v>
          </cell>
          <cell r="E1068">
            <v>9011</v>
          </cell>
          <cell r="F1068">
            <v>38401</v>
          </cell>
          <cell r="G1068" t="str">
            <v>IDR</v>
          </cell>
          <cell r="H1068">
            <v>147275</v>
          </cell>
          <cell r="I1068">
            <v>147275</v>
          </cell>
          <cell r="J1068">
            <v>0</v>
          </cell>
        </row>
        <row r="1069">
          <cell r="A1069" t="str">
            <v>ID005400</v>
          </cell>
          <cell r="B1069">
            <v>5810003940</v>
          </cell>
          <cell r="C1069" t="str">
            <v>W48281</v>
          </cell>
          <cell r="D1069">
            <v>5401</v>
          </cell>
          <cell r="E1069">
            <v>9011</v>
          </cell>
          <cell r="F1069">
            <v>38404</v>
          </cell>
          <cell r="G1069" t="str">
            <v>IDR</v>
          </cell>
          <cell r="H1069">
            <v>272686</v>
          </cell>
          <cell r="I1069">
            <v>272686</v>
          </cell>
          <cell r="J1069">
            <v>0</v>
          </cell>
        </row>
        <row r="1070">
          <cell r="A1070" t="str">
            <v>ID005400</v>
          </cell>
          <cell r="B1070">
            <v>5810003971</v>
          </cell>
          <cell r="C1070" t="str">
            <v>W44459</v>
          </cell>
          <cell r="D1070">
            <v>5401</v>
          </cell>
          <cell r="E1070">
            <v>9011</v>
          </cell>
          <cell r="F1070">
            <v>38406</v>
          </cell>
          <cell r="G1070" t="str">
            <v>IDR</v>
          </cell>
          <cell r="H1070">
            <v>10401</v>
          </cell>
          <cell r="I1070">
            <v>10401</v>
          </cell>
          <cell r="J1070">
            <v>0</v>
          </cell>
        </row>
        <row r="1071">
          <cell r="A1071" t="str">
            <v>ID005400</v>
          </cell>
          <cell r="B1071">
            <v>5810003998</v>
          </cell>
          <cell r="C1071" t="str">
            <v>W50537</v>
          </cell>
          <cell r="D1071">
            <v>5401</v>
          </cell>
          <cell r="E1071">
            <v>9011</v>
          </cell>
          <cell r="F1071">
            <v>38408</v>
          </cell>
          <cell r="G1071" t="str">
            <v>IDR</v>
          </cell>
          <cell r="H1071">
            <v>132656</v>
          </cell>
          <cell r="I1071">
            <v>132656</v>
          </cell>
          <cell r="J1071">
            <v>0</v>
          </cell>
        </row>
        <row r="1072">
          <cell r="A1072" t="str">
            <v>ID005400</v>
          </cell>
          <cell r="B1072">
            <v>5810003998</v>
          </cell>
          <cell r="C1072" t="str">
            <v>W50537</v>
          </cell>
          <cell r="D1072">
            <v>5401</v>
          </cell>
          <cell r="E1072">
            <v>9011</v>
          </cell>
          <cell r="F1072">
            <v>38408</v>
          </cell>
          <cell r="G1072" t="str">
            <v>IDR</v>
          </cell>
          <cell r="H1072">
            <v>147275</v>
          </cell>
          <cell r="I1072">
            <v>147275</v>
          </cell>
          <cell r="J1072">
            <v>0</v>
          </cell>
        </row>
        <row r="1073">
          <cell r="A1073" t="str">
            <v>ID005400</v>
          </cell>
          <cell r="B1073">
            <v>5810004009</v>
          </cell>
          <cell r="C1073" t="str">
            <v>W37995</v>
          </cell>
          <cell r="D1073">
            <v>5401</v>
          </cell>
          <cell r="E1073">
            <v>9011</v>
          </cell>
          <cell r="F1073">
            <v>38411</v>
          </cell>
          <cell r="G1073" t="str">
            <v>IDR</v>
          </cell>
          <cell r="H1073">
            <v>1788055</v>
          </cell>
          <cell r="I1073">
            <v>1788055</v>
          </cell>
          <cell r="J1073">
            <v>0</v>
          </cell>
        </row>
        <row r="1074">
          <cell r="A1074" t="str">
            <v>ID005400</v>
          </cell>
          <cell r="B1074">
            <v>5810004113</v>
          </cell>
          <cell r="C1074" t="str">
            <v>W51385</v>
          </cell>
          <cell r="D1074">
            <v>5401</v>
          </cell>
          <cell r="E1074">
            <v>9011</v>
          </cell>
          <cell r="F1074">
            <v>38427</v>
          </cell>
          <cell r="G1074" t="str">
            <v>IDR</v>
          </cell>
          <cell r="H1074">
            <v>1850000</v>
          </cell>
          <cell r="I1074">
            <v>1850000</v>
          </cell>
          <cell r="J1074">
            <v>0</v>
          </cell>
        </row>
        <row r="1075">
          <cell r="A1075" t="str">
            <v>ID005400</v>
          </cell>
          <cell r="B1075">
            <v>5810004237</v>
          </cell>
          <cell r="C1075" t="str">
            <v>W52844</v>
          </cell>
          <cell r="D1075">
            <v>5401</v>
          </cell>
          <cell r="E1075">
            <v>9011</v>
          </cell>
          <cell r="F1075">
            <v>38447</v>
          </cell>
          <cell r="G1075" t="str">
            <v>IDR</v>
          </cell>
          <cell r="H1075">
            <v>12861</v>
          </cell>
          <cell r="I1075">
            <v>12861</v>
          </cell>
          <cell r="J1075">
            <v>0</v>
          </cell>
        </row>
        <row r="1076">
          <cell r="A1076" t="str">
            <v>ID005400</v>
          </cell>
          <cell r="B1076">
            <v>5810004290</v>
          </cell>
          <cell r="C1076" t="str">
            <v>W48057</v>
          </cell>
          <cell r="D1076">
            <v>5401</v>
          </cell>
          <cell r="E1076">
            <v>9011</v>
          </cell>
          <cell r="F1076">
            <v>38453</v>
          </cell>
          <cell r="G1076" t="str">
            <v>IDR</v>
          </cell>
          <cell r="H1076">
            <v>375296</v>
          </cell>
          <cell r="I1076">
            <v>375296</v>
          </cell>
          <cell r="J1076">
            <v>0</v>
          </cell>
        </row>
        <row r="1077">
          <cell r="A1077" t="str">
            <v>ID005400</v>
          </cell>
          <cell r="B1077">
            <v>5810004290</v>
          </cell>
          <cell r="C1077" t="str">
            <v>W48057</v>
          </cell>
          <cell r="D1077">
            <v>5401</v>
          </cell>
          <cell r="E1077">
            <v>9011</v>
          </cell>
          <cell r="F1077">
            <v>38453</v>
          </cell>
          <cell r="G1077" t="str">
            <v>IDR</v>
          </cell>
          <cell r="H1077">
            <v>65460</v>
          </cell>
          <cell r="I1077">
            <v>65460</v>
          </cell>
          <cell r="J1077">
            <v>0</v>
          </cell>
        </row>
        <row r="1078">
          <cell r="A1078" t="str">
            <v>ID005400</v>
          </cell>
          <cell r="B1078">
            <v>5810004299</v>
          </cell>
          <cell r="C1078" t="str">
            <v>W52926</v>
          </cell>
          <cell r="D1078">
            <v>5401</v>
          </cell>
          <cell r="E1078">
            <v>9011</v>
          </cell>
          <cell r="F1078">
            <v>38454</v>
          </cell>
          <cell r="G1078" t="str">
            <v>IDR</v>
          </cell>
          <cell r="H1078">
            <v>424207</v>
          </cell>
          <cell r="I1078">
            <v>424207</v>
          </cell>
          <cell r="J1078">
            <v>0</v>
          </cell>
        </row>
        <row r="1079">
          <cell r="A1079" t="str">
            <v>ID005400</v>
          </cell>
          <cell r="B1079">
            <v>5810004314</v>
          </cell>
          <cell r="C1079" t="str">
            <v>W50537</v>
          </cell>
          <cell r="D1079">
            <v>5401</v>
          </cell>
          <cell r="E1079">
            <v>9011</v>
          </cell>
          <cell r="F1079">
            <v>38455</v>
          </cell>
          <cell r="G1079" t="str">
            <v>IDR</v>
          </cell>
          <cell r="H1079">
            <v>630000</v>
          </cell>
          <cell r="I1079">
            <v>630000</v>
          </cell>
          <cell r="J1079">
            <v>0</v>
          </cell>
        </row>
        <row r="1080">
          <cell r="A1080" t="str">
            <v>ID005400</v>
          </cell>
          <cell r="B1080">
            <v>5810004326</v>
          </cell>
          <cell r="C1080" t="str">
            <v>W53292</v>
          </cell>
          <cell r="D1080">
            <v>5401</v>
          </cell>
          <cell r="E1080">
            <v>9011</v>
          </cell>
          <cell r="F1080">
            <v>38455</v>
          </cell>
          <cell r="G1080" t="str">
            <v>IDR</v>
          </cell>
          <cell r="H1080">
            <v>3922536</v>
          </cell>
          <cell r="I1080">
            <v>3922536</v>
          </cell>
          <cell r="J1080">
            <v>0</v>
          </cell>
        </row>
        <row r="1081">
          <cell r="A1081" t="str">
            <v>ID005400</v>
          </cell>
          <cell r="B1081">
            <v>5810004332</v>
          </cell>
          <cell r="C1081" t="str">
            <v>W49986</v>
          </cell>
          <cell r="D1081">
            <v>5401</v>
          </cell>
          <cell r="E1081">
            <v>9011</v>
          </cell>
          <cell r="F1081">
            <v>38456</v>
          </cell>
          <cell r="G1081" t="str">
            <v>IDR</v>
          </cell>
          <cell r="H1081">
            <v>3120</v>
          </cell>
          <cell r="I1081">
            <v>3120</v>
          </cell>
          <cell r="J1081">
            <v>0</v>
          </cell>
        </row>
        <row r="1082">
          <cell r="A1082" t="str">
            <v>ID005400</v>
          </cell>
          <cell r="B1082">
            <v>5810004333</v>
          </cell>
          <cell r="C1082" t="str">
            <v>W50617</v>
          </cell>
          <cell r="D1082">
            <v>5401</v>
          </cell>
          <cell r="E1082">
            <v>9011</v>
          </cell>
          <cell r="F1082">
            <v>38456</v>
          </cell>
          <cell r="G1082" t="str">
            <v>IDR</v>
          </cell>
          <cell r="H1082">
            <v>630000</v>
          </cell>
          <cell r="I1082">
            <v>630000</v>
          </cell>
          <cell r="J1082">
            <v>0</v>
          </cell>
        </row>
        <row r="1083">
          <cell r="A1083" t="str">
            <v>ID005400</v>
          </cell>
          <cell r="B1083">
            <v>5810004333</v>
          </cell>
          <cell r="C1083" t="str">
            <v>W50617</v>
          </cell>
          <cell r="D1083">
            <v>5401</v>
          </cell>
          <cell r="E1083">
            <v>9011</v>
          </cell>
          <cell r="F1083">
            <v>38456</v>
          </cell>
          <cell r="G1083" t="str">
            <v>IDR</v>
          </cell>
          <cell r="H1083">
            <v>132656</v>
          </cell>
          <cell r="I1083">
            <v>132656</v>
          </cell>
          <cell r="J1083">
            <v>0</v>
          </cell>
        </row>
        <row r="1084">
          <cell r="A1084" t="str">
            <v>ID005400</v>
          </cell>
          <cell r="B1084">
            <v>5810004333</v>
          </cell>
          <cell r="C1084" t="str">
            <v>W50617</v>
          </cell>
          <cell r="D1084">
            <v>5401</v>
          </cell>
          <cell r="E1084">
            <v>9011</v>
          </cell>
          <cell r="F1084">
            <v>38456</v>
          </cell>
          <cell r="G1084" t="str">
            <v>IDR</v>
          </cell>
          <cell r="H1084">
            <v>105912</v>
          </cell>
          <cell r="I1084">
            <v>105912</v>
          </cell>
          <cell r="J1084">
            <v>0</v>
          </cell>
        </row>
        <row r="1085">
          <cell r="A1085" t="str">
            <v>ID005400</v>
          </cell>
          <cell r="B1085">
            <v>5810004340</v>
          </cell>
          <cell r="C1085" t="str">
            <v>W52844</v>
          </cell>
          <cell r="D1085">
            <v>5401</v>
          </cell>
          <cell r="E1085">
            <v>9011</v>
          </cell>
          <cell r="F1085">
            <v>38456</v>
          </cell>
          <cell r="G1085" t="str">
            <v>IDR</v>
          </cell>
          <cell r="H1085">
            <v>27127</v>
          </cell>
          <cell r="I1085">
            <v>27127</v>
          </cell>
          <cell r="J1085">
            <v>0</v>
          </cell>
        </row>
        <row r="1086">
          <cell r="A1086" t="str">
            <v>ID005400</v>
          </cell>
          <cell r="B1086">
            <v>5810004340</v>
          </cell>
          <cell r="C1086" t="str">
            <v>W52844</v>
          </cell>
          <cell r="D1086">
            <v>5401</v>
          </cell>
          <cell r="E1086">
            <v>9011</v>
          </cell>
          <cell r="F1086">
            <v>38456</v>
          </cell>
          <cell r="G1086" t="str">
            <v>IDR</v>
          </cell>
          <cell r="H1086">
            <v>1920</v>
          </cell>
          <cell r="I1086">
            <v>1920</v>
          </cell>
          <cell r="J1086">
            <v>0</v>
          </cell>
        </row>
        <row r="1087">
          <cell r="A1087" t="str">
            <v>ID005400</v>
          </cell>
          <cell r="B1087">
            <v>5810004378</v>
          </cell>
          <cell r="C1087" t="str">
            <v>W53292</v>
          </cell>
          <cell r="D1087">
            <v>5401</v>
          </cell>
          <cell r="E1087">
            <v>9011</v>
          </cell>
          <cell r="F1087">
            <v>38460</v>
          </cell>
          <cell r="G1087" t="str">
            <v>IDR</v>
          </cell>
          <cell r="H1087">
            <v>2898320</v>
          </cell>
          <cell r="I1087">
            <v>2898320</v>
          </cell>
          <cell r="J1087">
            <v>0</v>
          </cell>
        </row>
        <row r="1088">
          <cell r="A1088" t="str">
            <v>ID005400</v>
          </cell>
          <cell r="B1088">
            <v>5810004378</v>
          </cell>
          <cell r="C1088" t="str">
            <v>W53292</v>
          </cell>
          <cell r="D1088">
            <v>5401</v>
          </cell>
          <cell r="E1088">
            <v>9011</v>
          </cell>
          <cell r="F1088">
            <v>38460</v>
          </cell>
          <cell r="G1088" t="str">
            <v>IDR</v>
          </cell>
          <cell r="H1088">
            <v>686205</v>
          </cell>
          <cell r="I1088">
            <v>686205</v>
          </cell>
          <cell r="J1088">
            <v>0</v>
          </cell>
        </row>
        <row r="1089">
          <cell r="A1089" t="str">
            <v>ID005400</v>
          </cell>
          <cell r="B1089">
            <v>5810004404</v>
          </cell>
          <cell r="C1089" t="str">
            <v>W53546</v>
          </cell>
          <cell r="D1089">
            <v>5401</v>
          </cell>
          <cell r="E1089">
            <v>9011</v>
          </cell>
          <cell r="F1089">
            <v>38468</v>
          </cell>
          <cell r="G1089" t="str">
            <v>IDR</v>
          </cell>
          <cell r="H1089">
            <v>1417166</v>
          </cell>
          <cell r="I1089">
            <v>1417166</v>
          </cell>
          <cell r="J1089">
            <v>0</v>
          </cell>
        </row>
        <row r="1090">
          <cell r="A1090" t="str">
            <v>ID005400</v>
          </cell>
          <cell r="B1090">
            <v>5810004404</v>
          </cell>
          <cell r="C1090" t="str">
            <v>W53546</v>
          </cell>
          <cell r="D1090">
            <v>5401</v>
          </cell>
          <cell r="E1090">
            <v>9011</v>
          </cell>
          <cell r="F1090">
            <v>38468</v>
          </cell>
          <cell r="G1090" t="str">
            <v>IDR</v>
          </cell>
          <cell r="H1090">
            <v>932979</v>
          </cell>
          <cell r="I1090">
            <v>932979</v>
          </cell>
          <cell r="J1090">
            <v>0</v>
          </cell>
        </row>
        <row r="1091">
          <cell r="A1091" t="str">
            <v>ID005400</v>
          </cell>
          <cell r="B1091">
            <v>5810004405</v>
          </cell>
          <cell r="C1091" t="str">
            <v>W50617</v>
          </cell>
          <cell r="D1091">
            <v>5401</v>
          </cell>
          <cell r="E1091">
            <v>9011</v>
          </cell>
          <cell r="F1091">
            <v>38468</v>
          </cell>
          <cell r="G1091" t="str">
            <v>IDR</v>
          </cell>
          <cell r="H1091">
            <v>41363</v>
          </cell>
          <cell r="I1091">
            <v>41363</v>
          </cell>
          <cell r="J1091">
            <v>0</v>
          </cell>
        </row>
        <row r="1092">
          <cell r="A1092" t="str">
            <v>ID005400</v>
          </cell>
          <cell r="B1092">
            <v>5810004436</v>
          </cell>
          <cell r="C1092" t="str">
            <v>W53620</v>
          </cell>
          <cell r="D1092">
            <v>5401</v>
          </cell>
          <cell r="E1092">
            <v>9011</v>
          </cell>
          <cell r="F1092">
            <v>38471</v>
          </cell>
          <cell r="G1092" t="str">
            <v>IDR</v>
          </cell>
          <cell r="H1092">
            <v>630000</v>
          </cell>
          <cell r="I1092">
            <v>630000</v>
          </cell>
          <cell r="J1092">
            <v>0</v>
          </cell>
        </row>
        <row r="1093">
          <cell r="A1093" t="str">
            <v>ID005400</v>
          </cell>
          <cell r="B1093">
            <v>5810004436</v>
          </cell>
          <cell r="C1093" t="str">
            <v>W53620</v>
          </cell>
          <cell r="D1093">
            <v>5401</v>
          </cell>
          <cell r="E1093">
            <v>9011</v>
          </cell>
          <cell r="F1093">
            <v>38471</v>
          </cell>
          <cell r="G1093" t="str">
            <v>IDR</v>
          </cell>
          <cell r="H1093">
            <v>132656</v>
          </cell>
          <cell r="I1093">
            <v>132656</v>
          </cell>
          <cell r="J1093">
            <v>0</v>
          </cell>
        </row>
        <row r="1094">
          <cell r="A1094" t="str">
            <v>ID005400</v>
          </cell>
          <cell r="B1094">
            <v>5810004436</v>
          </cell>
          <cell r="C1094" t="str">
            <v>W53620</v>
          </cell>
          <cell r="D1094">
            <v>5401</v>
          </cell>
          <cell r="E1094">
            <v>9011</v>
          </cell>
          <cell r="F1094">
            <v>38471</v>
          </cell>
          <cell r="G1094" t="str">
            <v>IDR</v>
          </cell>
          <cell r="H1094">
            <v>105912</v>
          </cell>
          <cell r="I1094">
            <v>105912</v>
          </cell>
          <cell r="J1094">
            <v>0</v>
          </cell>
        </row>
        <row r="1095">
          <cell r="A1095" t="str">
            <v>ID005400</v>
          </cell>
          <cell r="B1095">
            <v>5810004437</v>
          </cell>
          <cell r="C1095" t="str">
            <v>W53750</v>
          </cell>
          <cell r="D1095">
            <v>5401</v>
          </cell>
          <cell r="E1095">
            <v>9011</v>
          </cell>
          <cell r="F1095">
            <v>38471</v>
          </cell>
          <cell r="G1095" t="str">
            <v>IDR</v>
          </cell>
          <cell r="H1095">
            <v>354467</v>
          </cell>
          <cell r="I1095">
            <v>354467</v>
          </cell>
          <cell r="J1095">
            <v>0</v>
          </cell>
        </row>
        <row r="1096">
          <cell r="A1096" t="str">
            <v>ID005400</v>
          </cell>
          <cell r="B1096">
            <v>5810004440</v>
          </cell>
          <cell r="C1096" t="str">
            <v>W54241</v>
          </cell>
          <cell r="D1096">
            <v>5401</v>
          </cell>
          <cell r="E1096">
            <v>9011</v>
          </cell>
          <cell r="F1096">
            <v>38471</v>
          </cell>
          <cell r="G1096" t="str">
            <v>IDR</v>
          </cell>
          <cell r="H1096">
            <v>38916</v>
          </cell>
          <cell r="I1096">
            <v>38916</v>
          </cell>
          <cell r="J1096">
            <v>0</v>
          </cell>
        </row>
        <row r="1097">
          <cell r="A1097" t="str">
            <v>ID005400</v>
          </cell>
          <cell r="B1097">
            <v>5810004440</v>
          </cell>
          <cell r="C1097" t="str">
            <v>W54241</v>
          </cell>
          <cell r="D1097">
            <v>5401</v>
          </cell>
          <cell r="E1097">
            <v>9011</v>
          </cell>
          <cell r="F1097">
            <v>38471</v>
          </cell>
          <cell r="G1097" t="str">
            <v>IDR</v>
          </cell>
          <cell r="H1097">
            <v>434755</v>
          </cell>
          <cell r="I1097">
            <v>434755</v>
          </cell>
          <cell r="J1097">
            <v>0</v>
          </cell>
        </row>
        <row r="1098">
          <cell r="A1098" t="str">
            <v>ID005400</v>
          </cell>
          <cell r="B1098">
            <v>5810004441</v>
          </cell>
          <cell r="C1098" t="str">
            <v>W53745</v>
          </cell>
          <cell r="D1098">
            <v>5401</v>
          </cell>
          <cell r="E1098">
            <v>9011</v>
          </cell>
          <cell r="F1098">
            <v>38471</v>
          </cell>
          <cell r="G1098" t="str">
            <v>IDR</v>
          </cell>
          <cell r="H1098">
            <v>590177</v>
          </cell>
          <cell r="I1098">
            <v>590177</v>
          </cell>
          <cell r="J1098">
            <v>0</v>
          </cell>
        </row>
        <row r="1099">
          <cell r="A1099" t="str">
            <v>ID005400</v>
          </cell>
          <cell r="B1099">
            <v>5810004555</v>
          </cell>
          <cell r="C1099" t="str">
            <v>W55054</v>
          </cell>
          <cell r="D1099">
            <v>5401</v>
          </cell>
          <cell r="E1099">
            <v>9011</v>
          </cell>
          <cell r="F1099">
            <v>38498</v>
          </cell>
          <cell r="G1099" t="str">
            <v>IDR</v>
          </cell>
          <cell r="H1099">
            <v>354467</v>
          </cell>
          <cell r="I1099">
            <v>354467</v>
          </cell>
          <cell r="J1099">
            <v>0</v>
          </cell>
        </row>
        <row r="1100">
          <cell r="A1100" t="str">
            <v>ID005400</v>
          </cell>
          <cell r="B1100">
            <v>5810004558</v>
          </cell>
          <cell r="C1100" t="str">
            <v>W55139</v>
          </cell>
          <cell r="D1100">
            <v>5401</v>
          </cell>
          <cell r="E1100">
            <v>9011</v>
          </cell>
          <cell r="F1100">
            <v>38498</v>
          </cell>
          <cell r="G1100" t="str">
            <v>IDR</v>
          </cell>
          <cell r="H1100">
            <v>930000</v>
          </cell>
          <cell r="I1100">
            <v>930000</v>
          </cell>
          <cell r="J1100">
            <v>0</v>
          </cell>
        </row>
        <row r="1101">
          <cell r="A1101" t="str">
            <v>ID005400</v>
          </cell>
          <cell r="B1101">
            <v>5810004558</v>
          </cell>
          <cell r="C1101" t="str">
            <v>W55139</v>
          </cell>
          <cell r="D1101">
            <v>5401</v>
          </cell>
          <cell r="E1101">
            <v>9011</v>
          </cell>
          <cell r="F1101">
            <v>38498</v>
          </cell>
          <cell r="G1101" t="str">
            <v>IDR</v>
          </cell>
          <cell r="H1101">
            <v>132656</v>
          </cell>
          <cell r="I1101">
            <v>132656</v>
          </cell>
          <cell r="J1101">
            <v>0</v>
          </cell>
        </row>
        <row r="1102">
          <cell r="A1102" t="str">
            <v>ID005400</v>
          </cell>
          <cell r="B1102">
            <v>5810004558</v>
          </cell>
          <cell r="C1102" t="str">
            <v>W55139</v>
          </cell>
          <cell r="D1102">
            <v>5401</v>
          </cell>
          <cell r="E1102">
            <v>9011</v>
          </cell>
          <cell r="F1102">
            <v>38498</v>
          </cell>
          <cell r="G1102" t="str">
            <v>IDR</v>
          </cell>
          <cell r="H1102">
            <v>105912</v>
          </cell>
          <cell r="I1102">
            <v>105912</v>
          </cell>
          <cell r="J1102">
            <v>0</v>
          </cell>
        </row>
        <row r="1103">
          <cell r="A1103" t="str">
            <v>ID005400</v>
          </cell>
          <cell r="B1103">
            <v>5810004711</v>
          </cell>
          <cell r="C1103" t="str">
            <v>W53292</v>
          </cell>
          <cell r="D1103">
            <v>5401</v>
          </cell>
          <cell r="E1103">
            <v>9011</v>
          </cell>
          <cell r="F1103">
            <v>38534</v>
          </cell>
          <cell r="G1103" t="str">
            <v>IDR</v>
          </cell>
          <cell r="H1103">
            <v>11075305</v>
          </cell>
          <cell r="I1103">
            <v>11075305</v>
          </cell>
          <cell r="J1103">
            <v>0</v>
          </cell>
        </row>
        <row r="1104">
          <cell r="A1104" t="str">
            <v>ID005400</v>
          </cell>
          <cell r="B1104">
            <v>5810004711</v>
          </cell>
          <cell r="C1104" t="str">
            <v>W53292</v>
          </cell>
          <cell r="D1104">
            <v>5401</v>
          </cell>
          <cell r="E1104">
            <v>9011</v>
          </cell>
          <cell r="F1104">
            <v>38534</v>
          </cell>
          <cell r="G1104" t="str">
            <v>IDR</v>
          </cell>
          <cell r="H1104">
            <v>2219850</v>
          </cell>
          <cell r="I1104">
            <v>2219850</v>
          </cell>
          <cell r="J1104">
            <v>0</v>
          </cell>
        </row>
        <row r="1105">
          <cell r="A1105" t="str">
            <v>ID005400</v>
          </cell>
          <cell r="B1105">
            <v>5810004721</v>
          </cell>
          <cell r="C1105" t="str">
            <v>W57682</v>
          </cell>
          <cell r="D1105">
            <v>5401</v>
          </cell>
          <cell r="E1105">
            <v>9011</v>
          </cell>
          <cell r="F1105">
            <v>38538</v>
          </cell>
          <cell r="G1105" t="str">
            <v>IDR</v>
          </cell>
          <cell r="H1105">
            <v>218155</v>
          </cell>
          <cell r="I1105">
            <v>218155</v>
          </cell>
          <cell r="J1105">
            <v>0</v>
          </cell>
        </row>
        <row r="1106">
          <cell r="A1106" t="str">
            <v>ID005400</v>
          </cell>
          <cell r="B1106">
            <v>5810004786</v>
          </cell>
          <cell r="C1106" t="str">
            <v>W56729</v>
          </cell>
          <cell r="D1106">
            <v>5401</v>
          </cell>
          <cell r="E1106">
            <v>9011</v>
          </cell>
          <cell r="F1106">
            <v>38553</v>
          </cell>
          <cell r="G1106" t="str">
            <v>IDR</v>
          </cell>
          <cell r="H1106">
            <v>2435469</v>
          </cell>
          <cell r="I1106">
            <v>2435469</v>
          </cell>
          <cell r="J1106">
            <v>0</v>
          </cell>
        </row>
        <row r="1107">
          <cell r="A1107" t="str">
            <v>ID005400</v>
          </cell>
          <cell r="B1107">
            <v>5810004786</v>
          </cell>
          <cell r="C1107" t="str">
            <v>W56729</v>
          </cell>
          <cell r="D1107">
            <v>5401</v>
          </cell>
          <cell r="E1107">
            <v>9011</v>
          </cell>
          <cell r="F1107">
            <v>38553</v>
          </cell>
          <cell r="G1107" t="str">
            <v>IDR</v>
          </cell>
          <cell r="H1107">
            <v>449609</v>
          </cell>
          <cell r="I1107">
            <v>449609</v>
          </cell>
          <cell r="J1107">
            <v>0</v>
          </cell>
        </row>
        <row r="1108">
          <cell r="A1108" t="str">
            <v>ID005400</v>
          </cell>
          <cell r="B1108">
            <v>5810004835</v>
          </cell>
          <cell r="C1108" t="str">
            <v>W59804</v>
          </cell>
          <cell r="D1108">
            <v>5401</v>
          </cell>
          <cell r="E1108">
            <v>9011</v>
          </cell>
          <cell r="F1108">
            <v>38566</v>
          </cell>
          <cell r="G1108" t="str">
            <v>IDR</v>
          </cell>
          <cell r="H1108">
            <v>457487</v>
          </cell>
          <cell r="I1108">
            <v>457487</v>
          </cell>
          <cell r="J1108">
            <v>0</v>
          </cell>
        </row>
        <row r="1109">
          <cell r="A1109" t="str">
            <v>ID005400</v>
          </cell>
          <cell r="B1109">
            <v>5810004858</v>
          </cell>
          <cell r="C1109" t="str">
            <v>W59813</v>
          </cell>
          <cell r="D1109">
            <v>5401</v>
          </cell>
          <cell r="E1109">
            <v>9011</v>
          </cell>
          <cell r="F1109">
            <v>38572</v>
          </cell>
          <cell r="G1109" t="str">
            <v>IDR</v>
          </cell>
          <cell r="H1109">
            <v>483125</v>
          </cell>
          <cell r="I1109">
            <v>483125</v>
          </cell>
          <cell r="J1109">
            <v>0</v>
          </cell>
        </row>
        <row r="1110">
          <cell r="A1110" t="str">
            <v>ID005400</v>
          </cell>
          <cell r="B1110">
            <v>5810004858</v>
          </cell>
          <cell r="C1110" t="str">
            <v>W59813</v>
          </cell>
          <cell r="D1110">
            <v>5401</v>
          </cell>
          <cell r="E1110">
            <v>9011</v>
          </cell>
          <cell r="F1110">
            <v>38572</v>
          </cell>
          <cell r="G1110" t="str">
            <v>IDR</v>
          </cell>
          <cell r="H1110">
            <v>623036</v>
          </cell>
          <cell r="I1110">
            <v>623036</v>
          </cell>
          <cell r="J1110">
            <v>0</v>
          </cell>
        </row>
        <row r="1111">
          <cell r="A1111" t="str">
            <v>ID005400</v>
          </cell>
          <cell r="B1111">
            <v>5810004858</v>
          </cell>
          <cell r="C1111" t="str">
            <v>W59813</v>
          </cell>
          <cell r="D1111">
            <v>5401</v>
          </cell>
          <cell r="E1111">
            <v>9011</v>
          </cell>
          <cell r="F1111">
            <v>38572</v>
          </cell>
          <cell r="G1111" t="str">
            <v>IDR</v>
          </cell>
          <cell r="H1111">
            <v>204148</v>
          </cell>
          <cell r="I1111">
            <v>204148</v>
          </cell>
          <cell r="J1111">
            <v>0</v>
          </cell>
        </row>
        <row r="1112">
          <cell r="A1112" t="str">
            <v>ID005400</v>
          </cell>
          <cell r="B1112">
            <v>5810004858</v>
          </cell>
          <cell r="C1112" t="str">
            <v>W59813</v>
          </cell>
          <cell r="D1112">
            <v>5401</v>
          </cell>
          <cell r="E1112">
            <v>9011</v>
          </cell>
          <cell r="F1112">
            <v>38572</v>
          </cell>
          <cell r="G1112" t="str">
            <v>IDR</v>
          </cell>
          <cell r="H1112">
            <v>30410</v>
          </cell>
          <cell r="I1112">
            <v>30410</v>
          </cell>
          <cell r="J1112">
            <v>0</v>
          </cell>
        </row>
        <row r="1113">
          <cell r="A1113" t="str">
            <v>ID005400</v>
          </cell>
          <cell r="B1113">
            <v>5810004863</v>
          </cell>
          <cell r="C1113" t="str">
            <v>W60539</v>
          </cell>
          <cell r="D1113">
            <v>5401</v>
          </cell>
          <cell r="E1113">
            <v>9011</v>
          </cell>
          <cell r="F1113">
            <v>38573</v>
          </cell>
          <cell r="G1113" t="str">
            <v>IDR</v>
          </cell>
          <cell r="H1113">
            <v>737554</v>
          </cell>
          <cell r="I1113">
            <v>737554</v>
          </cell>
          <cell r="J1113">
            <v>0</v>
          </cell>
        </row>
        <row r="1114">
          <cell r="A1114" t="str">
            <v>ID005400</v>
          </cell>
          <cell r="B1114">
            <v>5810004863</v>
          </cell>
          <cell r="C1114" t="str">
            <v>W60539</v>
          </cell>
          <cell r="D1114">
            <v>5401</v>
          </cell>
          <cell r="E1114">
            <v>9011</v>
          </cell>
          <cell r="F1114">
            <v>38573</v>
          </cell>
          <cell r="G1114" t="str">
            <v>IDR</v>
          </cell>
          <cell r="H1114">
            <v>15355</v>
          </cell>
          <cell r="I1114">
            <v>15355</v>
          </cell>
          <cell r="J1114">
            <v>0</v>
          </cell>
        </row>
        <row r="1115">
          <cell r="A1115" t="str">
            <v>ID005400</v>
          </cell>
          <cell r="B1115">
            <v>5810004938</v>
          </cell>
          <cell r="C1115" t="str">
            <v>W60539</v>
          </cell>
          <cell r="D1115">
            <v>5401</v>
          </cell>
          <cell r="E1115">
            <v>9011</v>
          </cell>
          <cell r="F1115">
            <v>38589</v>
          </cell>
          <cell r="G1115" t="str">
            <v>IDR</v>
          </cell>
          <cell r="H1115">
            <v>148674</v>
          </cell>
          <cell r="I1115">
            <v>148674</v>
          </cell>
          <cell r="J1115">
            <v>0</v>
          </cell>
        </row>
        <row r="1116">
          <cell r="A1116" t="str">
            <v>ID005400</v>
          </cell>
          <cell r="B1116">
            <v>5810004938</v>
          </cell>
          <cell r="C1116" t="str">
            <v>W60539</v>
          </cell>
          <cell r="D1116">
            <v>5401</v>
          </cell>
          <cell r="E1116">
            <v>9011</v>
          </cell>
          <cell r="F1116">
            <v>38589</v>
          </cell>
          <cell r="G1116" t="str">
            <v>IDR</v>
          </cell>
          <cell r="H1116">
            <v>57315</v>
          </cell>
          <cell r="I1116">
            <v>57315</v>
          </cell>
          <cell r="J1116">
            <v>0</v>
          </cell>
        </row>
        <row r="1117">
          <cell r="A1117" t="str">
            <v>ID005400</v>
          </cell>
          <cell r="B1117">
            <v>5810004978</v>
          </cell>
          <cell r="C1117" t="str">
            <v>P62287</v>
          </cell>
          <cell r="D1117">
            <v>5401</v>
          </cell>
          <cell r="E1117">
            <v>9011</v>
          </cell>
          <cell r="F1117">
            <v>38601</v>
          </cell>
          <cell r="G1117" t="str">
            <v>IDR</v>
          </cell>
          <cell r="H1117">
            <v>170422</v>
          </cell>
          <cell r="I1117">
            <v>170422</v>
          </cell>
          <cell r="J1117">
            <v>0</v>
          </cell>
        </row>
        <row r="1118">
          <cell r="A1118" t="str">
            <v>ID005400</v>
          </cell>
          <cell r="B1118">
            <v>5810004981</v>
          </cell>
          <cell r="C1118" t="str">
            <v>P62286</v>
          </cell>
          <cell r="D1118">
            <v>5401</v>
          </cell>
          <cell r="E1118">
            <v>9011</v>
          </cell>
          <cell r="F1118">
            <v>38601</v>
          </cell>
          <cell r="G1118" t="str">
            <v>IDR</v>
          </cell>
          <cell r="H1118">
            <v>1871877</v>
          </cell>
          <cell r="I1118">
            <v>1871877</v>
          </cell>
          <cell r="J1118">
            <v>0</v>
          </cell>
        </row>
        <row r="1119">
          <cell r="A1119" t="str">
            <v>ID005400</v>
          </cell>
          <cell r="B1119">
            <v>5810004998</v>
          </cell>
          <cell r="C1119" t="str">
            <v>P62287</v>
          </cell>
          <cell r="D1119">
            <v>5401</v>
          </cell>
          <cell r="E1119">
            <v>9011</v>
          </cell>
          <cell r="F1119">
            <v>38602</v>
          </cell>
          <cell r="G1119" t="str">
            <v>IDR</v>
          </cell>
          <cell r="H1119">
            <v>46740</v>
          </cell>
          <cell r="I1119">
            <v>46740</v>
          </cell>
          <cell r="J1119">
            <v>0</v>
          </cell>
        </row>
        <row r="1120">
          <cell r="A1120" t="str">
            <v>ID005400</v>
          </cell>
          <cell r="B1120">
            <v>5810004998</v>
          </cell>
          <cell r="C1120" t="str">
            <v>P62287</v>
          </cell>
          <cell r="D1120">
            <v>5401</v>
          </cell>
          <cell r="E1120">
            <v>9011</v>
          </cell>
          <cell r="F1120">
            <v>38602</v>
          </cell>
          <cell r="G1120" t="str">
            <v>IDR</v>
          </cell>
          <cell r="H1120">
            <v>11590</v>
          </cell>
          <cell r="I1120">
            <v>11590</v>
          </cell>
          <cell r="J1120">
            <v>0</v>
          </cell>
        </row>
        <row r="1121">
          <cell r="A1121" t="str">
            <v>ID005400</v>
          </cell>
          <cell r="B1121">
            <v>5810005022</v>
          </cell>
          <cell r="C1121" t="str">
            <v>P62701</v>
          </cell>
          <cell r="D1121">
            <v>5401</v>
          </cell>
          <cell r="E1121">
            <v>9011</v>
          </cell>
          <cell r="F1121">
            <v>38607</v>
          </cell>
          <cell r="G1121" t="str">
            <v>IDR</v>
          </cell>
          <cell r="H1121">
            <v>2838070</v>
          </cell>
          <cell r="I1121">
            <v>2838070</v>
          </cell>
          <cell r="J1121">
            <v>0</v>
          </cell>
        </row>
        <row r="1122">
          <cell r="A1122" t="str">
            <v>ID005400</v>
          </cell>
          <cell r="B1122">
            <v>5810005032</v>
          </cell>
          <cell r="C1122" t="str">
            <v>P62701</v>
          </cell>
          <cell r="D1122">
            <v>5401</v>
          </cell>
          <cell r="E1122">
            <v>9011</v>
          </cell>
          <cell r="F1122">
            <v>38608</v>
          </cell>
          <cell r="G1122" t="str">
            <v>IDR</v>
          </cell>
          <cell r="H1122">
            <v>1278708</v>
          </cell>
          <cell r="I1122">
            <v>1278708</v>
          </cell>
          <cell r="J1122">
            <v>0</v>
          </cell>
        </row>
        <row r="1123">
          <cell r="A1123" t="str">
            <v>ID005400</v>
          </cell>
          <cell r="B1123">
            <v>5810005032</v>
          </cell>
          <cell r="C1123" t="str">
            <v>P62701</v>
          </cell>
          <cell r="D1123">
            <v>5401</v>
          </cell>
          <cell r="E1123">
            <v>9011</v>
          </cell>
          <cell r="F1123">
            <v>38608</v>
          </cell>
          <cell r="G1123" t="str">
            <v>IDR</v>
          </cell>
          <cell r="H1123">
            <v>143480</v>
          </cell>
          <cell r="I1123">
            <v>143480</v>
          </cell>
          <cell r="J1123">
            <v>0</v>
          </cell>
        </row>
        <row r="1124">
          <cell r="A1124" t="str">
            <v>ID005400</v>
          </cell>
          <cell r="B1124">
            <v>5810005086</v>
          </cell>
          <cell r="C1124" t="str">
            <v>P63331</v>
          </cell>
          <cell r="D1124">
            <v>5401</v>
          </cell>
          <cell r="E1124">
            <v>9011</v>
          </cell>
          <cell r="F1124">
            <v>38618</v>
          </cell>
          <cell r="G1124" t="str">
            <v>IDR</v>
          </cell>
          <cell r="H1124">
            <v>168985</v>
          </cell>
          <cell r="I1124">
            <v>168985</v>
          </cell>
          <cell r="J1124">
            <v>0</v>
          </cell>
        </row>
        <row r="1125">
          <cell r="A1125" t="str">
            <v>ID005400</v>
          </cell>
          <cell r="B1125">
            <v>5810005086</v>
          </cell>
          <cell r="C1125" t="str">
            <v>P63331</v>
          </cell>
          <cell r="D1125">
            <v>5401</v>
          </cell>
          <cell r="E1125">
            <v>9011</v>
          </cell>
          <cell r="F1125">
            <v>38618</v>
          </cell>
          <cell r="G1125" t="str">
            <v>IDR</v>
          </cell>
          <cell r="H1125">
            <v>20365</v>
          </cell>
          <cell r="I1125">
            <v>20365</v>
          </cell>
          <cell r="J1125">
            <v>0</v>
          </cell>
        </row>
        <row r="1126">
          <cell r="A1126" t="str">
            <v>ID005400</v>
          </cell>
          <cell r="B1126">
            <v>5810005174</v>
          </cell>
          <cell r="C1126" t="str">
            <v>P63176</v>
          </cell>
          <cell r="D1126">
            <v>5401</v>
          </cell>
          <cell r="E1126">
            <v>9011</v>
          </cell>
          <cell r="F1126">
            <v>38631</v>
          </cell>
          <cell r="G1126" t="str">
            <v>IDR</v>
          </cell>
          <cell r="H1126">
            <v>167487</v>
          </cell>
          <cell r="I1126">
            <v>167487</v>
          </cell>
          <cell r="J1126">
            <v>0</v>
          </cell>
        </row>
        <row r="1127">
          <cell r="A1127" t="str">
            <v>ID005400</v>
          </cell>
          <cell r="B1127">
            <v>5810005174</v>
          </cell>
          <cell r="C1127" t="str">
            <v>P63176</v>
          </cell>
          <cell r="D1127">
            <v>5401</v>
          </cell>
          <cell r="E1127">
            <v>9011</v>
          </cell>
          <cell r="F1127">
            <v>38631</v>
          </cell>
          <cell r="G1127" t="str">
            <v>IDR</v>
          </cell>
          <cell r="H1127">
            <v>59050</v>
          </cell>
          <cell r="I1127">
            <v>59050</v>
          </cell>
          <cell r="J1127">
            <v>0</v>
          </cell>
        </row>
        <row r="1128">
          <cell r="A1128" t="str">
            <v>ID005400</v>
          </cell>
          <cell r="B1128">
            <v>5810005191</v>
          </cell>
          <cell r="C1128" t="str">
            <v>P62701</v>
          </cell>
          <cell r="D1128">
            <v>5401</v>
          </cell>
          <cell r="E1128">
            <v>9011</v>
          </cell>
          <cell r="F1128">
            <v>38637</v>
          </cell>
          <cell r="G1128" t="str">
            <v>IDR</v>
          </cell>
          <cell r="H1128">
            <v>197088</v>
          </cell>
          <cell r="I1128">
            <v>197088</v>
          </cell>
          <cell r="J1128">
            <v>0</v>
          </cell>
        </row>
        <row r="1129">
          <cell r="A1129" t="str">
            <v>ID005400</v>
          </cell>
          <cell r="B1129">
            <v>5810005191</v>
          </cell>
          <cell r="C1129" t="str">
            <v>P62701</v>
          </cell>
          <cell r="D1129">
            <v>5401</v>
          </cell>
          <cell r="E1129">
            <v>9011</v>
          </cell>
          <cell r="F1129">
            <v>38637</v>
          </cell>
          <cell r="G1129" t="str">
            <v>IDR</v>
          </cell>
          <cell r="H1129">
            <v>105520</v>
          </cell>
          <cell r="I1129">
            <v>105520</v>
          </cell>
          <cell r="J1129">
            <v>0</v>
          </cell>
        </row>
        <row r="1130">
          <cell r="A1130" t="str">
            <v>ID005400</v>
          </cell>
          <cell r="B1130">
            <v>5810005209</v>
          </cell>
          <cell r="C1130" t="str">
            <v>P64981</v>
          </cell>
          <cell r="D1130">
            <v>5401</v>
          </cell>
          <cell r="E1130">
            <v>9011</v>
          </cell>
          <cell r="F1130">
            <v>38643</v>
          </cell>
          <cell r="G1130" t="str">
            <v>IDR</v>
          </cell>
          <cell r="H1130">
            <v>79383</v>
          </cell>
          <cell r="I1130">
            <v>79383</v>
          </cell>
          <cell r="J1130">
            <v>0</v>
          </cell>
        </row>
        <row r="1131">
          <cell r="A1131" t="str">
            <v>ID005400</v>
          </cell>
          <cell r="B1131">
            <v>5810005209</v>
          </cell>
          <cell r="C1131" t="str">
            <v>P64981</v>
          </cell>
          <cell r="D1131">
            <v>5401</v>
          </cell>
          <cell r="E1131">
            <v>9011</v>
          </cell>
          <cell r="F1131">
            <v>38643</v>
          </cell>
          <cell r="G1131" t="str">
            <v>IDR</v>
          </cell>
          <cell r="H1131">
            <v>53373</v>
          </cell>
          <cell r="I1131">
            <v>53373</v>
          </cell>
          <cell r="J1131">
            <v>0</v>
          </cell>
        </row>
        <row r="1132">
          <cell r="A1132" t="str">
            <v>ID005400</v>
          </cell>
          <cell r="B1132">
            <v>5810005226</v>
          </cell>
          <cell r="C1132" t="str">
            <v>P65349</v>
          </cell>
          <cell r="D1132">
            <v>5401</v>
          </cell>
          <cell r="E1132">
            <v>9011</v>
          </cell>
          <cell r="F1132">
            <v>38646</v>
          </cell>
          <cell r="G1132" t="str">
            <v>IDR</v>
          </cell>
          <cell r="H1132">
            <v>29953</v>
          </cell>
          <cell r="I1132">
            <v>29953</v>
          </cell>
          <cell r="J1132">
            <v>0</v>
          </cell>
        </row>
        <row r="1133">
          <cell r="A1133" t="str">
            <v>ID005400</v>
          </cell>
          <cell r="B1133">
            <v>5810005233</v>
          </cell>
          <cell r="C1133" t="str">
            <v>P65349</v>
          </cell>
          <cell r="D1133">
            <v>5401</v>
          </cell>
          <cell r="E1133">
            <v>9011</v>
          </cell>
          <cell r="F1133">
            <v>38646</v>
          </cell>
          <cell r="G1133" t="str">
            <v>IDR</v>
          </cell>
          <cell r="H1133">
            <v>29953</v>
          </cell>
          <cell r="I1133">
            <v>29953</v>
          </cell>
          <cell r="J1133">
            <v>0</v>
          </cell>
        </row>
        <row r="1134">
          <cell r="A1134" t="str">
            <v>ID005400</v>
          </cell>
          <cell r="B1134">
            <v>5810005296</v>
          </cell>
          <cell r="C1134" t="str">
            <v>P65349</v>
          </cell>
          <cell r="D1134">
            <v>5401</v>
          </cell>
          <cell r="E1134">
            <v>9011</v>
          </cell>
          <cell r="F1134">
            <v>38672</v>
          </cell>
          <cell r="G1134" t="str">
            <v>IDR</v>
          </cell>
          <cell r="H1134">
            <v>2811153</v>
          </cell>
          <cell r="I1134">
            <v>2811153</v>
          </cell>
          <cell r="J1134">
            <v>0</v>
          </cell>
        </row>
        <row r="1135">
          <cell r="A1135" t="str">
            <v>ID005400</v>
          </cell>
          <cell r="B1135">
            <v>5810005353</v>
          </cell>
          <cell r="C1135" t="str">
            <v>P11266</v>
          </cell>
          <cell r="D1135">
            <v>5401</v>
          </cell>
          <cell r="E1135">
            <v>9011</v>
          </cell>
          <cell r="F1135">
            <v>38679</v>
          </cell>
          <cell r="G1135" t="str">
            <v>IDR</v>
          </cell>
          <cell r="H1135">
            <v>7247548</v>
          </cell>
          <cell r="I1135">
            <v>7247548</v>
          </cell>
          <cell r="J1135">
            <v>0</v>
          </cell>
        </row>
        <row r="1136">
          <cell r="A1136" t="str">
            <v>ID005400</v>
          </cell>
          <cell r="B1136">
            <v>5810005353</v>
          </cell>
          <cell r="C1136" t="str">
            <v>P11266</v>
          </cell>
          <cell r="D1136">
            <v>5401</v>
          </cell>
          <cell r="E1136">
            <v>9011</v>
          </cell>
          <cell r="F1136">
            <v>38679</v>
          </cell>
          <cell r="G1136" t="str">
            <v>IDR</v>
          </cell>
          <cell r="H1136">
            <v>1064619</v>
          </cell>
          <cell r="I1136">
            <v>1064619</v>
          </cell>
          <cell r="J1136">
            <v>0</v>
          </cell>
        </row>
        <row r="1137">
          <cell r="A1137" t="str">
            <v>ID005400</v>
          </cell>
          <cell r="B1137">
            <v>5810005372</v>
          </cell>
          <cell r="C1137" t="str">
            <v>P11266</v>
          </cell>
          <cell r="D1137">
            <v>5401</v>
          </cell>
          <cell r="E1137">
            <v>9011</v>
          </cell>
          <cell r="F1137">
            <v>38684</v>
          </cell>
          <cell r="G1137" t="str">
            <v>IDR</v>
          </cell>
          <cell r="H1137">
            <v>108707</v>
          </cell>
          <cell r="I1137">
            <v>108707</v>
          </cell>
          <cell r="J1137">
            <v>0</v>
          </cell>
        </row>
        <row r="1138">
          <cell r="A1138" t="str">
            <v>ID005400</v>
          </cell>
          <cell r="B1138">
            <v>5810005372</v>
          </cell>
          <cell r="C1138" t="str">
            <v>P11266</v>
          </cell>
          <cell r="D1138">
            <v>5401</v>
          </cell>
          <cell r="E1138">
            <v>9011</v>
          </cell>
          <cell r="F1138">
            <v>38684</v>
          </cell>
          <cell r="G1138" t="str">
            <v>IDR</v>
          </cell>
          <cell r="H1138">
            <v>38560</v>
          </cell>
          <cell r="I1138">
            <v>38560</v>
          </cell>
          <cell r="J1138">
            <v>0</v>
          </cell>
        </row>
        <row r="1139">
          <cell r="A1139" t="str">
            <v>ID005400</v>
          </cell>
          <cell r="B1139">
            <v>5810005497</v>
          </cell>
          <cell r="C1139" t="str">
            <v>P12994</v>
          </cell>
          <cell r="D1139">
            <v>5401</v>
          </cell>
          <cell r="E1139">
            <v>9011</v>
          </cell>
          <cell r="F1139">
            <v>38708</v>
          </cell>
          <cell r="G1139" t="str">
            <v>IDR</v>
          </cell>
          <cell r="H1139">
            <v>408916</v>
          </cell>
          <cell r="I1139">
            <v>408916</v>
          </cell>
          <cell r="J1139">
            <v>0</v>
          </cell>
        </row>
        <row r="1140">
          <cell r="A1140" t="str">
            <v>NV.MASS</v>
          </cell>
          <cell r="B1140">
            <v>1610020769</v>
          </cell>
          <cell r="C1140" t="str">
            <v>SERVICE C 240 B.8919 MP CARS OF MR.KRAMB</v>
          </cell>
          <cell r="D1140">
            <v>5402</v>
          </cell>
          <cell r="E1140">
            <v>9012</v>
          </cell>
          <cell r="F1140">
            <v>38572</v>
          </cell>
          <cell r="G1140" t="str">
            <v>IDR</v>
          </cell>
          <cell r="H1140">
            <v>1037500</v>
          </cell>
          <cell r="I1140">
            <v>1037500</v>
          </cell>
          <cell r="J1140">
            <v>0</v>
          </cell>
        </row>
        <row r="1141">
          <cell r="I1141">
            <v>81161814</v>
          </cell>
        </row>
        <row r="1142">
          <cell r="A1142" t="str">
            <v>ID005410</v>
          </cell>
          <cell r="B1142">
            <v>5810003939</v>
          </cell>
          <cell r="C1142" t="str">
            <v>W47772</v>
          </cell>
          <cell r="D1142">
            <v>5412</v>
          </cell>
          <cell r="E1142">
            <v>9012</v>
          </cell>
          <cell r="F1142">
            <v>38404</v>
          </cell>
          <cell r="G1142" t="str">
            <v>IDR</v>
          </cell>
          <cell r="H1142">
            <v>420000</v>
          </cell>
          <cell r="I1142">
            <v>420000</v>
          </cell>
          <cell r="J1142">
            <v>0</v>
          </cell>
        </row>
        <row r="1143">
          <cell r="A1143" t="str">
            <v>ID005410</v>
          </cell>
          <cell r="B1143">
            <v>5810003939</v>
          </cell>
          <cell r="C1143" t="str">
            <v>W47772</v>
          </cell>
          <cell r="D1143">
            <v>5412</v>
          </cell>
          <cell r="E1143">
            <v>9012</v>
          </cell>
          <cell r="F1143">
            <v>38404</v>
          </cell>
          <cell r="G1143" t="str">
            <v>IDR</v>
          </cell>
          <cell r="H1143">
            <v>271319</v>
          </cell>
          <cell r="I1143">
            <v>271319</v>
          </cell>
          <cell r="J1143">
            <v>0</v>
          </cell>
        </row>
        <row r="1144">
          <cell r="A1144" t="str">
            <v>ID005410</v>
          </cell>
          <cell r="B1144">
            <v>5810003939</v>
          </cell>
          <cell r="C1144" t="str">
            <v>W47772</v>
          </cell>
          <cell r="D1144">
            <v>5412</v>
          </cell>
          <cell r="E1144">
            <v>9012</v>
          </cell>
          <cell r="F1144">
            <v>38404</v>
          </cell>
          <cell r="G1144" t="str">
            <v>IDR</v>
          </cell>
          <cell r="H1144">
            <v>803897</v>
          </cell>
          <cell r="I1144">
            <v>803897</v>
          </cell>
          <cell r="J1144">
            <v>0</v>
          </cell>
        </row>
        <row r="1145">
          <cell r="A1145" t="str">
            <v>ID005410</v>
          </cell>
          <cell r="B1145">
            <v>5810003939</v>
          </cell>
          <cell r="C1145" t="str">
            <v>W47772</v>
          </cell>
          <cell r="D1145">
            <v>5412</v>
          </cell>
          <cell r="E1145">
            <v>9012</v>
          </cell>
          <cell r="F1145">
            <v>38404</v>
          </cell>
          <cell r="G1145" t="str">
            <v>IDR</v>
          </cell>
          <cell r="H1145">
            <v>317280</v>
          </cell>
          <cell r="I1145">
            <v>317280</v>
          </cell>
          <cell r="J1145">
            <v>0</v>
          </cell>
        </row>
        <row r="1146">
          <cell r="A1146" t="str">
            <v>ID005410</v>
          </cell>
          <cell r="B1146">
            <v>5810003950</v>
          </cell>
          <cell r="C1146" t="str">
            <v>W45915</v>
          </cell>
          <cell r="D1146">
            <v>5412</v>
          </cell>
          <cell r="E1146">
            <v>9012</v>
          </cell>
          <cell r="F1146">
            <v>38404</v>
          </cell>
          <cell r="G1146" t="str">
            <v>IDR</v>
          </cell>
          <cell r="H1146">
            <v>37915</v>
          </cell>
          <cell r="I1146">
            <v>37915</v>
          </cell>
          <cell r="J1146">
            <v>0</v>
          </cell>
        </row>
        <row r="1147">
          <cell r="A1147" t="str">
            <v>ID005410</v>
          </cell>
          <cell r="B1147">
            <v>5810003992</v>
          </cell>
          <cell r="C1147" t="str">
            <v>W47772</v>
          </cell>
          <cell r="D1147">
            <v>5412</v>
          </cell>
          <cell r="E1147">
            <v>9012</v>
          </cell>
          <cell r="F1147">
            <v>38408</v>
          </cell>
          <cell r="G1147" t="str">
            <v>IDR</v>
          </cell>
          <cell r="H1147">
            <v>-803897</v>
          </cell>
          <cell r="I1147">
            <v>-803897</v>
          </cell>
          <cell r="J1147">
            <v>0</v>
          </cell>
        </row>
        <row r="1148">
          <cell r="A1148" t="str">
            <v>ID005410</v>
          </cell>
          <cell r="B1148">
            <v>5810004335</v>
          </cell>
          <cell r="C1148" t="str">
            <v>W50674</v>
          </cell>
          <cell r="D1148">
            <v>5412</v>
          </cell>
          <cell r="E1148">
            <v>9012</v>
          </cell>
          <cell r="F1148">
            <v>38456</v>
          </cell>
          <cell r="G1148" t="str">
            <v>IDR</v>
          </cell>
          <cell r="H1148">
            <v>492000</v>
          </cell>
          <cell r="I1148">
            <v>492000</v>
          </cell>
          <cell r="J1148">
            <v>0</v>
          </cell>
        </row>
        <row r="1149">
          <cell r="A1149" t="str">
            <v>ID005410</v>
          </cell>
          <cell r="B1149">
            <v>5810004335</v>
          </cell>
          <cell r="C1149" t="str">
            <v>W50674</v>
          </cell>
          <cell r="D1149">
            <v>5412</v>
          </cell>
          <cell r="E1149">
            <v>9012</v>
          </cell>
          <cell r="F1149">
            <v>38456</v>
          </cell>
          <cell r="G1149" t="str">
            <v>IDR</v>
          </cell>
          <cell r="H1149">
            <v>77851</v>
          </cell>
          <cell r="I1149">
            <v>77851</v>
          </cell>
          <cell r="J1149">
            <v>0</v>
          </cell>
        </row>
        <row r="1150">
          <cell r="A1150" t="str">
            <v>ID005410</v>
          </cell>
          <cell r="B1150">
            <v>5810004335</v>
          </cell>
          <cell r="C1150" t="str">
            <v>W50674</v>
          </cell>
          <cell r="D1150">
            <v>5412</v>
          </cell>
          <cell r="E1150">
            <v>9012</v>
          </cell>
          <cell r="F1150">
            <v>38456</v>
          </cell>
          <cell r="G1150" t="str">
            <v>IDR</v>
          </cell>
          <cell r="H1150">
            <v>21487</v>
          </cell>
          <cell r="I1150">
            <v>21487</v>
          </cell>
          <cell r="J1150">
            <v>0</v>
          </cell>
        </row>
        <row r="1151">
          <cell r="A1151" t="str">
            <v>ID005410</v>
          </cell>
          <cell r="B1151">
            <v>5810004338</v>
          </cell>
          <cell r="C1151" t="str">
            <v>W51603</v>
          </cell>
          <cell r="D1151">
            <v>5412</v>
          </cell>
          <cell r="E1151">
            <v>9012</v>
          </cell>
          <cell r="F1151">
            <v>38456</v>
          </cell>
          <cell r="G1151" t="str">
            <v>IDR</v>
          </cell>
          <cell r="H1151">
            <v>630000</v>
          </cell>
          <cell r="I1151">
            <v>630000</v>
          </cell>
          <cell r="J1151">
            <v>0</v>
          </cell>
        </row>
        <row r="1152">
          <cell r="A1152" t="str">
            <v>ID005410</v>
          </cell>
          <cell r="B1152">
            <v>5810004338</v>
          </cell>
          <cell r="C1152" t="str">
            <v>W51603</v>
          </cell>
          <cell r="D1152">
            <v>5412</v>
          </cell>
          <cell r="E1152">
            <v>9012</v>
          </cell>
          <cell r="F1152">
            <v>38456</v>
          </cell>
          <cell r="G1152" t="str">
            <v>IDR</v>
          </cell>
          <cell r="H1152">
            <v>132656</v>
          </cell>
          <cell r="I1152">
            <v>132656</v>
          </cell>
          <cell r="J1152">
            <v>0</v>
          </cell>
        </row>
        <row r="1153">
          <cell r="A1153" t="str">
            <v>ID005410</v>
          </cell>
          <cell r="B1153">
            <v>5810004338</v>
          </cell>
          <cell r="C1153" t="str">
            <v>W51603</v>
          </cell>
          <cell r="D1153">
            <v>5412</v>
          </cell>
          <cell r="E1153">
            <v>9012</v>
          </cell>
          <cell r="F1153">
            <v>38456</v>
          </cell>
          <cell r="G1153" t="str">
            <v>IDR</v>
          </cell>
          <cell r="H1153">
            <v>105912</v>
          </cell>
          <cell r="I1153">
            <v>105912</v>
          </cell>
          <cell r="J1153">
            <v>0</v>
          </cell>
        </row>
        <row r="1154">
          <cell r="A1154" t="str">
            <v>ID005410</v>
          </cell>
          <cell r="B1154">
            <v>5810004339</v>
          </cell>
          <cell r="C1154" t="str">
            <v>W51346</v>
          </cell>
          <cell r="D1154">
            <v>5412</v>
          </cell>
          <cell r="E1154">
            <v>9012</v>
          </cell>
          <cell r="F1154">
            <v>38456</v>
          </cell>
          <cell r="G1154" t="str">
            <v>IDR</v>
          </cell>
          <cell r="H1154">
            <v>630000</v>
          </cell>
          <cell r="I1154">
            <v>630000</v>
          </cell>
          <cell r="J1154">
            <v>0</v>
          </cell>
        </row>
        <row r="1155">
          <cell r="A1155" t="str">
            <v>ID005410</v>
          </cell>
          <cell r="B1155">
            <v>5810004339</v>
          </cell>
          <cell r="C1155" t="str">
            <v>W51346</v>
          </cell>
          <cell r="D1155">
            <v>5412</v>
          </cell>
          <cell r="E1155">
            <v>9012</v>
          </cell>
          <cell r="F1155">
            <v>38456</v>
          </cell>
          <cell r="G1155" t="str">
            <v>IDR</v>
          </cell>
          <cell r="H1155">
            <v>132656</v>
          </cell>
          <cell r="I1155">
            <v>132656</v>
          </cell>
          <cell r="J1155">
            <v>0</v>
          </cell>
        </row>
        <row r="1156">
          <cell r="A1156" t="str">
            <v>ID005410</v>
          </cell>
          <cell r="B1156">
            <v>5810004339</v>
          </cell>
          <cell r="C1156" t="str">
            <v>W51346</v>
          </cell>
          <cell r="D1156">
            <v>5412</v>
          </cell>
          <cell r="E1156">
            <v>9012</v>
          </cell>
          <cell r="F1156">
            <v>38456</v>
          </cell>
          <cell r="G1156" t="str">
            <v>IDR</v>
          </cell>
          <cell r="H1156">
            <v>105912</v>
          </cell>
          <cell r="I1156">
            <v>105912</v>
          </cell>
          <cell r="J1156">
            <v>0</v>
          </cell>
        </row>
        <row r="1157">
          <cell r="A1157" t="str">
            <v>ID005410</v>
          </cell>
          <cell r="B1157">
            <v>5810004342</v>
          </cell>
          <cell r="C1157" t="str">
            <v>W53220</v>
          </cell>
          <cell r="D1157">
            <v>5412</v>
          </cell>
          <cell r="E1157">
            <v>9012</v>
          </cell>
          <cell r="F1157">
            <v>38456</v>
          </cell>
          <cell r="G1157" t="str">
            <v>IDR</v>
          </cell>
          <cell r="H1157">
            <v>420000</v>
          </cell>
          <cell r="I1157">
            <v>420000</v>
          </cell>
          <cell r="J1157">
            <v>0</v>
          </cell>
        </row>
        <row r="1158">
          <cell r="A1158" t="str">
            <v>ID005410</v>
          </cell>
          <cell r="B1158">
            <v>5810004342</v>
          </cell>
          <cell r="C1158" t="str">
            <v>W53220</v>
          </cell>
          <cell r="D1158">
            <v>5412</v>
          </cell>
          <cell r="E1158">
            <v>9012</v>
          </cell>
          <cell r="F1158">
            <v>38456</v>
          </cell>
          <cell r="G1158" t="str">
            <v>IDR</v>
          </cell>
          <cell r="H1158">
            <v>4997454</v>
          </cell>
          <cell r="I1158">
            <v>4997454</v>
          </cell>
          <cell r="J1158">
            <v>0</v>
          </cell>
        </row>
        <row r="1159">
          <cell r="A1159" t="str">
            <v>ID005410</v>
          </cell>
          <cell r="B1159">
            <v>5810004342</v>
          </cell>
          <cell r="C1159" t="str">
            <v>W53220</v>
          </cell>
          <cell r="D1159">
            <v>5412</v>
          </cell>
          <cell r="E1159">
            <v>9012</v>
          </cell>
          <cell r="F1159">
            <v>38456</v>
          </cell>
          <cell r="G1159" t="str">
            <v>IDR</v>
          </cell>
          <cell r="H1159">
            <v>2797667</v>
          </cell>
          <cell r="I1159">
            <v>2797667</v>
          </cell>
          <cell r="J1159">
            <v>0</v>
          </cell>
        </row>
        <row r="1160">
          <cell r="A1160" t="str">
            <v>ID005410</v>
          </cell>
          <cell r="B1160">
            <v>5810004344</v>
          </cell>
          <cell r="C1160" t="str">
            <v>W52883</v>
          </cell>
          <cell r="D1160">
            <v>5412</v>
          </cell>
          <cell r="E1160">
            <v>9012</v>
          </cell>
          <cell r="F1160">
            <v>38456</v>
          </cell>
          <cell r="G1160" t="str">
            <v>IDR</v>
          </cell>
          <cell r="H1160">
            <v>630000</v>
          </cell>
          <cell r="I1160">
            <v>630000</v>
          </cell>
          <cell r="J1160">
            <v>0</v>
          </cell>
        </row>
        <row r="1161">
          <cell r="A1161" t="str">
            <v>ID005410</v>
          </cell>
          <cell r="B1161">
            <v>5810004344</v>
          </cell>
          <cell r="C1161" t="str">
            <v>W52883</v>
          </cell>
          <cell r="D1161">
            <v>5412</v>
          </cell>
          <cell r="E1161">
            <v>9012</v>
          </cell>
          <cell r="F1161">
            <v>38456</v>
          </cell>
          <cell r="G1161" t="str">
            <v>IDR</v>
          </cell>
          <cell r="H1161">
            <v>132656</v>
          </cell>
          <cell r="I1161">
            <v>132656</v>
          </cell>
          <cell r="J1161">
            <v>0</v>
          </cell>
        </row>
        <row r="1162">
          <cell r="A1162" t="str">
            <v>ID005410</v>
          </cell>
          <cell r="B1162">
            <v>5810004344</v>
          </cell>
          <cell r="C1162" t="str">
            <v>W52883</v>
          </cell>
          <cell r="D1162">
            <v>5412</v>
          </cell>
          <cell r="E1162">
            <v>9012</v>
          </cell>
          <cell r="F1162">
            <v>38456</v>
          </cell>
          <cell r="G1162" t="str">
            <v>IDR</v>
          </cell>
          <cell r="H1162">
            <v>142361</v>
          </cell>
          <cell r="I1162">
            <v>142361</v>
          </cell>
          <cell r="J1162">
            <v>0</v>
          </cell>
        </row>
        <row r="1163">
          <cell r="A1163" t="str">
            <v>ID005410</v>
          </cell>
          <cell r="B1163">
            <v>5810004368</v>
          </cell>
          <cell r="C1163" t="str">
            <v>W52063</v>
          </cell>
          <cell r="D1163">
            <v>5412</v>
          </cell>
          <cell r="E1163">
            <v>9012</v>
          </cell>
          <cell r="F1163">
            <v>38460</v>
          </cell>
          <cell r="G1163" t="str">
            <v>IDR</v>
          </cell>
          <cell r="H1163">
            <v>68830</v>
          </cell>
          <cell r="I1163">
            <v>68830</v>
          </cell>
          <cell r="J1163">
            <v>0</v>
          </cell>
        </row>
        <row r="1164">
          <cell r="A1164" t="str">
            <v>ID005410</v>
          </cell>
          <cell r="B1164">
            <v>5810004368</v>
          </cell>
          <cell r="C1164" t="str">
            <v>W52063</v>
          </cell>
          <cell r="D1164">
            <v>5412</v>
          </cell>
          <cell r="E1164">
            <v>9012</v>
          </cell>
          <cell r="F1164">
            <v>38460</v>
          </cell>
          <cell r="G1164" t="str">
            <v>IDR</v>
          </cell>
          <cell r="H1164">
            <v>6355</v>
          </cell>
          <cell r="I1164">
            <v>6355</v>
          </cell>
          <cell r="J1164">
            <v>0</v>
          </cell>
        </row>
        <row r="1165">
          <cell r="A1165" t="str">
            <v>ID005410</v>
          </cell>
          <cell r="B1165">
            <v>5810004369</v>
          </cell>
          <cell r="C1165" t="str">
            <v>W52210</v>
          </cell>
          <cell r="D1165">
            <v>5412</v>
          </cell>
          <cell r="E1165">
            <v>9012</v>
          </cell>
          <cell r="F1165">
            <v>38460</v>
          </cell>
          <cell r="G1165" t="str">
            <v>IDR</v>
          </cell>
          <cell r="H1165">
            <v>68830</v>
          </cell>
          <cell r="I1165">
            <v>68830</v>
          </cell>
          <cell r="J1165">
            <v>0</v>
          </cell>
        </row>
        <row r="1166">
          <cell r="A1166" t="str">
            <v>ID005410</v>
          </cell>
          <cell r="B1166">
            <v>5810004369</v>
          </cell>
          <cell r="C1166" t="str">
            <v>W52210</v>
          </cell>
          <cell r="D1166">
            <v>5412</v>
          </cell>
          <cell r="E1166">
            <v>9012</v>
          </cell>
          <cell r="F1166">
            <v>38460</v>
          </cell>
          <cell r="G1166" t="str">
            <v>IDR</v>
          </cell>
          <cell r="H1166">
            <v>1970</v>
          </cell>
          <cell r="I1166">
            <v>1970</v>
          </cell>
          <cell r="J1166">
            <v>0</v>
          </cell>
        </row>
        <row r="1167">
          <cell r="A1167" t="str">
            <v>ID005410</v>
          </cell>
          <cell r="B1167">
            <v>5810004370</v>
          </cell>
          <cell r="C1167" t="str">
            <v>W52216</v>
          </cell>
          <cell r="D1167">
            <v>5412</v>
          </cell>
          <cell r="E1167">
            <v>9012</v>
          </cell>
          <cell r="F1167">
            <v>38460</v>
          </cell>
          <cell r="G1167" t="str">
            <v>IDR</v>
          </cell>
          <cell r="H1167">
            <v>68830</v>
          </cell>
          <cell r="I1167">
            <v>68830</v>
          </cell>
          <cell r="J1167">
            <v>0</v>
          </cell>
        </row>
        <row r="1168">
          <cell r="A1168" t="str">
            <v>ID005410</v>
          </cell>
          <cell r="B1168">
            <v>5810004370</v>
          </cell>
          <cell r="C1168" t="str">
            <v>W52216</v>
          </cell>
          <cell r="D1168">
            <v>5412</v>
          </cell>
          <cell r="E1168">
            <v>9012</v>
          </cell>
          <cell r="F1168">
            <v>38460</v>
          </cell>
          <cell r="G1168" t="str">
            <v>IDR</v>
          </cell>
          <cell r="H1168">
            <v>1970</v>
          </cell>
          <cell r="I1168">
            <v>1970</v>
          </cell>
          <cell r="J1168">
            <v>0</v>
          </cell>
        </row>
        <row r="1169">
          <cell r="A1169" t="str">
            <v>ID005410</v>
          </cell>
          <cell r="B1169">
            <v>5810004371</v>
          </cell>
          <cell r="C1169" t="str">
            <v>W52213</v>
          </cell>
          <cell r="D1169">
            <v>5412</v>
          </cell>
          <cell r="E1169">
            <v>9012</v>
          </cell>
          <cell r="F1169">
            <v>38460</v>
          </cell>
          <cell r="G1169" t="str">
            <v>IDR</v>
          </cell>
          <cell r="H1169">
            <v>68830</v>
          </cell>
          <cell r="I1169">
            <v>68830</v>
          </cell>
          <cell r="J1169">
            <v>0</v>
          </cell>
        </row>
        <row r="1170">
          <cell r="A1170" t="str">
            <v>ID005410</v>
          </cell>
          <cell r="B1170">
            <v>5810004371</v>
          </cell>
          <cell r="C1170" t="str">
            <v>W52213</v>
          </cell>
          <cell r="D1170">
            <v>5412</v>
          </cell>
          <cell r="E1170">
            <v>9012</v>
          </cell>
          <cell r="F1170">
            <v>38460</v>
          </cell>
          <cell r="G1170" t="str">
            <v>IDR</v>
          </cell>
          <cell r="H1170">
            <v>1970</v>
          </cell>
          <cell r="I1170">
            <v>1970</v>
          </cell>
          <cell r="J1170">
            <v>0</v>
          </cell>
        </row>
        <row r="1171">
          <cell r="A1171" t="str">
            <v>ID005410</v>
          </cell>
          <cell r="B1171">
            <v>5810004409</v>
          </cell>
          <cell r="C1171" t="str">
            <v>W52216</v>
          </cell>
          <cell r="D1171">
            <v>5412</v>
          </cell>
          <cell r="E1171">
            <v>9012</v>
          </cell>
          <cell r="F1171">
            <v>38468</v>
          </cell>
          <cell r="G1171" t="str">
            <v>IDR</v>
          </cell>
          <cell r="H1171">
            <v>69560</v>
          </cell>
          <cell r="I1171">
            <v>69560</v>
          </cell>
          <cell r="J1171">
            <v>0</v>
          </cell>
        </row>
        <row r="1172">
          <cell r="A1172" t="str">
            <v>ID005410</v>
          </cell>
          <cell r="B1172">
            <v>5810004411</v>
          </cell>
          <cell r="C1172" t="str">
            <v>W51346</v>
          </cell>
          <cell r="D1172">
            <v>5412</v>
          </cell>
          <cell r="E1172">
            <v>9012</v>
          </cell>
          <cell r="F1172">
            <v>38468</v>
          </cell>
          <cell r="G1172" t="str">
            <v>IDR</v>
          </cell>
          <cell r="H1172">
            <v>41363</v>
          </cell>
          <cell r="I1172">
            <v>41363</v>
          </cell>
          <cell r="J1172">
            <v>0</v>
          </cell>
        </row>
        <row r="1173">
          <cell r="A1173" t="str">
            <v>ID005410</v>
          </cell>
          <cell r="B1173">
            <v>5810004413</v>
          </cell>
          <cell r="C1173" t="str">
            <v>W52063</v>
          </cell>
          <cell r="D1173">
            <v>5412</v>
          </cell>
          <cell r="E1173">
            <v>9012</v>
          </cell>
          <cell r="F1173">
            <v>38468</v>
          </cell>
          <cell r="G1173" t="str">
            <v>IDR</v>
          </cell>
          <cell r="H1173">
            <v>69560</v>
          </cell>
          <cell r="I1173">
            <v>69560</v>
          </cell>
          <cell r="J1173">
            <v>0</v>
          </cell>
        </row>
        <row r="1174">
          <cell r="A1174" t="str">
            <v>ID005410</v>
          </cell>
          <cell r="B1174">
            <v>5810004415</v>
          </cell>
          <cell r="C1174" t="str">
            <v>W52213</v>
          </cell>
          <cell r="D1174">
            <v>5412</v>
          </cell>
          <cell r="E1174">
            <v>9012</v>
          </cell>
          <cell r="F1174">
            <v>38468</v>
          </cell>
          <cell r="G1174" t="str">
            <v>IDR</v>
          </cell>
          <cell r="H1174">
            <v>69560</v>
          </cell>
          <cell r="I1174">
            <v>69560</v>
          </cell>
          <cell r="J1174">
            <v>0</v>
          </cell>
        </row>
        <row r="1175">
          <cell r="A1175" t="str">
            <v>ID005410</v>
          </cell>
          <cell r="B1175">
            <v>5810004417</v>
          </cell>
          <cell r="C1175" t="str">
            <v>W51603</v>
          </cell>
          <cell r="D1175">
            <v>5412</v>
          </cell>
          <cell r="E1175">
            <v>9012</v>
          </cell>
          <cell r="F1175">
            <v>38468</v>
          </cell>
          <cell r="G1175" t="str">
            <v>IDR</v>
          </cell>
          <cell r="H1175">
            <v>41363</v>
          </cell>
          <cell r="I1175">
            <v>41363</v>
          </cell>
          <cell r="J1175">
            <v>0</v>
          </cell>
        </row>
        <row r="1176">
          <cell r="A1176" t="str">
            <v>ID005410</v>
          </cell>
          <cell r="B1176">
            <v>5810004418</v>
          </cell>
          <cell r="C1176" t="str">
            <v>W52210</v>
          </cell>
          <cell r="D1176">
            <v>5412</v>
          </cell>
          <cell r="E1176">
            <v>9012</v>
          </cell>
          <cell r="F1176">
            <v>38468</v>
          </cell>
          <cell r="G1176" t="str">
            <v>IDR</v>
          </cell>
          <cell r="H1176">
            <v>69560</v>
          </cell>
          <cell r="I1176">
            <v>69560</v>
          </cell>
          <cell r="J1176">
            <v>0</v>
          </cell>
        </row>
        <row r="1177">
          <cell r="A1177" t="str">
            <v>ID005410</v>
          </cell>
          <cell r="B1177">
            <v>5810004547</v>
          </cell>
          <cell r="C1177" t="str">
            <v>W55152</v>
          </cell>
          <cell r="D1177">
            <v>5412</v>
          </cell>
          <cell r="E1177">
            <v>9012</v>
          </cell>
          <cell r="F1177">
            <v>38497</v>
          </cell>
          <cell r="G1177" t="str">
            <v>IDR</v>
          </cell>
          <cell r="H1177">
            <v>344525</v>
          </cell>
          <cell r="I1177">
            <v>344525</v>
          </cell>
          <cell r="J1177">
            <v>0</v>
          </cell>
        </row>
        <row r="1178">
          <cell r="A1178" t="str">
            <v>ID005410</v>
          </cell>
          <cell r="B1178">
            <v>5810004547</v>
          </cell>
          <cell r="C1178" t="str">
            <v>W55152</v>
          </cell>
          <cell r="D1178">
            <v>5412</v>
          </cell>
          <cell r="E1178">
            <v>9012</v>
          </cell>
          <cell r="F1178">
            <v>38497</v>
          </cell>
          <cell r="G1178" t="str">
            <v>IDR</v>
          </cell>
          <cell r="H1178">
            <v>11535</v>
          </cell>
          <cell r="I1178">
            <v>11535</v>
          </cell>
          <cell r="J1178">
            <v>0</v>
          </cell>
        </row>
        <row r="1179">
          <cell r="A1179" t="str">
            <v>ID005410</v>
          </cell>
          <cell r="B1179">
            <v>5810004669</v>
          </cell>
          <cell r="C1179" t="str">
            <v>W56731</v>
          </cell>
          <cell r="D1179">
            <v>5412</v>
          </cell>
          <cell r="E1179">
            <v>9012</v>
          </cell>
          <cell r="F1179">
            <v>38520</v>
          </cell>
          <cell r="G1179" t="str">
            <v>IDR</v>
          </cell>
          <cell r="H1179">
            <v>542251</v>
          </cell>
          <cell r="I1179">
            <v>542251</v>
          </cell>
          <cell r="J1179">
            <v>0</v>
          </cell>
        </row>
        <row r="1180">
          <cell r="A1180" t="str">
            <v>ID005410</v>
          </cell>
          <cell r="B1180">
            <v>5810004670</v>
          </cell>
          <cell r="C1180" t="str">
            <v>W56737</v>
          </cell>
          <cell r="D1180">
            <v>5412</v>
          </cell>
          <cell r="E1180">
            <v>9012</v>
          </cell>
          <cell r="F1180">
            <v>38520</v>
          </cell>
          <cell r="G1180" t="str">
            <v>IDR</v>
          </cell>
          <cell r="H1180">
            <v>542251</v>
          </cell>
          <cell r="I1180">
            <v>542251</v>
          </cell>
          <cell r="J1180">
            <v>0</v>
          </cell>
        </row>
        <row r="1181">
          <cell r="A1181" t="str">
            <v>ID005410</v>
          </cell>
          <cell r="B1181">
            <v>5810004670</v>
          </cell>
          <cell r="C1181" t="str">
            <v>W56737</v>
          </cell>
          <cell r="D1181">
            <v>5412</v>
          </cell>
          <cell r="E1181">
            <v>9012</v>
          </cell>
          <cell r="F1181">
            <v>38520</v>
          </cell>
          <cell r="G1181" t="str">
            <v>IDR</v>
          </cell>
          <cell r="H1181">
            <v>89588</v>
          </cell>
          <cell r="I1181">
            <v>89588</v>
          </cell>
          <cell r="J1181">
            <v>0</v>
          </cell>
        </row>
        <row r="1182">
          <cell r="A1182" t="str">
            <v>ID005410</v>
          </cell>
          <cell r="B1182">
            <v>5810004880</v>
          </cell>
          <cell r="C1182" t="str">
            <v>P61057</v>
          </cell>
          <cell r="D1182">
            <v>5412</v>
          </cell>
          <cell r="E1182">
            <v>9012</v>
          </cell>
          <cell r="F1182">
            <v>38576</v>
          </cell>
          <cell r="G1182" t="str">
            <v>IDR</v>
          </cell>
          <cell r="H1182">
            <v>519068</v>
          </cell>
          <cell r="I1182">
            <v>519068</v>
          </cell>
          <cell r="J1182">
            <v>0</v>
          </cell>
        </row>
        <row r="1183">
          <cell r="A1183" t="str">
            <v>ID005410</v>
          </cell>
          <cell r="B1183">
            <v>5810004881</v>
          </cell>
          <cell r="C1183" t="str">
            <v>P61060</v>
          </cell>
          <cell r="D1183">
            <v>5412</v>
          </cell>
          <cell r="E1183">
            <v>9012</v>
          </cell>
          <cell r="F1183">
            <v>38576</v>
          </cell>
          <cell r="G1183" t="str">
            <v>IDR</v>
          </cell>
          <cell r="H1183">
            <v>217866</v>
          </cell>
          <cell r="I1183">
            <v>217866</v>
          </cell>
          <cell r="J1183">
            <v>0</v>
          </cell>
        </row>
        <row r="1184">
          <cell r="A1184" t="str">
            <v>ID005410</v>
          </cell>
          <cell r="B1184">
            <v>5810004883</v>
          </cell>
          <cell r="C1184" t="str">
            <v>P61062</v>
          </cell>
          <cell r="D1184">
            <v>5412</v>
          </cell>
          <cell r="E1184">
            <v>9012</v>
          </cell>
          <cell r="F1184">
            <v>38576</v>
          </cell>
          <cell r="G1184" t="str">
            <v>IDR</v>
          </cell>
          <cell r="H1184">
            <v>183096</v>
          </cell>
          <cell r="I1184">
            <v>183096</v>
          </cell>
          <cell r="J1184">
            <v>0</v>
          </cell>
        </row>
        <row r="1185">
          <cell r="A1185" t="str">
            <v>ID005410</v>
          </cell>
          <cell r="B1185">
            <v>5810004885</v>
          </cell>
          <cell r="C1185" t="str">
            <v>P61056</v>
          </cell>
          <cell r="D1185">
            <v>5412</v>
          </cell>
          <cell r="E1185">
            <v>9012</v>
          </cell>
          <cell r="F1185">
            <v>38576</v>
          </cell>
          <cell r="G1185" t="str">
            <v>IDR</v>
          </cell>
          <cell r="H1185">
            <v>1724773</v>
          </cell>
          <cell r="I1185">
            <v>1724773</v>
          </cell>
          <cell r="J1185">
            <v>0</v>
          </cell>
        </row>
        <row r="1186">
          <cell r="A1186" t="str">
            <v>ID005410</v>
          </cell>
          <cell r="B1186">
            <v>5810004887</v>
          </cell>
          <cell r="C1186" t="str">
            <v>P61061</v>
          </cell>
          <cell r="D1186">
            <v>5412</v>
          </cell>
          <cell r="E1186">
            <v>9012</v>
          </cell>
          <cell r="F1186">
            <v>38576</v>
          </cell>
          <cell r="G1186" t="str">
            <v>IDR</v>
          </cell>
          <cell r="H1186">
            <v>74644</v>
          </cell>
          <cell r="I1186">
            <v>74644</v>
          </cell>
          <cell r="J1186">
            <v>0</v>
          </cell>
        </row>
        <row r="1187">
          <cell r="A1187" t="str">
            <v>ID005410</v>
          </cell>
          <cell r="B1187">
            <v>5810005033</v>
          </cell>
          <cell r="C1187" t="str">
            <v>P62702</v>
          </cell>
          <cell r="D1187">
            <v>5412</v>
          </cell>
          <cell r="E1187">
            <v>9012</v>
          </cell>
          <cell r="F1187">
            <v>38608</v>
          </cell>
          <cell r="G1187" t="str">
            <v>IDR</v>
          </cell>
          <cell r="H1187">
            <v>4025088</v>
          </cell>
          <cell r="I1187">
            <v>4025088</v>
          </cell>
          <cell r="J1187">
            <v>0</v>
          </cell>
        </row>
        <row r="1188">
          <cell r="A1188" t="str">
            <v>ID005410</v>
          </cell>
          <cell r="B1188">
            <v>5810005033</v>
          </cell>
          <cell r="C1188" t="str">
            <v>P62702</v>
          </cell>
          <cell r="D1188">
            <v>5412</v>
          </cell>
          <cell r="E1188">
            <v>9012</v>
          </cell>
          <cell r="F1188">
            <v>38608</v>
          </cell>
          <cell r="G1188" t="str">
            <v>IDR</v>
          </cell>
          <cell r="H1188">
            <v>372070</v>
          </cell>
          <cell r="I1188">
            <v>372070</v>
          </cell>
          <cell r="J1188">
            <v>0</v>
          </cell>
        </row>
        <row r="1189">
          <cell r="A1189" t="str">
            <v>ID005410</v>
          </cell>
          <cell r="B1189">
            <v>5810005074</v>
          </cell>
          <cell r="C1189" t="str">
            <v>P63378</v>
          </cell>
          <cell r="D1189">
            <v>5412</v>
          </cell>
          <cell r="E1189">
            <v>9012</v>
          </cell>
          <cell r="F1189">
            <v>38616</v>
          </cell>
          <cell r="G1189" t="str">
            <v>IDR</v>
          </cell>
          <cell r="H1189">
            <v>316533</v>
          </cell>
          <cell r="I1189">
            <v>316533</v>
          </cell>
          <cell r="J1189">
            <v>0</v>
          </cell>
        </row>
        <row r="1190">
          <cell r="A1190" t="str">
            <v>ID005410</v>
          </cell>
          <cell r="B1190">
            <v>5810005079</v>
          </cell>
          <cell r="C1190" t="str">
            <v>P63411</v>
          </cell>
          <cell r="D1190">
            <v>5412</v>
          </cell>
          <cell r="E1190">
            <v>9012</v>
          </cell>
          <cell r="F1190">
            <v>38616</v>
          </cell>
          <cell r="G1190" t="str">
            <v>IDR</v>
          </cell>
          <cell r="H1190">
            <v>106428</v>
          </cell>
          <cell r="I1190">
            <v>106428</v>
          </cell>
          <cell r="J1190">
            <v>0</v>
          </cell>
        </row>
        <row r="1191">
          <cell r="A1191" t="str">
            <v>ID005410</v>
          </cell>
          <cell r="B1191">
            <v>5810005308</v>
          </cell>
          <cell r="C1191" t="str">
            <v>P10253</v>
          </cell>
          <cell r="D1191">
            <v>5412</v>
          </cell>
          <cell r="E1191">
            <v>9012</v>
          </cell>
          <cell r="F1191">
            <v>38672</v>
          </cell>
          <cell r="G1191" t="str">
            <v>IDR</v>
          </cell>
          <cell r="H1191">
            <v>2842929</v>
          </cell>
          <cell r="I1191">
            <v>2842929</v>
          </cell>
          <cell r="J1191">
            <v>0</v>
          </cell>
        </row>
        <row r="1192">
          <cell r="A1192" t="str">
            <v>ID005410</v>
          </cell>
          <cell r="B1192">
            <v>5810005308</v>
          </cell>
          <cell r="C1192" t="str">
            <v>P10253</v>
          </cell>
          <cell r="D1192">
            <v>5412</v>
          </cell>
          <cell r="E1192">
            <v>9012</v>
          </cell>
          <cell r="F1192">
            <v>38672</v>
          </cell>
          <cell r="G1192" t="str">
            <v>IDR</v>
          </cell>
          <cell r="H1192">
            <v>279290</v>
          </cell>
          <cell r="I1192">
            <v>279290</v>
          </cell>
          <cell r="J1192">
            <v>0</v>
          </cell>
        </row>
        <row r="1193">
          <cell r="A1193" t="str">
            <v>ID005410</v>
          </cell>
          <cell r="B1193">
            <v>5810005367</v>
          </cell>
          <cell r="C1193" t="str">
            <v>P11555</v>
          </cell>
          <cell r="D1193">
            <v>5412</v>
          </cell>
          <cell r="E1193">
            <v>9012</v>
          </cell>
          <cell r="F1193">
            <v>38684</v>
          </cell>
          <cell r="G1193" t="str">
            <v>IDR</v>
          </cell>
          <cell r="H1193">
            <v>1133225</v>
          </cell>
          <cell r="I1193">
            <v>1133225</v>
          </cell>
          <cell r="J1193">
            <v>0</v>
          </cell>
        </row>
        <row r="1194">
          <cell r="A1194" t="str">
            <v>ID005410</v>
          </cell>
          <cell r="B1194">
            <v>5810005496</v>
          </cell>
          <cell r="C1194" t="str">
            <v>P12996</v>
          </cell>
          <cell r="D1194">
            <v>5412</v>
          </cell>
          <cell r="E1194">
            <v>9012</v>
          </cell>
          <cell r="F1194">
            <v>38708</v>
          </cell>
          <cell r="G1194" t="str">
            <v>IDR</v>
          </cell>
          <cell r="H1194">
            <v>989881</v>
          </cell>
          <cell r="I1194">
            <v>989881</v>
          </cell>
          <cell r="J1194">
            <v>0</v>
          </cell>
        </row>
        <row r="1195">
          <cell r="I1195">
            <v>27458718</v>
          </cell>
        </row>
        <row r="1196">
          <cell r="A1196" t="str">
            <v>ID005500</v>
          </cell>
          <cell r="B1196">
            <v>5810004225</v>
          </cell>
          <cell r="C1196" t="str">
            <v>W31575</v>
          </cell>
          <cell r="D1196">
            <v>5502</v>
          </cell>
          <cell r="E1196">
            <v>9012</v>
          </cell>
          <cell r="F1196">
            <v>38447</v>
          </cell>
          <cell r="G1196" t="str">
            <v>IDR</v>
          </cell>
          <cell r="H1196">
            <v>554536</v>
          </cell>
          <cell r="I1196">
            <v>554536</v>
          </cell>
          <cell r="J1196">
            <v>0</v>
          </cell>
        </row>
        <row r="1197">
          <cell r="A1197" t="str">
            <v>ID005500</v>
          </cell>
          <cell r="B1197">
            <v>5810004225</v>
          </cell>
          <cell r="C1197" t="str">
            <v>W31575</v>
          </cell>
          <cell r="D1197">
            <v>5502</v>
          </cell>
          <cell r="E1197">
            <v>9012</v>
          </cell>
          <cell r="F1197">
            <v>38447</v>
          </cell>
          <cell r="G1197" t="str">
            <v>IDR</v>
          </cell>
          <cell r="H1197">
            <v>57115</v>
          </cell>
          <cell r="I1197">
            <v>57115</v>
          </cell>
          <cell r="J1197">
            <v>0</v>
          </cell>
        </row>
        <row r="1198">
          <cell r="I1198">
            <v>611651</v>
          </cell>
        </row>
        <row r="1199">
          <cell r="A1199">
            <v>5700</v>
          </cell>
          <cell r="B1199">
            <v>5020087454</v>
          </cell>
          <cell r="C1199" t="str">
            <v>Tires Michelin 205/55 R16 91V</v>
          </cell>
          <cell r="D1199">
            <v>5700</v>
          </cell>
          <cell r="E1199">
            <v>9012</v>
          </cell>
          <cell r="F1199">
            <v>38621</v>
          </cell>
          <cell r="G1199" t="str">
            <v>IDR</v>
          </cell>
          <cell r="H1199">
            <v>3120000</v>
          </cell>
          <cell r="I1199">
            <v>3120000</v>
          </cell>
          <cell r="J1199">
            <v>4</v>
          </cell>
        </row>
        <row r="1200">
          <cell r="A1200">
            <v>5700</v>
          </cell>
          <cell r="B1200">
            <v>5120075273</v>
          </cell>
          <cell r="C1200" t="str">
            <v/>
          </cell>
          <cell r="D1200">
            <v>5700</v>
          </cell>
          <cell r="E1200">
            <v>9012</v>
          </cell>
          <cell r="F1200">
            <v>38616</v>
          </cell>
          <cell r="G1200" t="str">
            <v>IDR</v>
          </cell>
          <cell r="H1200">
            <v>-283636</v>
          </cell>
          <cell r="I1200">
            <v>-283636</v>
          </cell>
          <cell r="J1200">
            <v>-4</v>
          </cell>
        </row>
        <row r="1201">
          <cell r="A1201" t="str">
            <v>ID005700</v>
          </cell>
          <cell r="B1201">
            <v>5810005472</v>
          </cell>
          <cell r="C1201" t="str">
            <v>P16862</v>
          </cell>
          <cell r="D1201">
            <v>5701</v>
          </cell>
          <cell r="E1201">
            <v>9011</v>
          </cell>
          <cell r="F1201">
            <v>38708</v>
          </cell>
          <cell r="G1201" t="str">
            <v>IDR</v>
          </cell>
          <cell r="H1201">
            <v>157455</v>
          </cell>
          <cell r="I1201">
            <v>157455</v>
          </cell>
          <cell r="J1201">
            <v>0</v>
          </cell>
        </row>
        <row r="1202">
          <cell r="A1202">
            <v>5702</v>
          </cell>
          <cell r="B1202">
            <v>120581285</v>
          </cell>
          <cell r="C1202" t="str">
            <v>PR&amp;PO OUTSTANDING 2005 (PR.2X)</v>
          </cell>
          <cell r="D1202">
            <v>5702</v>
          </cell>
          <cell r="E1202">
            <v>9012</v>
          </cell>
          <cell r="F1202">
            <v>38708</v>
          </cell>
          <cell r="G1202" t="str">
            <v>IDR</v>
          </cell>
          <cell r="H1202">
            <v>283636</v>
          </cell>
          <cell r="I1202">
            <v>283636</v>
          </cell>
          <cell r="J1202">
            <v>0</v>
          </cell>
        </row>
        <row r="1203">
          <cell r="A1203" t="str">
            <v>ID000300</v>
          </cell>
          <cell r="B1203">
            <v>5810003753</v>
          </cell>
          <cell r="C1203" t="str">
            <v>W39042</v>
          </cell>
          <cell r="D1203">
            <v>301</v>
          </cell>
          <cell r="E1203">
            <v>9011</v>
          </cell>
          <cell r="F1203">
            <v>38370</v>
          </cell>
          <cell r="G1203" t="str">
            <v>IDR</v>
          </cell>
          <cell r="H1203">
            <v>32828</v>
          </cell>
          <cell r="I1203">
            <v>32828</v>
          </cell>
          <cell r="J1203">
            <v>0</v>
          </cell>
        </row>
        <row r="1204">
          <cell r="A1204">
            <v>322</v>
          </cell>
          <cell r="B1204">
            <v>4920279367</v>
          </cell>
          <cell r="C1204" t="str">
            <v>FORKLIFT NO:09</v>
          </cell>
          <cell r="D1204">
            <v>322</v>
          </cell>
          <cell r="E1204">
            <v>9012</v>
          </cell>
          <cell r="F1204">
            <v>38415</v>
          </cell>
          <cell r="G1204" t="str">
            <v>IDR</v>
          </cell>
          <cell r="H1204">
            <v>61205</v>
          </cell>
          <cell r="I1204">
            <v>61205</v>
          </cell>
          <cell r="J1204">
            <v>40</v>
          </cell>
        </row>
        <row r="1205">
          <cell r="I1205">
            <v>3371488</v>
          </cell>
        </row>
        <row r="1206">
          <cell r="A1206">
            <v>6000</v>
          </cell>
          <cell r="B1206">
            <v>1810031203</v>
          </cell>
          <cell r="C1206" t="str">
            <v>18578/02 W59438-ID006000</v>
          </cell>
          <cell r="D1206">
            <v>6000</v>
          </cell>
          <cell r="E1206">
            <v>9012</v>
          </cell>
          <cell r="F1206">
            <v>38534</v>
          </cell>
          <cell r="G1206" t="str">
            <v>IDR</v>
          </cell>
          <cell r="H1206">
            <v>5912032</v>
          </cell>
          <cell r="I1206">
            <v>5912032</v>
          </cell>
          <cell r="J1206">
            <v>0</v>
          </cell>
        </row>
        <row r="1207">
          <cell r="A1207" t="str">
            <v>ID006000</v>
          </cell>
          <cell r="B1207">
            <v>5810004776</v>
          </cell>
          <cell r="C1207" t="str">
            <v>P59438</v>
          </cell>
          <cell r="D1207">
            <v>6001</v>
          </cell>
          <cell r="E1207">
            <v>9011</v>
          </cell>
          <cell r="F1207">
            <v>38552</v>
          </cell>
          <cell r="G1207" t="str">
            <v>IDR</v>
          </cell>
          <cell r="H1207">
            <v>-1201804</v>
          </cell>
          <cell r="I1207">
            <v>-1201804</v>
          </cell>
          <cell r="J1207">
            <v>0</v>
          </cell>
        </row>
        <row r="1208">
          <cell r="A1208" t="str">
            <v>ID006000</v>
          </cell>
          <cell r="B1208">
            <v>5810004777</v>
          </cell>
          <cell r="C1208" t="str">
            <v>P59438</v>
          </cell>
          <cell r="D1208">
            <v>6001</v>
          </cell>
          <cell r="E1208">
            <v>9011</v>
          </cell>
          <cell r="F1208">
            <v>38552</v>
          </cell>
          <cell r="G1208" t="str">
            <v>IDR</v>
          </cell>
          <cell r="H1208">
            <v>1201804</v>
          </cell>
          <cell r="I1208">
            <v>1201804</v>
          </cell>
          <cell r="J1208">
            <v>0</v>
          </cell>
        </row>
        <row r="1209">
          <cell r="A1209" t="str">
            <v>ID006000</v>
          </cell>
          <cell r="B1209">
            <v>5810004805</v>
          </cell>
          <cell r="C1209" t="str">
            <v>P59438</v>
          </cell>
          <cell r="D1209">
            <v>6001</v>
          </cell>
          <cell r="E1209">
            <v>9011</v>
          </cell>
          <cell r="F1209">
            <v>38559</v>
          </cell>
          <cell r="G1209" t="str">
            <v>IDR</v>
          </cell>
          <cell r="H1209">
            <v>-1201804</v>
          </cell>
          <cell r="I1209">
            <v>-1201804</v>
          </cell>
          <cell r="J1209">
            <v>0</v>
          </cell>
        </row>
        <row r="1210">
          <cell r="A1210" t="str">
            <v>ID006000</v>
          </cell>
          <cell r="B1210">
            <v>5810004807</v>
          </cell>
          <cell r="C1210" t="str">
            <v>P59438</v>
          </cell>
          <cell r="D1210">
            <v>6001</v>
          </cell>
          <cell r="E1210">
            <v>9011</v>
          </cell>
          <cell r="F1210">
            <v>38559</v>
          </cell>
          <cell r="G1210" t="str">
            <v>IDR</v>
          </cell>
          <cell r="H1210">
            <v>1211568</v>
          </cell>
          <cell r="I1210">
            <v>1211568</v>
          </cell>
          <cell r="J1210">
            <v>0</v>
          </cell>
        </row>
        <row r="1211">
          <cell r="A1211">
            <v>6002</v>
          </cell>
          <cell r="B1211">
            <v>120581285</v>
          </cell>
          <cell r="C1211" t="str">
            <v>PR&amp;PO OUTSTANDING 2005 (PR.2X)</v>
          </cell>
          <cell r="D1211">
            <v>6002</v>
          </cell>
          <cell r="E1211">
            <v>9012</v>
          </cell>
          <cell r="F1211">
            <v>38708</v>
          </cell>
          <cell r="G1211" t="str">
            <v>IDR</v>
          </cell>
          <cell r="H1211">
            <v>283636</v>
          </cell>
          <cell r="I1211">
            <v>283636</v>
          </cell>
          <cell r="J1211">
            <v>0</v>
          </cell>
        </row>
        <row r="1212">
          <cell r="A1212" t="str">
            <v>HUSIN SUMARNO</v>
          </cell>
          <cell r="B1212">
            <v>1920098023</v>
          </cell>
          <cell r="C1212" t="str">
            <v>CAR BODY SPRAY</v>
          </cell>
          <cell r="D1212">
            <v>6002</v>
          </cell>
          <cell r="E1212">
            <v>9012</v>
          </cell>
          <cell r="F1212">
            <v>38413</v>
          </cell>
          <cell r="G1212" t="str">
            <v>IDR</v>
          </cell>
          <cell r="H1212">
            <v>8150</v>
          </cell>
          <cell r="I1212">
            <v>8150</v>
          </cell>
          <cell r="J1212">
            <v>0</v>
          </cell>
        </row>
        <row r="1213">
          <cell r="A1213">
            <v>6002</v>
          </cell>
          <cell r="B1213">
            <v>5020086685</v>
          </cell>
          <cell r="C1213" t="str">
            <v>Tires Michelin,Energy MX8,205 55 R16 91V</v>
          </cell>
          <cell r="D1213">
            <v>6002</v>
          </cell>
          <cell r="E1213">
            <v>9012</v>
          </cell>
          <cell r="F1213">
            <v>38590</v>
          </cell>
          <cell r="G1213" t="str">
            <v>IDR</v>
          </cell>
          <cell r="H1213">
            <v>3120000</v>
          </cell>
          <cell r="I1213">
            <v>3120000</v>
          </cell>
          <cell r="J1213">
            <v>4</v>
          </cell>
        </row>
        <row r="1214">
          <cell r="A1214">
            <v>6002</v>
          </cell>
          <cell r="B1214">
            <v>5120074922</v>
          </cell>
          <cell r="C1214" t="str">
            <v/>
          </cell>
          <cell r="D1214">
            <v>6002</v>
          </cell>
          <cell r="E1214">
            <v>9012</v>
          </cell>
          <cell r="F1214">
            <v>38589</v>
          </cell>
          <cell r="G1214" t="str">
            <v>IDR</v>
          </cell>
          <cell r="H1214">
            <v>-283636</v>
          </cell>
          <cell r="I1214">
            <v>-283636</v>
          </cell>
          <cell r="J1214">
            <v>-4</v>
          </cell>
        </row>
        <row r="1215">
          <cell r="A1215" t="str">
            <v>MERCINDO</v>
          </cell>
          <cell r="B1215">
            <v>1920104564</v>
          </cell>
          <cell r="C1215" t="str">
            <v>SERVICE MB300 GE B.2702 EB</v>
          </cell>
          <cell r="D1215">
            <v>9712</v>
          </cell>
          <cell r="E1215">
            <v>9712</v>
          </cell>
          <cell r="F1215">
            <v>38637</v>
          </cell>
          <cell r="G1215" t="str">
            <v>IDR</v>
          </cell>
          <cell r="H1215">
            <v>4780000</v>
          </cell>
          <cell r="I1215">
            <v>4780000</v>
          </cell>
          <cell r="J1215">
            <v>0</v>
          </cell>
        </row>
        <row r="1216">
          <cell r="A1216" t="str">
            <v>BCM</v>
          </cell>
          <cell r="B1216">
            <v>1610019852</v>
          </cell>
          <cell r="C1216" t="str">
            <v>REPAIR COST MB800 B.9209 DZ</v>
          </cell>
          <cell r="D1216" t="str">
            <v>H190</v>
          </cell>
          <cell r="E1216">
            <v>9012</v>
          </cell>
          <cell r="F1216">
            <v>38456</v>
          </cell>
          <cell r="G1216" t="str">
            <v>IDR</v>
          </cell>
          <cell r="H1216">
            <v>1774999</v>
          </cell>
          <cell r="I1216">
            <v>1774999</v>
          </cell>
          <cell r="J1216">
            <v>0</v>
          </cell>
        </row>
        <row r="1217">
          <cell r="A1217" t="str">
            <v>H190</v>
          </cell>
          <cell r="B1217">
            <v>5010012198</v>
          </cell>
          <cell r="C1217" t="str">
            <v>Tyre for Service Truck MB800</v>
          </cell>
          <cell r="D1217" t="str">
            <v>H190</v>
          </cell>
          <cell r="E1217">
            <v>9012</v>
          </cell>
          <cell r="F1217">
            <v>38432</v>
          </cell>
          <cell r="G1217" t="str">
            <v>IDR</v>
          </cell>
          <cell r="H1217">
            <v>2496250</v>
          </cell>
          <cell r="I1217">
            <v>2496250</v>
          </cell>
          <cell r="J1217">
            <v>5</v>
          </cell>
        </row>
        <row r="1218">
          <cell r="I1218">
            <v>18101195</v>
          </cell>
        </row>
        <row r="1219">
          <cell r="I1219">
            <v>815322268</v>
          </cell>
        </row>
      </sheetData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2006"/>
      <sheetName val="1_dat_gna"/>
      <sheetName val="2_dat_cost_indicator"/>
      <sheetName val="3_dat_headcount"/>
      <sheetName val="Steuerblatt"/>
      <sheetName val="GnA"/>
      <sheetName val="GnA 06_07"/>
      <sheetName val="FTE"/>
      <sheetName val="Personnel OH"/>
      <sheetName val="cost_driver"/>
      <sheetName val="Key Data"/>
      <sheetName val="WSP_out_of_scope"/>
      <sheetName val="comment"/>
      <sheetName val="GnA (EUR)"/>
    </sheetNames>
    <sheetDataSet>
      <sheetData sheetId="0">
        <row r="4">
          <cell r="C4" t="str">
            <v>DCE</v>
          </cell>
          <cell r="D4" t="str">
            <v>DCNL</v>
          </cell>
          <cell r="E4" t="str">
            <v>DCSA</v>
          </cell>
          <cell r="F4" t="str">
            <v>DCAB</v>
          </cell>
          <cell r="G4" t="str">
            <v>DCAP</v>
          </cell>
          <cell r="H4" t="str">
            <v>DCBel</v>
          </cell>
          <cell r="I4" t="str">
            <v>DCCH</v>
          </cell>
          <cell r="J4" t="str">
            <v>DCF</v>
          </cell>
          <cell r="K4" t="str">
            <v>DCI</v>
          </cell>
          <cell r="L4" t="str">
            <v>DCSveDan</v>
          </cell>
          <cell r="M4" t="str">
            <v>DCUK</v>
          </cell>
          <cell r="N4" t="str">
            <v>DCVD ies</v>
          </cell>
          <cell r="O4" t="str">
            <v>MBH</v>
          </cell>
          <cell r="P4" t="str">
            <v>MBP</v>
          </cell>
          <cell r="Q4" t="str">
            <v>MBUSA</v>
          </cell>
          <cell r="R4" t="str">
            <v>DCJ</v>
          </cell>
          <cell r="S4" t="str">
            <v>MBC</v>
          </cell>
          <cell r="T4" t="str">
            <v>Chrysler Austria</v>
          </cell>
          <cell r="U4" t="str">
            <v>DC de Mex</v>
          </cell>
          <cell r="V4" t="str">
            <v>DCAR</v>
          </cell>
          <cell r="W4" t="str">
            <v>DCAuP</v>
          </cell>
          <cell r="X4" t="str">
            <v>DC India</v>
          </cell>
          <cell r="Y4" t="str">
            <v>DCIna</v>
          </cell>
          <cell r="Z4" t="str">
            <v>MBCL HK</v>
          </cell>
          <cell r="AA4" t="str">
            <v>MBK</v>
          </cell>
          <cell r="AB4" t="str">
            <v>DCTh</v>
          </cell>
          <cell r="AC4" t="str">
            <v>DCM</v>
          </cell>
          <cell r="AD4" t="str">
            <v>DCK</v>
          </cell>
          <cell r="AE4" t="str">
            <v>MBV</v>
          </cell>
          <cell r="AF4" t="str">
            <v>SingOps</v>
          </cell>
          <cell r="AG4" t="str">
            <v>DCTw</v>
          </cell>
        </row>
        <row r="5">
          <cell r="C5">
            <v>1.0212417900061745</v>
          </cell>
          <cell r="D5">
            <v>1.5329999999999999</v>
          </cell>
          <cell r="E5">
            <v>5.0667404479567439</v>
          </cell>
          <cell r="F5">
            <v>26.047234269456926</v>
          </cell>
          <cell r="G5">
            <v>4.3220132619109179</v>
          </cell>
          <cell r="H5">
            <v>0.97917369137620114</v>
          </cell>
          <cell r="I5">
            <v>3.4317899961147216</v>
          </cell>
          <cell r="J5">
            <v>1.1276286555263157</v>
          </cell>
          <cell r="K5">
            <v>1.8316237960474384</v>
          </cell>
          <cell r="L5">
            <v>7.5754459999999995</v>
          </cell>
          <cell r="M5">
            <v>1.2318257012485228</v>
          </cell>
          <cell r="N5">
            <v>2.3900422551736202</v>
          </cell>
          <cell r="O5">
            <v>1.2746491940425995</v>
          </cell>
          <cell r="P5">
            <v>0.83431239480985298</v>
          </cell>
          <cell r="Q5">
            <v>2.6696232537000002</v>
          </cell>
          <cell r="R5">
            <v>421.25407992674207</v>
          </cell>
          <cell r="S5">
            <v>2.3216401882520969</v>
          </cell>
          <cell r="T5">
            <v>0.43</v>
          </cell>
          <cell r="U5">
            <v>0.71188135540662301</v>
          </cell>
          <cell r="V5">
            <v>1.2450000000000001</v>
          </cell>
          <cell r="W5">
            <v>2.3437069791603795</v>
          </cell>
          <cell r="X5">
            <v>28.168765685666667</v>
          </cell>
          <cell r="Y5">
            <v>13072</v>
          </cell>
          <cell r="Z5">
            <v>6.5936000000000003</v>
          </cell>
          <cell r="AA5">
            <v>1046.6854240424732</v>
          </cell>
          <cell r="AB5">
            <v>44.700858189999998</v>
          </cell>
          <cell r="AC5">
            <v>1.5292701200000105</v>
          </cell>
          <cell r="AD5">
            <v>521.21122391785184</v>
          </cell>
          <cell r="AE5">
            <v>0.55000600000000011</v>
          </cell>
          <cell r="AF5">
            <v>1.04834505</v>
          </cell>
          <cell r="AG5">
            <v>33.926475600000003</v>
          </cell>
        </row>
        <row r="6">
          <cell r="C6">
            <v>10.866210215000134</v>
          </cell>
          <cell r="D6">
            <v>8.8614299999999986</v>
          </cell>
          <cell r="E6">
            <v>63.671253777687809</v>
          </cell>
          <cell r="F6">
            <v>59.185733412871159</v>
          </cell>
          <cell r="G6">
            <v>11.80119847375</v>
          </cell>
          <cell r="H6">
            <v>8.0090701916128815</v>
          </cell>
          <cell r="I6">
            <v>12.652183097287489</v>
          </cell>
          <cell r="J6">
            <v>20.251628520191002</v>
          </cell>
          <cell r="K6">
            <v>15.911073322367809</v>
          </cell>
          <cell r="L6">
            <v>62.170006866279998</v>
          </cell>
          <cell r="M6">
            <v>13.279747118857921</v>
          </cell>
          <cell r="N6">
            <v>54.947207755820294</v>
          </cell>
          <cell r="O6">
            <v>2.4783991946220678</v>
          </cell>
          <cell r="P6">
            <v>2.4490884611216051</v>
          </cell>
          <cell r="Q6">
            <v>43.333394699999999</v>
          </cell>
          <cell r="R6">
            <v>2249.4052344047377</v>
          </cell>
          <cell r="S6">
            <v>4.8971089874706024</v>
          </cell>
          <cell r="T6">
            <v>1.5509999999999999</v>
          </cell>
          <cell r="U6">
            <v>1.1097447040838613</v>
          </cell>
          <cell r="V6">
            <v>4.2929999999999993</v>
          </cell>
          <cell r="W6">
            <v>15.871024829743174</v>
          </cell>
          <cell r="X6">
            <v>50.497731804499992</v>
          </cell>
          <cell r="Y6">
            <v>15188</v>
          </cell>
          <cell r="Z6">
            <v>24.04</v>
          </cell>
          <cell r="AA6">
            <v>4843.2923889197937</v>
          </cell>
          <cell r="AB6">
            <v>73.358127759999988</v>
          </cell>
          <cell r="AC6">
            <v>6.563225083252898</v>
          </cell>
          <cell r="AD6">
            <v>5918.4326197208202</v>
          </cell>
          <cell r="AE6">
            <v>0.74233655399999998</v>
          </cell>
          <cell r="AF6">
            <v>2.6686829230766507</v>
          </cell>
          <cell r="AG6">
            <v>71.217798250000001</v>
          </cell>
        </row>
        <row r="7">
          <cell r="C7">
            <v>2.7197316805338505</v>
          </cell>
          <cell r="D7">
            <v>1.829</v>
          </cell>
          <cell r="E7">
            <v>14.193757254767732</v>
          </cell>
          <cell r="F7">
            <v>11.243946880325236</v>
          </cell>
          <cell r="G7">
            <v>3.988585429178571</v>
          </cell>
          <cell r="H7">
            <v>1.7503541389975079</v>
          </cell>
          <cell r="I7">
            <v>4.1639360945619934</v>
          </cell>
          <cell r="J7">
            <v>6.2707899349999989</v>
          </cell>
          <cell r="K7">
            <v>4.6008258970691571</v>
          </cell>
          <cell r="L7">
            <v>31.873608866280001</v>
          </cell>
          <cell r="M7">
            <v>3.3701811758732321</v>
          </cell>
          <cell r="N7">
            <v>11.283092272968346</v>
          </cell>
          <cell r="O7">
            <v>0.69898491290659803</v>
          </cell>
          <cell r="P7">
            <v>0.61798161326982048</v>
          </cell>
          <cell r="Q7">
            <v>15.0083112</v>
          </cell>
          <cell r="R7">
            <v>415.85862757165</v>
          </cell>
          <cell r="S7">
            <v>1.1091614858307017</v>
          </cell>
          <cell r="T7">
            <v>0.376</v>
          </cell>
          <cell r="U7">
            <v>0.47388010482638138</v>
          </cell>
          <cell r="V7">
            <v>2.15</v>
          </cell>
          <cell r="W7">
            <v>5.0729919789764635</v>
          </cell>
          <cell r="X7">
            <v>3.9802734600000007</v>
          </cell>
          <cell r="Y7">
            <v>4129</v>
          </cell>
          <cell r="Z7">
            <v>0.3</v>
          </cell>
          <cell r="AA7">
            <v>932.81992540687577</v>
          </cell>
          <cell r="AB7">
            <v>16.646092230000001</v>
          </cell>
          <cell r="AC7">
            <v>2.3151505028458423</v>
          </cell>
          <cell r="AD7">
            <v>4548.3943279334371</v>
          </cell>
          <cell r="AE7">
            <v>0.11705093400000001</v>
          </cell>
          <cell r="AF7">
            <v>0.43478566456924295</v>
          </cell>
          <cell r="AG7">
            <v>16.700379249999997</v>
          </cell>
        </row>
        <row r="8">
          <cell r="C8">
            <v>0.62994601714154908</v>
          </cell>
          <cell r="D8">
            <v>1.4819999999999998</v>
          </cell>
          <cell r="E8">
            <v>7.2283111556311512</v>
          </cell>
          <cell r="F8">
            <v>7.8486848429067848</v>
          </cell>
          <cell r="G8">
            <v>2.0070006352976191</v>
          </cell>
          <cell r="H8">
            <v>0.49295853192381595</v>
          </cell>
          <cell r="I8">
            <v>3.355965248746223</v>
          </cell>
          <cell r="J8">
            <v>2.2710746178199996</v>
          </cell>
          <cell r="K8">
            <v>1.3286684212520059</v>
          </cell>
          <cell r="L8">
            <v>6.5659709999999993</v>
          </cell>
          <cell r="M8">
            <v>0.84801920226566241</v>
          </cell>
          <cell r="N8">
            <v>6.6360325421174196</v>
          </cell>
          <cell r="O8">
            <v>0.2091506765773215</v>
          </cell>
          <cell r="P8">
            <v>0.30495889780044821</v>
          </cell>
          <cell r="Q8">
            <v>0.59689020000000004</v>
          </cell>
          <cell r="R8">
            <v>365.40900111292353</v>
          </cell>
          <cell r="S8">
            <v>0.7270913742683931</v>
          </cell>
          <cell r="T8">
            <v>0.34499999999999997</v>
          </cell>
          <cell r="U8">
            <v>0.24046145446604061</v>
          </cell>
          <cell r="V8">
            <v>0.36699999999999999</v>
          </cell>
          <cell r="W8">
            <v>0.77200673016441757</v>
          </cell>
          <cell r="X8">
            <v>9.2873047400000015</v>
          </cell>
          <cell r="Y8">
            <v>778</v>
          </cell>
          <cell r="Z8">
            <v>1.1980000000000002</v>
          </cell>
          <cell r="AA8">
            <v>66.700094672735858</v>
          </cell>
          <cell r="AB8">
            <v>13.500216850000001</v>
          </cell>
          <cell r="AC8">
            <v>2.0985912290000002</v>
          </cell>
          <cell r="AD8">
            <v>0</v>
          </cell>
          <cell r="AE8">
            <v>7.1585369999999995E-2</v>
          </cell>
          <cell r="AF8">
            <v>0.72594379416509713</v>
          </cell>
          <cell r="AG8">
            <v>15.035472849999998</v>
          </cell>
        </row>
        <row r="9">
          <cell r="C9">
            <v>1.9146525637245364</v>
          </cell>
          <cell r="D9">
            <v>1.9140000000000001</v>
          </cell>
          <cell r="E9">
            <v>7.9027111731886706</v>
          </cell>
          <cell r="F9">
            <v>8.5082374783637249</v>
          </cell>
          <cell r="G9">
            <v>1.7073521500476188</v>
          </cell>
          <cell r="H9">
            <v>1.0143900229848903</v>
          </cell>
          <cell r="I9">
            <v>1.869881133775281</v>
          </cell>
          <cell r="J9">
            <v>3.74062743</v>
          </cell>
          <cell r="K9">
            <v>1.9801129660716692</v>
          </cell>
          <cell r="L9">
            <v>3.506418</v>
          </cell>
          <cell r="M9">
            <v>1.4124607829658578</v>
          </cell>
          <cell r="N9">
            <v>4.7640390051695567</v>
          </cell>
          <cell r="O9">
            <v>0.26858658064152874</v>
          </cell>
          <cell r="P9">
            <v>0.18936735919384864</v>
          </cell>
          <cell r="Q9">
            <v>5.1623628999999998</v>
          </cell>
          <cell r="R9">
            <v>304.79923850241886</v>
          </cell>
          <cell r="S9">
            <v>0.65041553027952248</v>
          </cell>
          <cell r="T9">
            <v>0.14199999999999999</v>
          </cell>
          <cell r="U9">
            <v>0</v>
          </cell>
          <cell r="V9">
            <v>0.251</v>
          </cell>
          <cell r="W9">
            <v>2.8786129249436798</v>
          </cell>
          <cell r="X9">
            <v>13.4478677</v>
          </cell>
          <cell r="Y9">
            <v>7854</v>
          </cell>
          <cell r="Z9">
            <v>5.4030000000000005</v>
          </cell>
          <cell r="AA9">
            <v>541.80188981405468</v>
          </cell>
          <cell r="AB9">
            <v>3.7541343700000001</v>
          </cell>
          <cell r="AC9">
            <v>0.77269373826889698</v>
          </cell>
          <cell r="AD9">
            <v>188.68352159959315</v>
          </cell>
          <cell r="AE9">
            <v>7.1585369999999995E-2</v>
          </cell>
          <cell r="AF9">
            <v>0.99577093432177888</v>
          </cell>
          <cell r="AG9">
            <v>9.8645511500000005</v>
          </cell>
        </row>
        <row r="10">
          <cell r="C10">
            <v>0.82764526680412376</v>
          </cell>
          <cell r="D10">
            <v>0.35399999999999998</v>
          </cell>
          <cell r="E10">
            <v>2.912930283225962</v>
          </cell>
          <cell r="F10">
            <v>10.084068056111755</v>
          </cell>
          <cell r="G10">
            <v>0.64491707249999997</v>
          </cell>
          <cell r="H10">
            <v>0.46273459105996262</v>
          </cell>
          <cell r="I10">
            <v>0.21549723876559473</v>
          </cell>
          <cell r="J10">
            <v>0.29975235</v>
          </cell>
          <cell r="K10">
            <v>0</v>
          </cell>
          <cell r="L10">
            <v>3.4033260000000003</v>
          </cell>
          <cell r="M10">
            <v>0.64740271628053359</v>
          </cell>
          <cell r="N10">
            <v>0</v>
          </cell>
          <cell r="O10">
            <v>7.1990238949201785E-2</v>
          </cell>
          <cell r="P10">
            <v>0.1549307975420719</v>
          </cell>
          <cell r="Q10">
            <v>0.56128299999999998</v>
          </cell>
          <cell r="R10">
            <v>265.61643785638216</v>
          </cell>
          <cell r="S10">
            <v>0.32854262751424046</v>
          </cell>
          <cell r="T10">
            <v>3.3000000000000002E-2</v>
          </cell>
          <cell r="U10">
            <v>0</v>
          </cell>
          <cell r="V10">
            <v>6.0000000000000001E-3</v>
          </cell>
          <cell r="W10">
            <v>1.1698704765280932</v>
          </cell>
          <cell r="X10">
            <v>14.77504383</v>
          </cell>
          <cell r="Y10">
            <v>132</v>
          </cell>
          <cell r="Z10">
            <v>0</v>
          </cell>
          <cell r="AA10">
            <v>2576.2626196727356</v>
          </cell>
          <cell r="AB10">
            <v>3.1044913200000002</v>
          </cell>
          <cell r="AC10">
            <v>0</v>
          </cell>
          <cell r="AD10">
            <v>204.82075169613438</v>
          </cell>
          <cell r="AE10">
            <v>0</v>
          </cell>
          <cell r="AF10">
            <v>7.6186020080641695E-2</v>
          </cell>
          <cell r="AG10">
            <v>9.6329242499999985</v>
          </cell>
        </row>
        <row r="11">
          <cell r="C11">
            <v>2.6160103749610313</v>
          </cell>
          <cell r="D11">
            <v>1.59998</v>
          </cell>
          <cell r="E11">
            <v>16.359971199032504</v>
          </cell>
          <cell r="F11">
            <v>9.7384788065419556</v>
          </cell>
          <cell r="G11">
            <v>2.2819509044761905</v>
          </cell>
          <cell r="H11">
            <v>1.7332142229683145</v>
          </cell>
          <cell r="I11">
            <v>1.928140001634786</v>
          </cell>
          <cell r="J11">
            <v>4.854496802371</v>
          </cell>
          <cell r="K11">
            <v>3.4944316603090826</v>
          </cell>
          <cell r="L11">
            <v>8.8831700270270257</v>
          </cell>
          <cell r="M11">
            <v>2.5419980398239446</v>
          </cell>
          <cell r="N11">
            <v>5.4839136926817904</v>
          </cell>
          <cell r="O11">
            <v>0.36209890442533033</v>
          </cell>
          <cell r="P11">
            <v>0.59003664649859033</v>
          </cell>
          <cell r="Q11">
            <v>15.3298901</v>
          </cell>
          <cell r="R11">
            <v>380.37183017122879</v>
          </cell>
          <cell r="S11">
            <v>1.7439372970926019</v>
          </cell>
          <cell r="T11">
            <v>0.59299999999999997</v>
          </cell>
          <cell r="U11">
            <v>0.30082834680061155</v>
          </cell>
          <cell r="V11">
            <v>0.71799999999999997</v>
          </cell>
          <cell r="W11">
            <v>3.4178932089291445</v>
          </cell>
          <cell r="X11">
            <v>7.6953974024999914</v>
          </cell>
          <cell r="Y11">
            <v>1838</v>
          </cell>
          <cell r="Z11">
            <v>4.01</v>
          </cell>
          <cell r="AA11">
            <v>653.26691868065643</v>
          </cell>
          <cell r="AB11">
            <v>29.234747760000001</v>
          </cell>
          <cell r="AC11">
            <v>0.89154115200000017</v>
          </cell>
          <cell r="AD11">
            <v>863.39904289206265</v>
          </cell>
          <cell r="AE11">
            <v>0.29666168000000004</v>
          </cell>
          <cell r="AF11">
            <v>0.23917676207375574</v>
          </cell>
          <cell r="AG11">
            <v>11.8785165</v>
          </cell>
        </row>
        <row r="12">
          <cell r="C12">
            <v>0.37896283084745574</v>
          </cell>
          <cell r="D12">
            <v>0.17974999999999999</v>
          </cell>
          <cell r="E12">
            <v>2.8033258864454234</v>
          </cell>
          <cell r="F12">
            <v>0.46448028982379586</v>
          </cell>
          <cell r="G12">
            <v>0.20969584725000004</v>
          </cell>
          <cell r="H12">
            <v>0.4855142671620406</v>
          </cell>
          <cell r="I12">
            <v>0.31715587249249105</v>
          </cell>
          <cell r="J12">
            <v>0.18481251000000001</v>
          </cell>
          <cell r="K12">
            <v>0.64014200654331899</v>
          </cell>
          <cell r="L12">
            <v>1.3879729729729731</v>
          </cell>
          <cell r="M12">
            <v>0.46688752327966893</v>
          </cell>
          <cell r="N12">
            <v>1.0083734774367354</v>
          </cell>
          <cell r="O12">
            <v>0.18862619225181762</v>
          </cell>
          <cell r="P12">
            <v>0.11268235685974676</v>
          </cell>
          <cell r="Q12">
            <v>3.1525107000000001</v>
          </cell>
          <cell r="R12">
            <v>45.461007441099099</v>
          </cell>
          <cell r="S12">
            <v>0.12585906898808918</v>
          </cell>
          <cell r="T12">
            <v>0</v>
          </cell>
          <cell r="U12">
            <v>3.521402052849968E-2</v>
          </cell>
          <cell r="V12">
            <v>0</v>
          </cell>
          <cell r="W12">
            <v>0.7350433003789586</v>
          </cell>
          <cell r="X12">
            <v>1.3118446719999979</v>
          </cell>
          <cell r="Y12">
            <v>0</v>
          </cell>
          <cell r="Z12">
            <v>0</v>
          </cell>
          <cell r="AA12">
            <v>0</v>
          </cell>
          <cell r="AB12">
            <v>1.54743239</v>
          </cell>
          <cell r="AC12">
            <v>0.75989179793406081</v>
          </cell>
          <cell r="AD12">
            <v>0</v>
          </cell>
          <cell r="AE12">
            <v>5.3806900000000005E-2</v>
          </cell>
          <cell r="AF12">
            <v>0</v>
          </cell>
          <cell r="AG12">
            <v>8.1059542499999999</v>
          </cell>
        </row>
        <row r="13">
          <cell r="C13">
            <v>1.4544324896195817</v>
          </cell>
          <cell r="D13">
            <v>1.3986999999999998</v>
          </cell>
          <cell r="E13">
            <v>10.006733722916021</v>
          </cell>
          <cell r="F13">
            <v>8.8005121611958099</v>
          </cell>
          <cell r="G13">
            <v>0.96169643499999991</v>
          </cell>
          <cell r="H13">
            <v>1.7723150104272689</v>
          </cell>
          <cell r="I13">
            <v>0.75290778731111951</v>
          </cell>
          <cell r="J13">
            <v>2.6300748749999996</v>
          </cell>
          <cell r="K13">
            <v>2.7053319894592187</v>
          </cell>
          <cell r="L13">
            <v>6.5495399999999995</v>
          </cell>
          <cell r="M13">
            <v>3.4411639287564877</v>
          </cell>
          <cell r="N13">
            <v>4.4513237864034512</v>
          </cell>
          <cell r="O13">
            <v>0.37433911832056516</v>
          </cell>
          <cell r="P13">
            <v>0.37970320781846773</v>
          </cell>
          <cell r="Q13">
            <v>3.2159075000000001</v>
          </cell>
          <cell r="R13">
            <v>58.81616999752432</v>
          </cell>
          <cell r="S13">
            <v>6.3195589441522274E-2</v>
          </cell>
          <cell r="T13">
            <v>6.2E-2</v>
          </cell>
          <cell r="U13">
            <v>5.9360777462328027E-2</v>
          </cell>
          <cell r="V13">
            <v>0.20199999999999999</v>
          </cell>
          <cell r="W13">
            <v>1.522442818742141</v>
          </cell>
          <cell r="X13">
            <v>0</v>
          </cell>
          <cell r="Y13">
            <v>457</v>
          </cell>
          <cell r="Z13">
            <v>5.6000000000000008E-2</v>
          </cell>
          <cell r="AA13">
            <v>72.440940672735863</v>
          </cell>
          <cell r="AB13">
            <v>5.5710128399999999</v>
          </cell>
          <cell r="AC13">
            <v>0</v>
          </cell>
          <cell r="AD13">
            <v>113.13497559959318</v>
          </cell>
          <cell r="AE13">
            <v>0.13164630000000002</v>
          </cell>
          <cell r="AF13">
            <v>0</v>
          </cell>
          <cell r="AG13">
            <v>0</v>
          </cell>
        </row>
        <row r="14">
          <cell r="C14">
            <v>0.3248289913680068</v>
          </cell>
          <cell r="D14">
            <v>0.104</v>
          </cell>
          <cell r="E14">
            <v>2.2635131024803394</v>
          </cell>
          <cell r="F14">
            <v>2.4973248976020814</v>
          </cell>
          <cell r="G14">
            <v>0</v>
          </cell>
          <cell r="H14">
            <v>0.29758940608907969</v>
          </cell>
          <cell r="I14">
            <v>4.8699719999999995E-2</v>
          </cell>
          <cell r="J14">
            <v>0</v>
          </cell>
          <cell r="K14">
            <v>1.1615603816633546</v>
          </cell>
          <cell r="L14">
            <v>0</v>
          </cell>
          <cell r="M14">
            <v>0.55163374961253342</v>
          </cell>
          <cell r="N14">
            <v>21.320432979042998</v>
          </cell>
          <cell r="O14">
            <v>0.3046225705497046</v>
          </cell>
          <cell r="P14">
            <v>9.9427582138610887E-2</v>
          </cell>
          <cell r="Q14">
            <v>0.30623909999999999</v>
          </cell>
          <cell r="R14">
            <v>413.07292175151093</v>
          </cell>
          <cell r="S14">
            <v>0.14890601405553075</v>
          </cell>
          <cell r="T14">
            <v>0</v>
          </cell>
          <cell r="U14">
            <v>0</v>
          </cell>
          <cell r="V14">
            <v>0.59899999999999998</v>
          </cell>
          <cell r="W14">
            <v>0.30216339108027501</v>
          </cell>
          <cell r="X14">
            <v>0</v>
          </cell>
          <cell r="Y14">
            <v>0</v>
          </cell>
          <cell r="Z14">
            <v>13.073</v>
          </cell>
          <cell r="AA14">
            <v>0</v>
          </cell>
          <cell r="AB14">
            <v>0</v>
          </cell>
          <cell r="AC14">
            <v>-0.27464333679590158</v>
          </cell>
          <cell r="AD14">
            <v>0</v>
          </cell>
          <cell r="AE14">
            <v>0</v>
          </cell>
          <cell r="AF14">
            <v>0.19681974786613457</v>
          </cell>
          <cell r="AG14">
            <v>0</v>
          </cell>
        </row>
        <row r="15">
          <cell r="C15">
            <v>2.9092497766836498</v>
          </cell>
          <cell r="D15">
            <v>0.82199999999999995</v>
          </cell>
          <cell r="E15">
            <v>0</v>
          </cell>
          <cell r="F15">
            <v>21.797595710082039</v>
          </cell>
          <cell r="G15">
            <v>0.78888541000000001</v>
          </cell>
          <cell r="H15">
            <v>1.258294338918422</v>
          </cell>
          <cell r="I15">
            <v>1.0040765773111195</v>
          </cell>
          <cell r="J15">
            <v>3.9688474148149999</v>
          </cell>
          <cell r="K15">
            <v>3.3483614964609418</v>
          </cell>
          <cell r="L15">
            <v>0.76316699999999993</v>
          </cell>
          <cell r="M15">
            <v>2.749043665396576</v>
          </cell>
          <cell r="N15">
            <v>1.5197470794843875</v>
          </cell>
          <cell r="O15">
            <v>0.46906352226623055</v>
          </cell>
          <cell r="P15">
            <v>0.49169175531078202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0.3</v>
          </cell>
          <cell r="W15">
            <v>0.18656465118861157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5.6765890399999996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0.95701899999999995</v>
          </cell>
        </row>
        <row r="16">
          <cell r="C16">
            <v>1.2165278990565789</v>
          </cell>
          <cell r="D16">
            <v>1.3858048999999999</v>
          </cell>
          <cell r="E16">
            <v>5.9522068862511999</v>
          </cell>
          <cell r="F16">
            <v>8.8107411335687367</v>
          </cell>
          <cell r="G16">
            <v>1.2377533574999999</v>
          </cell>
          <cell r="H16">
            <v>0.88208133498740338</v>
          </cell>
          <cell r="I16">
            <v>2.3565500263014334</v>
          </cell>
          <cell r="J16">
            <v>0.9612258906590001</v>
          </cell>
          <cell r="K16">
            <v>1.459628119365687</v>
          </cell>
          <cell r="L16">
            <v>7.4077600000000006</v>
          </cell>
          <cell r="M16">
            <v>0.74799690188257384</v>
          </cell>
          <cell r="N16">
            <v>12.156792459285128</v>
          </cell>
          <cell r="O16">
            <v>0.29260295376922918</v>
          </cell>
          <cell r="P16">
            <v>0.52612014356114656</v>
          </cell>
          <cell r="Q16">
            <v>17.692781500000002</v>
          </cell>
          <cell r="R16">
            <v>1503.7662485364417</v>
          </cell>
          <cell r="S16">
            <v>0.69590230481846793</v>
          </cell>
          <cell r="T16">
            <v>0.30199999999999999</v>
          </cell>
          <cell r="U16">
            <v>0.35918300939069669</v>
          </cell>
          <cell r="V16">
            <v>0.22700000000000004</v>
          </cell>
          <cell r="W16">
            <v>1.6196817068021523</v>
          </cell>
          <cell r="X16">
            <v>10.344623769999998</v>
          </cell>
          <cell r="Y16">
            <v>842</v>
          </cell>
          <cell r="Z16">
            <v>12.124000000000001</v>
          </cell>
          <cell r="AA16">
            <v>519.07700766151243</v>
          </cell>
          <cell r="AB16">
            <v>39.913140419999998</v>
          </cell>
          <cell r="AC16">
            <v>1.3052969999999999</v>
          </cell>
          <cell r="AD16">
            <v>311.61860102870423</v>
          </cell>
          <cell r="AE16">
            <v>0.12778243999999997</v>
          </cell>
          <cell r="AF16">
            <v>0.29656455692335071</v>
          </cell>
          <cell r="AG16">
            <v>47.127078949999998</v>
          </cell>
        </row>
        <row r="17">
          <cell r="C17">
            <v>1.2165278990565789</v>
          </cell>
          <cell r="D17">
            <v>1.0068999999999999</v>
          </cell>
          <cell r="E17">
            <v>5.9522068862511999</v>
          </cell>
          <cell r="F17">
            <v>8.8107411335687367</v>
          </cell>
          <cell r="G17">
            <v>1.2377533574999999</v>
          </cell>
          <cell r="H17">
            <v>0.88208133498740338</v>
          </cell>
          <cell r="I17">
            <v>2.3565500263014334</v>
          </cell>
          <cell r="J17">
            <v>0.9612258906590001</v>
          </cell>
          <cell r="K17">
            <v>1.459628119365687</v>
          </cell>
          <cell r="L17">
            <v>7.4077600000000006</v>
          </cell>
          <cell r="M17">
            <v>0.74799690188257384</v>
          </cell>
          <cell r="N17">
            <v>7.6467924592851286</v>
          </cell>
          <cell r="O17">
            <v>0.23085278430578426</v>
          </cell>
          <cell r="P17">
            <v>0.37805925517303141</v>
          </cell>
          <cell r="Q17">
            <v>3.5164822999999998</v>
          </cell>
          <cell r="R17">
            <v>134.17254184138599</v>
          </cell>
          <cell r="S17">
            <v>0.56567869339069277</v>
          </cell>
          <cell r="T17">
            <v>0.30199999999999999</v>
          </cell>
          <cell r="U17">
            <v>0.32799344835116839</v>
          </cell>
          <cell r="V17">
            <v>0.22700000000000004</v>
          </cell>
          <cell r="W17">
            <v>1.3203733732826692</v>
          </cell>
          <cell r="X17">
            <v>1.7241039616666662</v>
          </cell>
          <cell r="Y17">
            <v>349</v>
          </cell>
          <cell r="Z17">
            <v>1.5449999999999999</v>
          </cell>
          <cell r="AA17">
            <v>209.41645166151247</v>
          </cell>
          <cell r="AB17">
            <v>32.475748899999999</v>
          </cell>
          <cell r="AC17">
            <v>0.64372799000000003</v>
          </cell>
          <cell r="AD17">
            <v>311.61860102870423</v>
          </cell>
          <cell r="AE17">
            <v>6.3891219999999985E-2</v>
          </cell>
          <cell r="AF17">
            <v>0.29656455692335071</v>
          </cell>
          <cell r="AG17">
            <v>19.7221525</v>
          </cell>
        </row>
        <row r="18">
          <cell r="C18">
            <v>0</v>
          </cell>
          <cell r="D18">
            <v>0.37890489999999993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4.51</v>
          </cell>
          <cell r="O18">
            <v>6.1750169463444922E-2</v>
          </cell>
          <cell r="P18">
            <v>0.14806088838811526</v>
          </cell>
          <cell r="Q18">
            <v>14.176299200000001</v>
          </cell>
          <cell r="R18">
            <v>1369.5937066950557</v>
          </cell>
          <cell r="S18">
            <v>0.13022361142777517</v>
          </cell>
          <cell r="T18">
            <v>0</v>
          </cell>
          <cell r="U18">
            <v>3.1189561039528284E-2</v>
          </cell>
          <cell r="V18">
            <v>0</v>
          </cell>
          <cell r="W18">
            <v>0.29930833351948294</v>
          </cell>
          <cell r="X18">
            <v>8.6205198083333325</v>
          </cell>
          <cell r="Y18">
            <v>493</v>
          </cell>
          <cell r="Z18">
            <v>10.579000000000001</v>
          </cell>
          <cell r="AA18">
            <v>309.66055599999999</v>
          </cell>
          <cell r="AB18">
            <v>7.4373915200000003</v>
          </cell>
          <cell r="AC18">
            <v>0.66156901000000001</v>
          </cell>
          <cell r="AD18">
            <v>0</v>
          </cell>
          <cell r="AE18">
            <v>6.3891219999999985E-2</v>
          </cell>
          <cell r="AF18">
            <v>0</v>
          </cell>
          <cell r="AG18">
            <v>27.404926450000005</v>
          </cell>
        </row>
        <row r="19">
          <cell r="C19">
            <v>5.9027943210394292E-2</v>
          </cell>
          <cell r="D19">
            <v>0.11299849999999999</v>
          </cell>
          <cell r="E19">
            <v>1.2905775122055545</v>
          </cell>
          <cell r="F19">
            <v>0</v>
          </cell>
          <cell r="G19">
            <v>0</v>
          </cell>
          <cell r="H19">
            <v>0.38205969355829617</v>
          </cell>
          <cell r="I19">
            <v>0</v>
          </cell>
          <cell r="J19">
            <v>0</v>
          </cell>
          <cell r="K19">
            <v>0.19266477617170191</v>
          </cell>
          <cell r="L19">
            <v>0</v>
          </cell>
          <cell r="M19">
            <v>0</v>
          </cell>
          <cell r="N19">
            <v>8.6088991863867594</v>
          </cell>
          <cell r="O19">
            <v>0</v>
          </cell>
          <cell r="P19">
            <v>8.6014664360480747E-2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2.3E-2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  <row r="20">
          <cell r="C20">
            <v>7.2930416810255725</v>
          </cell>
          <cell r="D20">
            <v>5.7679974999999999</v>
          </cell>
          <cell r="E20">
            <v>96.121574983970703</v>
          </cell>
          <cell r="F20">
            <v>27.133956800714813</v>
          </cell>
          <cell r="G20">
            <v>8.190444406000001</v>
          </cell>
          <cell r="H20">
            <v>9.2855126221251307</v>
          </cell>
          <cell r="I20">
            <v>10.764483019296526</v>
          </cell>
          <cell r="J20">
            <v>15.39716426</v>
          </cell>
          <cell r="K20">
            <v>14.173423748988496</v>
          </cell>
          <cell r="L20">
            <v>40.000717000000002</v>
          </cell>
          <cell r="M20">
            <v>15.840611508584303</v>
          </cell>
          <cell r="N20">
            <v>47.496555627272159</v>
          </cell>
          <cell r="O20">
            <v>3.2921943918564041</v>
          </cell>
          <cell r="P20">
            <v>2.1180852379300648</v>
          </cell>
          <cell r="Q20">
            <v>72.710093000000015</v>
          </cell>
          <cell r="R20">
            <v>2541.2549700302134</v>
          </cell>
          <cell r="S20">
            <v>5.0817355274010536</v>
          </cell>
          <cell r="T20">
            <v>1.04</v>
          </cell>
          <cell r="U20">
            <v>1.1282372294372294</v>
          </cell>
          <cell r="V20">
            <v>6.4400999999999993</v>
          </cell>
          <cell r="W20">
            <v>11.480426844191525</v>
          </cell>
          <cell r="X20">
            <v>71.516637543129974</v>
          </cell>
          <cell r="Y20">
            <v>12930</v>
          </cell>
          <cell r="Z20">
            <v>25.406899999999997</v>
          </cell>
          <cell r="AA20">
            <v>2865.9147767205818</v>
          </cell>
          <cell r="AB20">
            <v>144.19899297000001</v>
          </cell>
          <cell r="AC20">
            <v>8.5483733951414962</v>
          </cell>
          <cell r="AD20">
            <v>4058.1270460088808</v>
          </cell>
          <cell r="AE20">
            <v>0.73864099999999999</v>
          </cell>
          <cell r="AF20">
            <v>2.2278279327743111</v>
          </cell>
          <cell r="AG20">
            <v>136.68374104999998</v>
          </cell>
        </row>
        <row r="21">
          <cell r="C21">
            <v>0</v>
          </cell>
          <cell r="D21">
            <v>0</v>
          </cell>
          <cell r="E21">
            <v>37.445545188122502</v>
          </cell>
          <cell r="F21">
            <v>2.5844292005014537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1.0339389929695963E-2</v>
          </cell>
          <cell r="N21">
            <v>0</v>
          </cell>
          <cell r="O21">
            <v>1.0661442336998728</v>
          </cell>
          <cell r="P21">
            <v>0</v>
          </cell>
          <cell r="Q21">
            <v>17.981282799999999</v>
          </cell>
          <cell r="R21">
            <v>858.91618263338137</v>
          </cell>
          <cell r="S21">
            <v>0.52603930693285528</v>
          </cell>
          <cell r="T21">
            <v>0</v>
          </cell>
          <cell r="U21">
            <v>6.2041558441558439E-2</v>
          </cell>
          <cell r="V21">
            <v>0.96399999999999986</v>
          </cell>
          <cell r="W21">
            <v>0.76004145226115649</v>
          </cell>
          <cell r="X21">
            <v>9.0433870261904747</v>
          </cell>
          <cell r="Y21">
            <v>2341</v>
          </cell>
          <cell r="Z21">
            <v>18.061599999999999</v>
          </cell>
          <cell r="AA21">
            <v>260.93530346866447</v>
          </cell>
          <cell r="AB21">
            <v>46.510828629999999</v>
          </cell>
          <cell r="AC21">
            <v>1.8859955282004184</v>
          </cell>
          <cell r="AD21">
            <v>2129.0686458886444</v>
          </cell>
          <cell r="AE21">
            <v>9.2073000000000002E-2</v>
          </cell>
          <cell r="AF21">
            <v>0</v>
          </cell>
          <cell r="AG21">
            <v>45.789878599999994</v>
          </cell>
        </row>
        <row r="22">
          <cell r="C22">
            <v>0.15108048753526973</v>
          </cell>
          <cell r="D22">
            <v>0.70777749999999995</v>
          </cell>
          <cell r="E22">
            <v>2.3853117340311307</v>
          </cell>
          <cell r="F22">
            <v>6.3493293988731754</v>
          </cell>
          <cell r="G22">
            <v>0</v>
          </cell>
          <cell r="H22">
            <v>0.67906143773572292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2.3296002499672239</v>
          </cell>
          <cell r="N22">
            <v>0.46017205458978339</v>
          </cell>
          <cell r="O22">
            <v>0.53362815991771761</v>
          </cell>
          <cell r="P22">
            <v>0.21468258016077241</v>
          </cell>
          <cell r="Q22">
            <v>1.1793654000000005</v>
          </cell>
          <cell r="R22">
            <v>177.9538976728534</v>
          </cell>
          <cell r="S22">
            <v>1.1707590848104674</v>
          </cell>
          <cell r="T22">
            <v>0.16300000000000001</v>
          </cell>
          <cell r="U22">
            <v>0.81573160173160164</v>
          </cell>
          <cell r="V22">
            <v>1.1219999999999999</v>
          </cell>
          <cell r="W22">
            <v>0.5945916368154488</v>
          </cell>
          <cell r="X22">
            <v>0</v>
          </cell>
          <cell r="Y22">
            <v>0</v>
          </cell>
          <cell r="Z22">
            <v>0</v>
          </cell>
          <cell r="AA22">
            <v>640.63381103213987</v>
          </cell>
          <cell r="AB22">
            <v>15.549786880000001</v>
          </cell>
          <cell r="AC22">
            <v>1.5286100702500001</v>
          </cell>
          <cell r="AD22">
            <v>422.41048420671308</v>
          </cell>
          <cell r="AE22">
            <v>9.3437999999999993E-2</v>
          </cell>
          <cell r="AF22">
            <v>0.34011837178633791</v>
          </cell>
          <cell r="AG22">
            <v>17.804304700000003</v>
          </cell>
        </row>
        <row r="23">
          <cell r="C23">
            <v>0.96633199514476698</v>
          </cell>
          <cell r="D23">
            <v>0.75850000000000006</v>
          </cell>
          <cell r="E23">
            <v>6.1629731452065597</v>
          </cell>
          <cell r="F23">
            <v>3.1680332436669763</v>
          </cell>
          <cell r="G23">
            <v>0.55494113249999988</v>
          </cell>
          <cell r="H23">
            <v>1.8230328194187009</v>
          </cell>
          <cell r="I23">
            <v>4.5950427401904363</v>
          </cell>
          <cell r="J23">
            <v>2.6736368099999996</v>
          </cell>
          <cell r="K23">
            <v>2.768413253283744</v>
          </cell>
          <cell r="L23">
            <v>24.602311</v>
          </cell>
          <cell r="M23">
            <v>3.8913517041717323</v>
          </cell>
          <cell r="N23">
            <v>6.2669107887166664</v>
          </cell>
          <cell r="O23">
            <v>0.33474397227089475</v>
          </cell>
          <cell r="P23">
            <v>0.36809343903076153</v>
          </cell>
          <cell r="Q23">
            <v>5.944</v>
          </cell>
          <cell r="R23">
            <v>294.02997350905275</v>
          </cell>
          <cell r="S23">
            <v>0.97200301628202312</v>
          </cell>
          <cell r="T23">
            <v>0.251</v>
          </cell>
          <cell r="U23">
            <v>6.5488311688311693E-2</v>
          </cell>
          <cell r="V23">
            <v>0.63300000000000001</v>
          </cell>
          <cell r="W23">
            <v>1.7900119936187864</v>
          </cell>
          <cell r="X23">
            <v>13.632653394305642</v>
          </cell>
          <cell r="Y23">
            <v>2999</v>
          </cell>
          <cell r="Z23">
            <v>2.3008999999999999</v>
          </cell>
          <cell r="AA23">
            <v>891.69938942411966</v>
          </cell>
          <cell r="AB23">
            <v>17.99207534</v>
          </cell>
          <cell r="AC23">
            <v>1.5871704262500002</v>
          </cell>
          <cell r="AD23">
            <v>276.09314147574986</v>
          </cell>
          <cell r="AE23">
            <v>9.4338000000000005E-2</v>
          </cell>
          <cell r="AF23">
            <v>0.18052607740143375</v>
          </cell>
          <cell r="AG23">
            <v>12.32750925</v>
          </cell>
        </row>
        <row r="24">
          <cell r="C24">
            <v>0.27449841023889526</v>
          </cell>
          <cell r="D24">
            <v>0.16599999999999998</v>
          </cell>
          <cell r="E24">
            <v>0.7131051744895891</v>
          </cell>
          <cell r="F24">
            <v>0.79200831091674406</v>
          </cell>
          <cell r="G24">
            <v>0.36996075499999992</v>
          </cell>
          <cell r="H24">
            <v>0.26404095105586067</v>
          </cell>
          <cell r="I24">
            <v>1.7167604068696822</v>
          </cell>
          <cell r="J24">
            <v>0.32153002000000003</v>
          </cell>
          <cell r="K24">
            <v>0.79917235636730477</v>
          </cell>
          <cell r="L24">
            <v>11.344702999999999</v>
          </cell>
          <cell r="M24">
            <v>8.345713144155642E-2</v>
          </cell>
          <cell r="N24">
            <v>0.24357249710590503</v>
          </cell>
          <cell r="O24">
            <v>3.8313083224339267E-2</v>
          </cell>
          <cell r="P24">
            <v>9.5502681164879116E-2</v>
          </cell>
          <cell r="Q24">
            <v>2.073</v>
          </cell>
          <cell r="R24">
            <v>109.33264632613275</v>
          </cell>
          <cell r="S24">
            <v>0.60787010345208881</v>
          </cell>
          <cell r="T24">
            <v>0</v>
          </cell>
          <cell r="U24">
            <v>3.2744155844155846E-2</v>
          </cell>
          <cell r="V24">
            <v>0.31899999999999995</v>
          </cell>
          <cell r="W24">
            <v>0.76137147477715184</v>
          </cell>
          <cell r="X24">
            <v>3.9271152064593564</v>
          </cell>
          <cell r="Y24">
            <v>1458</v>
          </cell>
          <cell r="Z24">
            <v>0.81799999999999995</v>
          </cell>
          <cell r="AA24">
            <v>429.05336149199377</v>
          </cell>
          <cell r="AB24">
            <v>4.0113256100000001</v>
          </cell>
          <cell r="AC24">
            <v>0.47111106874999997</v>
          </cell>
          <cell r="AD24">
            <v>28.989242999999998</v>
          </cell>
          <cell r="AE24">
            <v>3.1446000000000002E-2</v>
          </cell>
          <cell r="AF24">
            <v>9.0263038700716877E-2</v>
          </cell>
          <cell r="AG24">
            <v>4.9310037000000007</v>
          </cell>
        </row>
        <row r="25">
          <cell r="C25">
            <v>0.44616430912935989</v>
          </cell>
          <cell r="D25">
            <v>0.34650000000000003</v>
          </cell>
          <cell r="E25">
            <v>0.98005104199358095</v>
          </cell>
          <cell r="F25">
            <v>1.5840166218334881</v>
          </cell>
          <cell r="G25">
            <v>0.18498037749999996</v>
          </cell>
          <cell r="H25">
            <v>1.152674532721701</v>
          </cell>
          <cell r="I25">
            <v>1.69096083394825</v>
          </cell>
          <cell r="J25">
            <v>0.77339778999999997</v>
          </cell>
          <cell r="K25">
            <v>1.0465487695871947</v>
          </cell>
          <cell r="L25">
            <v>0</v>
          </cell>
          <cell r="M25">
            <v>2.3517517855938532</v>
          </cell>
          <cell r="N25">
            <v>1.6301881489691485</v>
          </cell>
          <cell r="O25">
            <v>4.0050188612645705E-2</v>
          </cell>
          <cell r="P25">
            <v>0.13151926799442235</v>
          </cell>
          <cell r="Q25">
            <v>3.1970000000000001</v>
          </cell>
          <cell r="R25">
            <v>134.93898313234379</v>
          </cell>
          <cell r="S25">
            <v>0.36413291282993432</v>
          </cell>
          <cell r="T25">
            <v>0.251</v>
          </cell>
          <cell r="U25">
            <v>1.6372077922077923E-2</v>
          </cell>
          <cell r="V25">
            <v>0.314</v>
          </cell>
          <cell r="W25">
            <v>0.89864051884163465</v>
          </cell>
          <cell r="X25">
            <v>4.8527690939231425</v>
          </cell>
          <cell r="Y25">
            <v>1541</v>
          </cell>
          <cell r="Z25">
            <v>0.81799999999999995</v>
          </cell>
          <cell r="AA25">
            <v>220.94601014140034</v>
          </cell>
          <cell r="AB25">
            <v>13.980749729999999</v>
          </cell>
          <cell r="AC25">
            <v>0.49514965374999992</v>
          </cell>
          <cell r="AD25">
            <v>34.666353999999998</v>
          </cell>
          <cell r="AE25">
            <v>3.1446000000000002E-2</v>
          </cell>
          <cell r="AF25">
            <v>4.5131519350358439E-2</v>
          </cell>
          <cell r="AG25">
            <v>7.3965055499999997</v>
          </cell>
        </row>
        <row r="26">
          <cell r="C26">
            <v>0.24566927577651196</v>
          </cell>
          <cell r="D26">
            <v>0.246</v>
          </cell>
          <cell r="E26">
            <v>4.4698169287233895</v>
          </cell>
          <cell r="F26">
            <v>0.79200831091674406</v>
          </cell>
          <cell r="G26">
            <v>0</v>
          </cell>
          <cell r="H26">
            <v>0.40631733564113948</v>
          </cell>
          <cell r="I26">
            <v>1.1873214993725039</v>
          </cell>
          <cell r="J26">
            <v>1.5787089999999999</v>
          </cell>
          <cell r="K26">
            <v>0.92269212732924422</v>
          </cell>
          <cell r="L26">
            <v>13.257608000000001</v>
          </cell>
          <cell r="M26">
            <v>1.4561427871363224</v>
          </cell>
          <cell r="N26">
            <v>4.3931501426416126</v>
          </cell>
          <cell r="O26">
            <v>0.25638070043390976</v>
          </cell>
          <cell r="P26">
            <v>0.14107148987146004</v>
          </cell>
          <cell r="Q26">
            <v>0.67400000000000004</v>
          </cell>
          <cell r="R26">
            <v>49.758344050576255</v>
          </cell>
          <cell r="S26">
            <v>0</v>
          </cell>
          <cell r="T26">
            <v>0</v>
          </cell>
          <cell r="U26">
            <v>1.6372077922077923E-2</v>
          </cell>
          <cell r="V26">
            <v>0</v>
          </cell>
          <cell r="W26">
            <v>0.13</v>
          </cell>
          <cell r="X26">
            <v>4.8527690939231425</v>
          </cell>
          <cell r="Y26">
            <v>0</v>
          </cell>
          <cell r="Z26">
            <v>0.66490000000000005</v>
          </cell>
          <cell r="AA26">
            <v>241.70001779072561</v>
          </cell>
          <cell r="AB26">
            <v>0</v>
          </cell>
          <cell r="AC26">
            <v>0.6209097037500001</v>
          </cell>
          <cell r="AD26">
            <v>212.43754447574986</v>
          </cell>
          <cell r="AE26">
            <v>3.1446000000000002E-2</v>
          </cell>
          <cell r="AF26">
            <v>4.5131519350358439E-2</v>
          </cell>
          <cell r="AG26">
            <v>0</v>
          </cell>
        </row>
        <row r="27">
          <cell r="C27">
            <v>5.5544709005962574</v>
          </cell>
          <cell r="D27">
            <v>3.169</v>
          </cell>
          <cell r="E27">
            <v>42.537693433284375</v>
          </cell>
          <cell r="F27">
            <v>13.448148335839718</v>
          </cell>
          <cell r="G27">
            <v>5.1158901134999999</v>
          </cell>
          <cell r="H27">
            <v>6.4985517029833506</v>
          </cell>
          <cell r="I27">
            <v>6.1694402791060883</v>
          </cell>
          <cell r="J27">
            <v>10.734078208246958</v>
          </cell>
          <cell r="K27">
            <v>9.5350240613496702</v>
          </cell>
          <cell r="L27">
            <v>12.275270000000001</v>
          </cell>
          <cell r="M27">
            <v>9.6093201645156512</v>
          </cell>
          <cell r="N27">
            <v>23.862776696629627</v>
          </cell>
          <cell r="O27">
            <v>1.0752432196091615</v>
          </cell>
          <cell r="P27">
            <v>1.3307442263047715</v>
          </cell>
          <cell r="Q27">
            <v>39.143365800000005</v>
          </cell>
          <cell r="R27">
            <v>853.07756016898463</v>
          </cell>
          <cell r="S27">
            <v>2.1635778468212798</v>
          </cell>
          <cell r="T27">
            <v>0.53200000000000003</v>
          </cell>
          <cell r="U27">
            <v>0.18497575757575757</v>
          </cell>
          <cell r="V27">
            <v>1.4511000000000001</v>
          </cell>
          <cell r="W27">
            <v>4.5328170103484027</v>
          </cell>
          <cell r="X27">
            <v>43.359341835833334</v>
          </cell>
          <cell r="Y27">
            <v>7590</v>
          </cell>
          <cell r="Z27">
            <v>5.0443999999999996</v>
          </cell>
          <cell r="AA27">
            <v>708.53425473210416</v>
          </cell>
          <cell r="AB27">
            <v>58.711802120000002</v>
          </cell>
          <cell r="AC27">
            <v>3.5465973704410771</v>
          </cell>
          <cell r="AD27">
            <v>1230.5547744377732</v>
          </cell>
          <cell r="AE27">
            <v>0.42671199999999998</v>
          </cell>
          <cell r="AF27">
            <v>1.6616873942802022</v>
          </cell>
          <cell r="AG27">
            <v>52.10062825</v>
          </cell>
        </row>
        <row r="28">
          <cell r="C28">
            <v>1.5494963125507748</v>
          </cell>
          <cell r="D28">
            <v>1.097</v>
          </cell>
          <cell r="E28">
            <v>19.737663208611508</v>
          </cell>
          <cell r="F28">
            <v>5.5289752394075116</v>
          </cell>
          <cell r="G28">
            <v>2.0581021660000003</v>
          </cell>
          <cell r="H28">
            <v>2.2760870168189791</v>
          </cell>
          <cell r="I28">
            <v>2.5995086425828875</v>
          </cell>
          <cell r="J28">
            <v>2.576616438246957</v>
          </cell>
          <cell r="K28">
            <v>2.9835745498211979</v>
          </cell>
          <cell r="L28">
            <v>0</v>
          </cell>
          <cell r="M28">
            <v>0.40385221864431292</v>
          </cell>
          <cell r="N28">
            <v>7.8406563899185713</v>
          </cell>
          <cell r="O28">
            <v>0.49562940115750154</v>
          </cell>
          <cell r="P28">
            <v>0.39163800529715409</v>
          </cell>
          <cell r="Q28">
            <v>8.0865587999999988</v>
          </cell>
          <cell r="R28">
            <v>524.06808764552034</v>
          </cell>
          <cell r="S28">
            <v>1.1877381988160687</v>
          </cell>
          <cell r="T28">
            <v>0.53200000000000003</v>
          </cell>
          <cell r="U28">
            <v>7.6977489177489172E-2</v>
          </cell>
          <cell r="V28">
            <v>1.03</v>
          </cell>
          <cell r="W28">
            <v>2.3893778847382676</v>
          </cell>
          <cell r="X28">
            <v>6.7966039126190481</v>
          </cell>
          <cell r="Y28">
            <v>2962</v>
          </cell>
          <cell r="Z28">
            <v>2.6701999999999999</v>
          </cell>
          <cell r="AA28">
            <v>360.0049857724639</v>
          </cell>
          <cell r="AB28">
            <v>32.421926049999996</v>
          </cell>
          <cell r="AC28">
            <v>1.7673796429410771</v>
          </cell>
          <cell r="AD28">
            <v>980.78748526328332</v>
          </cell>
          <cell r="AE28">
            <v>0.21383199999999999</v>
          </cell>
          <cell r="AF28">
            <v>1.0041067132628951</v>
          </cell>
          <cell r="AG28">
            <v>32.003258500000001</v>
          </cell>
        </row>
        <row r="29">
          <cell r="C29">
            <v>2.0998011279193549</v>
          </cell>
          <cell r="D29">
            <v>0.67</v>
          </cell>
          <cell r="E29">
            <v>13.045274090600511</v>
          </cell>
          <cell r="F29">
            <v>0.79200831091674406</v>
          </cell>
          <cell r="G29">
            <v>0.19469775222222219</v>
          </cell>
          <cell r="H29">
            <v>1.4914495458072596</v>
          </cell>
          <cell r="I29">
            <v>0.48033544449842414</v>
          </cell>
          <cell r="J29">
            <v>1.2384874299999999</v>
          </cell>
          <cell r="K29">
            <v>2.5957195941833073</v>
          </cell>
          <cell r="L29">
            <v>0</v>
          </cell>
          <cell r="M29">
            <v>5.0604053006405323</v>
          </cell>
          <cell r="N29">
            <v>5.8176518988597428</v>
          </cell>
          <cell r="O29">
            <v>0.18671524110078222</v>
          </cell>
          <cell r="P29">
            <v>0.41670900942776179</v>
          </cell>
          <cell r="Q29">
            <v>11.666001800000004</v>
          </cell>
          <cell r="R29">
            <v>100.38249899918321</v>
          </cell>
          <cell r="S29">
            <v>0.57899788594101431</v>
          </cell>
          <cell r="T29">
            <v>0</v>
          </cell>
          <cell r="U29">
            <v>6.5488311688311693E-2</v>
          </cell>
          <cell r="V29">
            <v>0.10669999999999999</v>
          </cell>
          <cell r="W29">
            <v>0.61173948007984813</v>
          </cell>
          <cell r="X29">
            <v>30.512890182857145</v>
          </cell>
          <cell r="Y29">
            <v>674</v>
          </cell>
          <cell r="Z29">
            <v>0.7893</v>
          </cell>
          <cell r="AA29">
            <v>257.58288669606509</v>
          </cell>
          <cell r="AB29">
            <v>8.8811231399999997</v>
          </cell>
          <cell r="AC29">
            <v>0.94307514375000001</v>
          </cell>
          <cell r="AD29">
            <v>89.479748000000001</v>
          </cell>
          <cell r="AE29">
            <v>4.4947000000000001E-2</v>
          </cell>
          <cell r="AF29">
            <v>7.7272185368955151E-2</v>
          </cell>
          <cell r="AG29">
            <v>9.1207732499999992</v>
          </cell>
        </row>
        <row r="30">
          <cell r="C30">
            <v>0.14865331727766726</v>
          </cell>
          <cell r="D30">
            <v>0.252</v>
          </cell>
          <cell r="E30">
            <v>0.22155374522306182</v>
          </cell>
          <cell r="F30">
            <v>0</v>
          </cell>
          <cell r="G30">
            <v>0.69416870625000004</v>
          </cell>
          <cell r="H30">
            <v>0.42600825600055964</v>
          </cell>
          <cell r="I30">
            <v>0.48033544449842414</v>
          </cell>
          <cell r="J30">
            <v>2.6934115799999998</v>
          </cell>
          <cell r="K30">
            <v>1.297781631784537</v>
          </cell>
          <cell r="L30">
            <v>0</v>
          </cell>
          <cell r="M30">
            <v>2.5004761130962851</v>
          </cell>
          <cell r="N30">
            <v>6.499291432470824</v>
          </cell>
          <cell r="O30">
            <v>4.4548439429541779E-2</v>
          </cell>
          <cell r="P30">
            <v>6.9235288689434002E-2</v>
          </cell>
          <cell r="Q30">
            <v>3.3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4.5400000000000003E-2</v>
          </cell>
          <cell r="W30">
            <v>0.11839468532830345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1.3398963700000002</v>
          </cell>
          <cell r="AC30">
            <v>0</v>
          </cell>
          <cell r="AD30">
            <v>0</v>
          </cell>
          <cell r="AE30">
            <v>3.2079999999999997E-2</v>
          </cell>
          <cell r="AF30">
            <v>0</v>
          </cell>
          <cell r="AG30">
            <v>0</v>
          </cell>
        </row>
        <row r="31">
          <cell r="C31">
            <v>0.33371501066527098</v>
          </cell>
          <cell r="D31">
            <v>0</v>
          </cell>
          <cell r="E31">
            <v>1.5865833391067568</v>
          </cell>
          <cell r="F31">
            <v>0</v>
          </cell>
          <cell r="G31">
            <v>0.36996075499999986</v>
          </cell>
          <cell r="H31">
            <v>0.16483951011952161</v>
          </cell>
          <cell r="I31">
            <v>5.1599145842864305E-2</v>
          </cell>
          <cell r="J31">
            <v>0.55527786999999995</v>
          </cell>
          <cell r="K31">
            <v>0.54553783861147032</v>
          </cell>
          <cell r="L31">
            <v>0</v>
          </cell>
          <cell r="M31">
            <v>2.6015634853397831E-2</v>
          </cell>
          <cell r="N31">
            <v>1.0176945132065285</v>
          </cell>
          <cell r="O31">
            <v>6.130874611438733E-2</v>
          </cell>
          <cell r="P31">
            <v>7.7660297642619752E-2</v>
          </cell>
          <cell r="Q31">
            <v>4.1908051999999998</v>
          </cell>
          <cell r="R31">
            <v>62.460217016766833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0.19053100505743109</v>
          </cell>
          <cell r="X31">
            <v>2.7338012374999994</v>
          </cell>
          <cell r="Y31">
            <v>0</v>
          </cell>
          <cell r="Z31">
            <v>0.25280000000000002</v>
          </cell>
          <cell r="AA31">
            <v>0</v>
          </cell>
          <cell r="AB31">
            <v>3.25334038</v>
          </cell>
          <cell r="AC31">
            <v>0</v>
          </cell>
          <cell r="AD31">
            <v>0</v>
          </cell>
          <cell r="AE31">
            <v>3.4373000000000001E-2</v>
          </cell>
          <cell r="AF31">
            <v>0</v>
          </cell>
          <cell r="AG31">
            <v>5.26705325</v>
          </cell>
        </row>
        <row r="32">
          <cell r="C32">
            <v>1.0506846743371834</v>
          </cell>
          <cell r="D32">
            <v>1.0049999999999999</v>
          </cell>
          <cell r="E32">
            <v>7.5881921707793323</v>
          </cell>
          <cell r="F32">
            <v>4.5569085092884656</v>
          </cell>
          <cell r="G32">
            <v>1.3286542877777778</v>
          </cell>
          <cell r="H32">
            <v>0.94807936483692157</v>
          </cell>
          <cell r="I32">
            <v>2.2229614006472871</v>
          </cell>
          <cell r="J32">
            <v>2.7138675400000003</v>
          </cell>
          <cell r="K32">
            <v>1.7121765182770683</v>
          </cell>
          <cell r="L32">
            <v>7.3496360000000003</v>
          </cell>
          <cell r="M32">
            <v>1.2959184863207074</v>
          </cell>
          <cell r="N32">
            <v>2.8929784779620631</v>
          </cell>
          <cell r="O32">
            <v>0.2774320575464494</v>
          </cell>
          <cell r="P32">
            <v>0.22522494080893371</v>
          </cell>
          <cell r="Q32">
            <v>11.9</v>
          </cell>
          <cell r="R32">
            <v>137.17837365097961</v>
          </cell>
          <cell r="S32">
            <v>0.30466932164937022</v>
          </cell>
          <cell r="T32">
            <v>0</v>
          </cell>
          <cell r="U32">
            <v>2.5276190476190473E-2</v>
          </cell>
          <cell r="V32">
            <v>0.26900000000000002</v>
          </cell>
          <cell r="W32">
            <v>1.1527739551445528</v>
          </cell>
          <cell r="X32">
            <v>3.3160465028571435</v>
          </cell>
          <cell r="Y32">
            <v>474</v>
          </cell>
          <cell r="Z32">
            <v>1.3321000000000001</v>
          </cell>
          <cell r="AA32">
            <v>90.946382263575202</v>
          </cell>
          <cell r="AB32">
            <v>10.80615892</v>
          </cell>
          <cell r="AC32">
            <v>0.83614258374999983</v>
          </cell>
          <cell r="AD32">
            <v>160.28754117448977</v>
          </cell>
          <cell r="AE32">
            <v>5.6533E-2</v>
          </cell>
          <cell r="AF32">
            <v>0.58030849564835196</v>
          </cell>
          <cell r="AG32">
            <v>5.7095432499999994</v>
          </cell>
        </row>
        <row r="33">
          <cell r="C33">
            <v>0.37212045784600678</v>
          </cell>
          <cell r="D33">
            <v>0.14499999999999999</v>
          </cell>
          <cell r="E33">
            <v>0.35842687896321079</v>
          </cell>
          <cell r="F33">
            <v>2.5702562762269943</v>
          </cell>
          <cell r="G33">
            <v>0.47030644624999995</v>
          </cell>
          <cell r="H33">
            <v>1.1920880094001092</v>
          </cell>
          <cell r="I33">
            <v>0.33470020103620024</v>
          </cell>
          <cell r="J33">
            <v>0.95641734999999983</v>
          </cell>
          <cell r="K33">
            <v>0.40023392867208912</v>
          </cell>
          <cell r="L33">
            <v>4.9256339999999996</v>
          </cell>
          <cell r="M33">
            <v>0.32265241096041392</v>
          </cell>
          <cell r="N33">
            <v>-0.20549601578810295</v>
          </cell>
          <cell r="O33">
            <v>9.6093342604992374E-3</v>
          </cell>
          <cell r="P33">
            <v>0.1502766844388683</v>
          </cell>
          <cell r="Q33">
            <v>0</v>
          </cell>
          <cell r="R33">
            <v>28.988382856534667</v>
          </cell>
          <cell r="S33">
            <v>9.2172440414826362E-2</v>
          </cell>
          <cell r="T33">
            <v>0</v>
          </cell>
          <cell r="U33">
            <v>1.7233766233766233E-2</v>
          </cell>
          <cell r="V33">
            <v>0</v>
          </cell>
          <cell r="W33">
            <v>7.0000000000000007E-2</v>
          </cell>
          <cell r="X33">
            <v>0</v>
          </cell>
          <cell r="Y33">
            <v>3480</v>
          </cell>
          <cell r="Z33">
            <v>0</v>
          </cell>
          <cell r="AA33">
            <v>0</v>
          </cell>
          <cell r="AB33">
            <v>2.0093572600000003</v>
          </cell>
          <cell r="AC33">
            <v>0</v>
          </cell>
          <cell r="AD33">
            <v>0</v>
          </cell>
          <cell r="AE33">
            <v>4.4947000000000001E-2</v>
          </cell>
          <cell r="AF33">
            <v>0</v>
          </cell>
          <cell r="AG33">
            <v>0</v>
          </cell>
        </row>
        <row r="34">
          <cell r="C34">
            <v>0.62115829774927822</v>
          </cell>
          <cell r="D34">
            <v>1.1327199999999999</v>
          </cell>
          <cell r="E34">
            <v>7.1173873433326662</v>
          </cell>
          <cell r="F34">
            <v>1.5840166218334881</v>
          </cell>
          <cell r="G34">
            <v>2.51961316</v>
          </cell>
          <cell r="H34">
            <v>0.28486666198735666</v>
          </cell>
          <cell r="I34">
            <v>0</v>
          </cell>
          <cell r="J34">
            <v>1.9894492417530436</v>
          </cell>
          <cell r="K34">
            <v>1.8699864343550812</v>
          </cell>
          <cell r="L34">
            <v>3.1231360000000001</v>
          </cell>
          <cell r="M34">
            <v>0</v>
          </cell>
          <cell r="N34">
            <v>4.6700839293981877</v>
          </cell>
          <cell r="O34">
            <v>0.1942223415544119</v>
          </cell>
          <cell r="P34">
            <v>0.20456499243375953</v>
          </cell>
          <cell r="Q34">
            <v>8.4620789999999992</v>
          </cell>
          <cell r="R34">
            <v>76.447800982564047</v>
          </cell>
          <cell r="S34">
            <v>0.24935627255442866</v>
          </cell>
          <cell r="T34">
            <v>0</v>
          </cell>
          <cell r="U34">
            <v>0</v>
          </cell>
          <cell r="V34">
            <v>0</v>
          </cell>
          <cell r="W34">
            <v>3.80296475114773</v>
          </cell>
          <cell r="X34">
            <v>5.481255286800522</v>
          </cell>
          <cell r="Y34">
            <v>0</v>
          </cell>
          <cell r="Z34">
            <v>0</v>
          </cell>
          <cell r="AA34">
            <v>364.11201806355331</v>
          </cell>
          <cell r="AB34">
            <v>5.4345000000000008</v>
          </cell>
          <cell r="AC34">
            <v>0</v>
          </cell>
          <cell r="AD34">
            <v>0</v>
          </cell>
          <cell r="AE34">
            <v>3.2079999999999997E-2</v>
          </cell>
          <cell r="AF34">
            <v>4.5496089306337625E-2</v>
          </cell>
          <cell r="AG34">
            <v>8.661420249999999</v>
          </cell>
        </row>
        <row r="35">
          <cell r="C35">
            <v>0</v>
          </cell>
          <cell r="D35">
            <v>0</v>
          </cell>
          <cell r="E35">
            <v>0.47266413999346252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12.236612157937891</v>
          </cell>
          <cell r="O35">
            <v>8.8212464804345872E-2</v>
          </cell>
          <cell r="P35">
            <v>0</v>
          </cell>
          <cell r="Q35">
            <v>0</v>
          </cell>
          <cell r="R35">
            <v>280.82955506337709</v>
          </cell>
          <cell r="S35">
            <v>0</v>
          </cell>
          <cell r="T35">
            <v>9.4E-2</v>
          </cell>
          <cell r="U35">
            <v>0</v>
          </cell>
          <cell r="V35">
            <v>2.27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</row>
        <row r="36">
          <cell r="C36">
            <v>20.163172893811502</v>
          </cell>
          <cell r="D36">
            <v>17.5367</v>
          </cell>
          <cell r="E36">
            <v>218.60010297558782</v>
          </cell>
          <cell r="F36">
            <v>118.31383878642286</v>
          </cell>
          <cell r="G36">
            <v>30.590745728577286</v>
          </cell>
          <cell r="H36">
            <v>16.836178337299195</v>
          </cell>
          <cell r="I36">
            <v>21.764888544439735</v>
          </cell>
          <cell r="J36">
            <v>29.643065834532731</v>
          </cell>
          <cell r="K36">
            <v>32.054483180597927</v>
          </cell>
          <cell r="L36">
            <v>85.375629704000005</v>
          </cell>
          <cell r="M36">
            <v>29.789224600850666</v>
          </cell>
          <cell r="N36">
            <v>77.940851626473574</v>
          </cell>
          <cell r="O36">
            <v>4.5982473466711866</v>
          </cell>
          <cell r="P36">
            <v>6.0179092567951686</v>
          </cell>
          <cell r="Q36">
            <v>136.64099999999996</v>
          </cell>
          <cell r="R36">
            <v>4316.4372761018649</v>
          </cell>
          <cell r="S36">
            <v>7.5021926520577802</v>
          </cell>
          <cell r="T36">
            <v>2.7749999999999999</v>
          </cell>
          <cell r="U36">
            <v>2.6249537016815903</v>
          </cell>
          <cell r="V36">
            <v>10.539000000000001</v>
          </cell>
          <cell r="W36">
            <v>25.764728684043767</v>
          </cell>
          <cell r="X36">
            <v>130.59457868715251</v>
          </cell>
          <cell r="Y36">
            <v>26834</v>
          </cell>
          <cell r="Z36">
            <v>28.355779999999996</v>
          </cell>
          <cell r="AA36">
            <v>6767.7141216556338</v>
          </cell>
          <cell r="AB36">
            <v>229.59890444999999</v>
          </cell>
          <cell r="AC36">
            <v>25.193061919809189</v>
          </cell>
          <cell r="AD36">
            <v>3306.2655095653258</v>
          </cell>
          <cell r="AE36">
            <v>0.87683600000000006</v>
          </cell>
          <cell r="AF36">
            <v>5.0719782172256878</v>
          </cell>
          <cell r="AG36">
            <v>200.52848540000002</v>
          </cell>
        </row>
        <row r="37">
          <cell r="C37">
            <v>0.40620855803731176</v>
          </cell>
          <cell r="D37">
            <v>0.81400000000000006</v>
          </cell>
          <cell r="E37">
            <v>11.309293347970304</v>
          </cell>
          <cell r="F37">
            <v>1.1420548109487945</v>
          </cell>
          <cell r="G37">
            <v>0.61403478337938133</v>
          </cell>
          <cell r="H37">
            <v>1.1640594785315623</v>
          </cell>
          <cell r="I37">
            <v>0.95260206989926277</v>
          </cell>
          <cell r="J37">
            <v>3.0535172787015936</v>
          </cell>
          <cell r="K37">
            <v>1.5215587110494537</v>
          </cell>
          <cell r="L37">
            <v>7.6017737040000002</v>
          </cell>
          <cell r="M37">
            <v>1.0253312578247629</v>
          </cell>
          <cell r="N37">
            <v>1.7755839860261207</v>
          </cell>
          <cell r="O37">
            <v>0.23423957138723805</v>
          </cell>
          <cell r="P37">
            <v>0.14191621045079986</v>
          </cell>
          <cell r="Q37">
            <v>8.2259999999999991</v>
          </cell>
          <cell r="R37">
            <v>67.63493038210467</v>
          </cell>
          <cell r="S37">
            <v>0.43095478411552629</v>
          </cell>
          <cell r="T37">
            <v>4.2000000000000003E-2</v>
          </cell>
          <cell r="U37">
            <v>0</v>
          </cell>
          <cell r="V37">
            <v>0.21400000000000002</v>
          </cell>
          <cell r="W37">
            <v>1.6822971804931954</v>
          </cell>
          <cell r="X37">
            <v>7.5044396400000002</v>
          </cell>
          <cell r="Y37">
            <v>1210</v>
          </cell>
          <cell r="Z37">
            <v>2.6749999999999998</v>
          </cell>
          <cell r="AA37">
            <v>369.75489498487752</v>
          </cell>
          <cell r="AB37">
            <v>7.1465659900000009</v>
          </cell>
          <cell r="AC37">
            <v>6.1179024500000025</v>
          </cell>
          <cell r="AD37">
            <v>177.05620764999998</v>
          </cell>
          <cell r="AE37">
            <v>5.0047000000000001E-2</v>
          </cell>
          <cell r="AF37">
            <v>0.18267677803923599</v>
          </cell>
          <cell r="AG37">
            <v>10.519243249999999</v>
          </cell>
        </row>
        <row r="38">
          <cell r="C38">
            <v>0.79861669403919855</v>
          </cell>
          <cell r="D38">
            <v>0</v>
          </cell>
          <cell r="E38">
            <v>1.9920458237503649</v>
          </cell>
          <cell r="F38">
            <v>8.2209529740133895</v>
          </cell>
          <cell r="G38">
            <v>0.84200468274999984</v>
          </cell>
          <cell r="H38">
            <v>0.21308828553057604</v>
          </cell>
          <cell r="I38">
            <v>1.0705819132777994</v>
          </cell>
          <cell r="J38">
            <v>2.6620426504524159</v>
          </cell>
          <cell r="K38">
            <v>-0.11759134069475127</v>
          </cell>
          <cell r="L38">
            <v>-4.1921970000000002</v>
          </cell>
          <cell r="M38">
            <v>1.6459588713633548</v>
          </cell>
          <cell r="N38">
            <v>6.3229048922046394</v>
          </cell>
          <cell r="O38">
            <v>0.21743866241316628</v>
          </cell>
          <cell r="P38">
            <v>0.52043154008549064</v>
          </cell>
          <cell r="Q38">
            <v>12.66</v>
          </cell>
          <cell r="R38">
            <v>281.39956290998805</v>
          </cell>
          <cell r="S38">
            <v>6.1505762848252626E-2</v>
          </cell>
          <cell r="T38">
            <v>0.184</v>
          </cell>
          <cell r="U38">
            <v>0.10463594671325617</v>
          </cell>
          <cell r="V38">
            <v>1.0739999999999998</v>
          </cell>
          <cell r="W38">
            <v>2.9682927838209356</v>
          </cell>
          <cell r="X38">
            <v>10.246082930171426</v>
          </cell>
          <cell r="Y38">
            <v>2800</v>
          </cell>
          <cell r="Z38">
            <v>1.663</v>
          </cell>
          <cell r="AA38">
            <v>941.29693586343456</v>
          </cell>
          <cell r="AB38">
            <v>18.595332569999997</v>
          </cell>
          <cell r="AC38">
            <v>2.1178068800000003</v>
          </cell>
          <cell r="AD38">
            <v>0</v>
          </cell>
          <cell r="AE38">
            <v>0.12651399999999999</v>
          </cell>
          <cell r="AF38">
            <v>0.58664915440739063</v>
          </cell>
          <cell r="AG38">
            <v>26.363516000000001</v>
          </cell>
        </row>
        <row r="39">
          <cell r="C39">
            <v>4.9928929899999996</v>
          </cell>
          <cell r="D39">
            <v>6.0707000000000004</v>
          </cell>
          <cell r="E39">
            <v>83.190873999999994</v>
          </cell>
          <cell r="F39">
            <v>23.303631000000003</v>
          </cell>
          <cell r="G39">
            <v>7.4727622299999998</v>
          </cell>
          <cell r="H39">
            <v>6.3894025351246926</v>
          </cell>
          <cell r="I39">
            <v>8.6713009999999997</v>
          </cell>
          <cell r="J39">
            <v>13.186864981366575</v>
          </cell>
          <cell r="K39">
            <v>10.302391670312732</v>
          </cell>
          <cell r="L39">
            <v>32.522675</v>
          </cell>
          <cell r="M39">
            <v>13.644779</v>
          </cell>
          <cell r="N39">
            <v>32.688906476867039</v>
          </cell>
          <cell r="O39">
            <v>1.1737534637588816</v>
          </cell>
          <cell r="P39">
            <v>2.3092910969826002</v>
          </cell>
          <cell r="Q39">
            <v>56.298000000000002</v>
          </cell>
          <cell r="R39">
            <v>1812.0305020737578</v>
          </cell>
          <cell r="S39">
            <v>2.2305692106227366</v>
          </cell>
          <cell r="T39">
            <v>0.41699999999999998</v>
          </cell>
          <cell r="U39">
            <v>0.15997226468661283</v>
          </cell>
          <cell r="V39">
            <v>2.6040000000000001</v>
          </cell>
          <cell r="W39">
            <v>9.5774170000000005</v>
          </cell>
          <cell r="X39">
            <v>31.212600504007575</v>
          </cell>
          <cell r="Y39">
            <v>5956</v>
          </cell>
          <cell r="Z39">
            <v>5.25</v>
          </cell>
          <cell r="AA39">
            <v>1235.7029337199983</v>
          </cell>
          <cell r="AB39">
            <v>66.981338039999997</v>
          </cell>
          <cell r="AC39">
            <v>6.4560800000000018</v>
          </cell>
          <cell r="AD39">
            <v>534.67657010000005</v>
          </cell>
          <cell r="AE39">
            <v>0.11945699999999999</v>
          </cell>
          <cell r="AF39">
            <v>1.4272</v>
          </cell>
          <cell r="AG39">
            <v>55.896458499999994</v>
          </cell>
        </row>
        <row r="40">
          <cell r="C40">
            <v>1.313493623267453</v>
          </cell>
          <cell r="D40">
            <v>0.88500000000000001</v>
          </cell>
          <cell r="E40">
            <v>10.934411539720131</v>
          </cell>
          <cell r="F40">
            <v>4.3648246578849061</v>
          </cell>
          <cell r="G40">
            <v>1.6107805100000003</v>
          </cell>
          <cell r="H40">
            <v>1.1165120674720965</v>
          </cell>
          <cell r="I40">
            <v>2.1487463243702338</v>
          </cell>
          <cell r="J40">
            <v>2.9526219407626781</v>
          </cell>
          <cell r="K40">
            <v>2.4845049548590969</v>
          </cell>
          <cell r="L40">
            <v>6.2726290000000002</v>
          </cell>
          <cell r="M40">
            <v>3.2383180907538551</v>
          </cell>
          <cell r="N40">
            <v>9.5805769534549086</v>
          </cell>
          <cell r="O40">
            <v>0.29533237405512291</v>
          </cell>
          <cell r="P40">
            <v>0.39153667818137872</v>
          </cell>
          <cell r="Q40">
            <v>3.1819999999999999</v>
          </cell>
          <cell r="R40">
            <v>572.64261598058022</v>
          </cell>
          <cell r="S40">
            <v>0.27293297059209848</v>
          </cell>
          <cell r="T40">
            <v>0.36599999999999999</v>
          </cell>
          <cell r="U40">
            <v>0.26662044114435468</v>
          </cell>
          <cell r="V40">
            <v>1.1609999999999998</v>
          </cell>
          <cell r="W40">
            <v>1.6170489808364701</v>
          </cell>
          <cell r="X40">
            <v>6.7047960400000006</v>
          </cell>
          <cell r="Y40">
            <v>3551</v>
          </cell>
          <cell r="Z40">
            <v>1.0629999999999999</v>
          </cell>
          <cell r="AA40">
            <v>520.96745679579294</v>
          </cell>
          <cell r="AB40">
            <v>18.57154998</v>
          </cell>
          <cell r="AC40">
            <v>1.4731232200000008</v>
          </cell>
          <cell r="AD40">
            <v>200.48843299999999</v>
          </cell>
          <cell r="AE40">
            <v>7.3786000000000018E-2</v>
          </cell>
          <cell r="AF40">
            <v>0.25</v>
          </cell>
          <cell r="AG40">
            <v>18.515046999999999</v>
          </cell>
        </row>
        <row r="41">
          <cell r="C41">
            <v>2.5173900089129941</v>
          </cell>
          <cell r="D41">
            <v>1.6270000000000002</v>
          </cell>
          <cell r="E41">
            <v>16.133027843994199</v>
          </cell>
          <cell r="F41">
            <v>46.316474355542958</v>
          </cell>
          <cell r="G41">
            <v>2.1656608914739102</v>
          </cell>
          <cell r="H41">
            <v>1.9110460444269921</v>
          </cell>
          <cell r="I41">
            <v>2.5347961604769469</v>
          </cell>
          <cell r="J41">
            <v>2.5316010290131539</v>
          </cell>
          <cell r="K41">
            <v>3.5432986375638151</v>
          </cell>
          <cell r="L41">
            <v>8.041799000000001</v>
          </cell>
          <cell r="M41">
            <v>1.0122187856911882</v>
          </cell>
          <cell r="N41">
            <v>5.9455288495655747</v>
          </cell>
          <cell r="O41">
            <v>0.69380123825962159</v>
          </cell>
          <cell r="P41">
            <v>0.68477101705747767</v>
          </cell>
          <cell r="Q41">
            <v>4.6589999999999998</v>
          </cell>
          <cell r="R41">
            <v>157.50299625323913</v>
          </cell>
          <cell r="S41">
            <v>0.88652899142925867</v>
          </cell>
          <cell r="T41">
            <v>0.47599999999999998</v>
          </cell>
          <cell r="U41">
            <v>0.95782135837519111</v>
          </cell>
          <cell r="V41">
            <v>0.81699999999999995</v>
          </cell>
          <cell r="W41">
            <v>2.3830778471394645</v>
          </cell>
          <cell r="X41">
            <v>17.359762000125002</v>
          </cell>
          <cell r="Y41">
            <v>1756</v>
          </cell>
          <cell r="Z41">
            <v>3.0403000000000002</v>
          </cell>
          <cell r="AA41">
            <v>349.84410277950207</v>
          </cell>
          <cell r="AB41">
            <v>16.799796860000001</v>
          </cell>
          <cell r="AC41">
            <v>1.8213534623119312</v>
          </cell>
          <cell r="AD41">
            <v>371.08869687000004</v>
          </cell>
          <cell r="AE41">
            <v>8.2765000000000019E-2</v>
          </cell>
          <cell r="AF41">
            <v>0.5815623801623766</v>
          </cell>
          <cell r="AG41">
            <v>24.556366499999996</v>
          </cell>
        </row>
        <row r="42">
          <cell r="C42">
            <v>0.52652925343671708</v>
          </cell>
          <cell r="D42">
            <v>0.57499999999999996</v>
          </cell>
          <cell r="E42">
            <v>6.6249645626551805</v>
          </cell>
          <cell r="F42">
            <v>4.6930506701690602</v>
          </cell>
          <cell r="G42">
            <v>0.84103113786074135</v>
          </cell>
          <cell r="H42">
            <v>0.52883697137211816</v>
          </cell>
          <cell r="I42">
            <v>0.96902108596667946</v>
          </cell>
          <cell r="J42">
            <v>1.3760813772860534</v>
          </cell>
          <cell r="K42">
            <v>1.013475826623579</v>
          </cell>
          <cell r="L42">
            <v>2.4653960000000001</v>
          </cell>
          <cell r="M42">
            <v>1.1569616812473518</v>
          </cell>
          <cell r="N42">
            <v>2.1517843393561353</v>
          </cell>
          <cell r="O42">
            <v>0.33237581236017633</v>
          </cell>
          <cell r="P42">
            <v>0.34213642045308773</v>
          </cell>
          <cell r="Q42">
            <v>3.13</v>
          </cell>
          <cell r="R42">
            <v>157.12047081985699</v>
          </cell>
          <cell r="S42">
            <v>0.42998337057727515</v>
          </cell>
          <cell r="T42">
            <v>0.308</v>
          </cell>
          <cell r="U42">
            <v>9.0550338501856301E-2</v>
          </cell>
          <cell r="V42">
            <v>0.27</v>
          </cell>
          <cell r="W42">
            <v>1.0454886751646357</v>
          </cell>
          <cell r="X42">
            <v>0.67261464800000192</v>
          </cell>
          <cell r="Y42">
            <v>1192</v>
          </cell>
          <cell r="Z42">
            <v>2.2297799999999999</v>
          </cell>
          <cell r="AA42">
            <v>141.18678624845271</v>
          </cell>
          <cell r="AB42">
            <v>17.00314333</v>
          </cell>
          <cell r="AC42">
            <v>0.72459530000000016</v>
          </cell>
          <cell r="AD42">
            <v>168.22508332000001</v>
          </cell>
          <cell r="AE42">
            <v>2.7449999999999999E-2</v>
          </cell>
          <cell r="AF42">
            <v>0.57384092126630437</v>
          </cell>
          <cell r="AG42">
            <v>9.9180050499999997</v>
          </cell>
        </row>
        <row r="43">
          <cell r="C43">
            <v>2.4139257538473569</v>
          </cell>
          <cell r="D43">
            <v>2.94</v>
          </cell>
          <cell r="E43">
            <v>9.8534110629659324</v>
          </cell>
          <cell r="F43">
            <v>14.993310500000002</v>
          </cell>
          <cell r="G43">
            <v>1.9271090970250533</v>
          </cell>
          <cell r="H43">
            <v>0.52974481935534667</v>
          </cell>
          <cell r="I43">
            <v>2.1357213165538083</v>
          </cell>
          <cell r="J43">
            <v>-0.47802761169887342</v>
          </cell>
          <cell r="K43">
            <v>2.1847069293856984</v>
          </cell>
          <cell r="L43">
            <v>17.168067999999998</v>
          </cell>
          <cell r="M43">
            <v>2.0978104283736769</v>
          </cell>
          <cell r="N43">
            <v>3.7494484885822033</v>
          </cell>
          <cell r="O43">
            <v>0.57352143742929829</v>
          </cell>
          <cell r="P43">
            <v>1.7780226434793105</v>
          </cell>
          <cell r="Q43">
            <v>7.2530000000000001</v>
          </cell>
          <cell r="R43">
            <v>383.24694044075454</v>
          </cell>
          <cell r="S43">
            <v>0.71539586857326376</v>
          </cell>
          <cell r="T43">
            <v>0.32600000000000001</v>
          </cell>
          <cell r="U43">
            <v>0.1911618257261411</v>
          </cell>
          <cell r="V43">
            <v>0.25800000000000001</v>
          </cell>
          <cell r="W43">
            <v>2.3839219040510509</v>
          </cell>
          <cell r="X43">
            <v>17.965097925560606</v>
          </cell>
          <cell r="Y43">
            <v>3110</v>
          </cell>
          <cell r="Z43">
            <v>6.7000999999999999</v>
          </cell>
          <cell r="AA43">
            <v>146.2562822635752</v>
          </cell>
          <cell r="AB43">
            <v>18.37564424</v>
          </cell>
          <cell r="AC43">
            <v>1.5213446500000001</v>
          </cell>
          <cell r="AD43">
            <v>273.28899863432525</v>
          </cell>
          <cell r="AE43">
            <v>0.236841</v>
          </cell>
          <cell r="AF43">
            <v>0.50301434799436062</v>
          </cell>
          <cell r="AG43">
            <v>5.8020920000000009</v>
          </cell>
        </row>
        <row r="44">
          <cell r="C44">
            <v>1.5590844258758114</v>
          </cell>
          <cell r="D44">
            <v>3.7210000000000001</v>
          </cell>
          <cell r="E44">
            <v>14.239510023936784</v>
          </cell>
          <cell r="F44">
            <v>11.614476300000002</v>
          </cell>
          <cell r="G44">
            <v>11.127882089999998</v>
          </cell>
          <cell r="H44">
            <v>2.1706507246745135</v>
          </cell>
          <cell r="I44">
            <v>2.9719538300000004</v>
          </cell>
          <cell r="J44">
            <v>1.4612592903139769</v>
          </cell>
          <cell r="K44">
            <v>4.5890915065492903</v>
          </cell>
          <cell r="L44">
            <v>11.496867999999999</v>
          </cell>
          <cell r="M44">
            <v>3.3897803558111992</v>
          </cell>
          <cell r="N44">
            <v>9.3688323217886502</v>
          </cell>
          <cell r="O44">
            <v>0.43760805978981276</v>
          </cell>
          <cell r="P44">
            <v>-0.73729900000000004</v>
          </cell>
          <cell r="Q44">
            <v>11.616999999999999</v>
          </cell>
          <cell r="R44">
            <v>657.00738042272064</v>
          </cell>
          <cell r="S44">
            <v>1.7836019400000001</v>
          </cell>
          <cell r="T44">
            <v>0.50700000000000001</v>
          </cell>
          <cell r="U44">
            <v>0.22738196112688364</v>
          </cell>
          <cell r="V44">
            <v>3.3239999999999998</v>
          </cell>
          <cell r="W44">
            <v>2.6773984672076092</v>
          </cell>
          <cell r="X44">
            <v>23.704410761803029</v>
          </cell>
          <cell r="Y44">
            <v>2396</v>
          </cell>
          <cell r="Z44">
            <v>3.7319</v>
          </cell>
          <cell r="AA44">
            <v>1342.3338859999999</v>
          </cell>
          <cell r="AB44">
            <v>27.164119849999999</v>
          </cell>
          <cell r="AC44">
            <v>3.9877451700000006</v>
          </cell>
          <cell r="AD44">
            <v>979.40254144099993</v>
          </cell>
          <cell r="AE44">
            <v>0.10495400000000002</v>
          </cell>
          <cell r="AF44">
            <v>0.82034996889441125</v>
          </cell>
          <cell r="AG44">
            <v>40.107936000000002</v>
          </cell>
        </row>
        <row r="45">
          <cell r="C45">
            <v>0.29130085414497464</v>
          </cell>
          <cell r="D45">
            <v>0.124</v>
          </cell>
          <cell r="E45">
            <v>1.7243274112803419</v>
          </cell>
          <cell r="F45">
            <v>1.4791165178637506</v>
          </cell>
          <cell r="G45">
            <v>1.4496254100000001</v>
          </cell>
          <cell r="H45">
            <v>6.2957042079395481E-2</v>
          </cell>
          <cell r="I45">
            <v>0.10338828129833397</v>
          </cell>
          <cell r="J45">
            <v>0.88602861156574031</v>
          </cell>
          <cell r="K45">
            <v>0.91603982629701453</v>
          </cell>
          <cell r="L45">
            <v>0.15806200000000001</v>
          </cell>
          <cell r="M45">
            <v>0.15473238857200297</v>
          </cell>
          <cell r="N45">
            <v>1.5065067196562585</v>
          </cell>
          <cell r="O45">
            <v>0.15680118301217522</v>
          </cell>
          <cell r="P45">
            <v>0.24367098539516061</v>
          </cell>
          <cell r="Q45">
            <v>0.35099999999999998</v>
          </cell>
          <cell r="R45">
            <v>75.107817456356329</v>
          </cell>
          <cell r="S45">
            <v>9.4378480000000001E-2</v>
          </cell>
          <cell r="T45">
            <v>0</v>
          </cell>
          <cell r="U45">
            <v>1.2073378466914175E-2</v>
          </cell>
          <cell r="V45">
            <v>6.0000000000000001E-3</v>
          </cell>
          <cell r="W45">
            <v>6.2126207229769692E-2</v>
          </cell>
          <cell r="X45">
            <v>1.2103136400000001</v>
          </cell>
          <cell r="Y45">
            <v>0</v>
          </cell>
          <cell r="Z45">
            <v>0.8</v>
          </cell>
          <cell r="AA45">
            <v>581.31652599999995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</row>
        <row r="46">
          <cell r="C46">
            <v>0.36130455466748124</v>
          </cell>
          <cell r="D46">
            <v>0.26500000000000001</v>
          </cell>
          <cell r="E46">
            <v>0.25129377116787033</v>
          </cell>
          <cell r="F46">
            <v>2.1859470000000005</v>
          </cell>
          <cell r="G46">
            <v>0.75348090108819998</v>
          </cell>
          <cell r="H46">
            <v>0.38349094141872708</v>
          </cell>
          <cell r="I46">
            <v>0</v>
          </cell>
          <cell r="J46">
            <v>0.46947154373502803</v>
          </cell>
          <cell r="K46">
            <v>1.8061138013761711</v>
          </cell>
          <cell r="L46">
            <v>1.094031</v>
          </cell>
          <cell r="M46">
            <v>1.1713774921681972</v>
          </cell>
          <cell r="N46">
            <v>0.12496800000000002</v>
          </cell>
          <cell r="O46">
            <v>0.43770301299338349</v>
          </cell>
          <cell r="P46">
            <v>8.3048999999999998E-2</v>
          </cell>
          <cell r="Q46">
            <v>15.440999999999999</v>
          </cell>
          <cell r="R46">
            <v>75.636110457854983</v>
          </cell>
          <cell r="S46">
            <v>0.33925036999999997</v>
          </cell>
          <cell r="T46">
            <v>5.8000000000000003E-2</v>
          </cell>
          <cell r="U46">
            <v>0.61473618694038012</v>
          </cell>
          <cell r="V46">
            <v>0.11100000000000002</v>
          </cell>
          <cell r="W46">
            <v>0.88167346467232044</v>
          </cell>
          <cell r="X46">
            <v>5.4969349794999998</v>
          </cell>
          <cell r="Y46">
            <v>0</v>
          </cell>
          <cell r="Z46">
            <v>1.2027000000000001</v>
          </cell>
          <cell r="AA46">
            <v>107.60102000000001</v>
          </cell>
          <cell r="AB46">
            <v>12.47693606</v>
          </cell>
          <cell r="AC46">
            <v>0.19585385999999999</v>
          </cell>
          <cell r="AD46">
            <v>105.84971899999999</v>
          </cell>
          <cell r="AE46">
            <v>0</v>
          </cell>
          <cell r="AF46">
            <v>0</v>
          </cell>
          <cell r="AG46">
            <v>3.6521724500000001</v>
          </cell>
        </row>
        <row r="47">
          <cell r="C47">
            <v>0.59252201947830052</v>
          </cell>
          <cell r="D47">
            <v>0.185</v>
          </cell>
          <cell r="E47">
            <v>0</v>
          </cell>
          <cell r="F47">
            <v>0</v>
          </cell>
          <cell r="G47">
            <v>0.13060325499999997</v>
          </cell>
          <cell r="H47">
            <v>0.49690499651840214</v>
          </cell>
          <cell r="I47">
            <v>0.20677656259666793</v>
          </cell>
          <cell r="J47">
            <v>0.51344947737181301</v>
          </cell>
          <cell r="K47">
            <v>0.27624682688965807</v>
          </cell>
          <cell r="L47">
            <v>1.1979379999999999</v>
          </cell>
          <cell r="M47">
            <v>0.44404237060060853</v>
          </cell>
          <cell r="N47">
            <v>0.35</v>
          </cell>
          <cell r="O47">
            <v>4.5672531212310435E-2</v>
          </cell>
          <cell r="P47">
            <v>0.15032833380535204</v>
          </cell>
          <cell r="Q47">
            <v>1.073</v>
          </cell>
          <cell r="R47">
            <v>37.271241241630683</v>
          </cell>
          <cell r="S47">
            <v>0.25709090329936807</v>
          </cell>
          <cell r="T47">
            <v>0</v>
          </cell>
          <cell r="U47">
            <v>0</v>
          </cell>
          <cell r="V47">
            <v>0</v>
          </cell>
          <cell r="W47">
            <v>0.46635109107537592</v>
          </cell>
          <cell r="X47">
            <v>1.99218161</v>
          </cell>
          <cell r="Y47">
            <v>698</v>
          </cell>
          <cell r="Z47">
            <v>0</v>
          </cell>
          <cell r="AA47">
            <v>0</v>
          </cell>
          <cell r="AB47">
            <v>1.6741937899999999</v>
          </cell>
          <cell r="AC47">
            <v>0</v>
          </cell>
          <cell r="AD47">
            <v>0</v>
          </cell>
          <cell r="AE47">
            <v>2.7921000000000001E-2</v>
          </cell>
          <cell r="AF47">
            <v>0.1066740100717779</v>
          </cell>
          <cell r="AG47">
            <v>5.1976486499999996</v>
          </cell>
        </row>
        <row r="48">
          <cell r="C48">
            <v>2.7223313891100744</v>
          </cell>
          <cell r="D48">
            <v>6.4000000000000001E-2</v>
          </cell>
          <cell r="E48">
            <v>33.954373188676684</v>
          </cell>
          <cell r="F48">
            <v>0</v>
          </cell>
          <cell r="G48">
            <v>0.76798814999999998</v>
          </cell>
          <cell r="H48">
            <v>1.6704317183019852</v>
          </cell>
          <cell r="I48">
            <v>0</v>
          </cell>
          <cell r="J48">
            <v>0</v>
          </cell>
          <cell r="K48">
            <v>1.8579649966502831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5.0617999999999996E-2</v>
          </cell>
          <cell r="Q48">
            <v>3.8559999999999999</v>
          </cell>
          <cell r="R48">
            <v>-4.4220939999999995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1.9635082352939395E-2</v>
          </cell>
          <cell r="X48">
            <v>0</v>
          </cell>
          <cell r="Y48">
            <v>3766</v>
          </cell>
          <cell r="Z48">
            <v>0</v>
          </cell>
          <cell r="AA48">
            <v>1031.453297</v>
          </cell>
          <cell r="AB48">
            <v>22.761833769999999</v>
          </cell>
          <cell r="AC48">
            <v>0.77725692749725306</v>
          </cell>
          <cell r="AD48">
            <v>496.18925954999997</v>
          </cell>
          <cell r="AE48">
            <v>0</v>
          </cell>
          <cell r="AF48">
            <v>1.1769399999999992E-3</v>
          </cell>
          <cell r="AG48">
            <v>0</v>
          </cell>
        </row>
        <row r="49">
          <cell r="C49">
            <v>1.6675727689938338</v>
          </cell>
          <cell r="D49">
            <v>0.26600000000000001</v>
          </cell>
          <cell r="E49">
            <v>28.392570399469982</v>
          </cell>
          <cell r="F49">
            <v>0</v>
          </cell>
          <cell r="G49">
            <v>0.88778259000000004</v>
          </cell>
          <cell r="H49">
            <v>0.199052712492788</v>
          </cell>
          <cell r="I49">
            <v>0</v>
          </cell>
          <cell r="J49">
            <v>1.0281552656625728</v>
          </cell>
          <cell r="K49">
            <v>1.6766808337358876</v>
          </cell>
          <cell r="L49">
            <v>1.5485869999999999</v>
          </cell>
          <cell r="M49">
            <v>0.80791387844446727</v>
          </cell>
          <cell r="N49">
            <v>4.3758105989720244</v>
          </cell>
          <cell r="O49">
            <v>0</v>
          </cell>
          <cell r="P49">
            <v>5.9436330904510754E-2</v>
          </cell>
          <cell r="Q49">
            <v>8.8949999999999996</v>
          </cell>
          <cell r="R49">
            <v>44.258801663021146</v>
          </cell>
          <cell r="S49">
            <v>0</v>
          </cell>
          <cell r="T49">
            <v>9.0999999999999998E-2</v>
          </cell>
          <cell r="U49">
            <v>0</v>
          </cell>
          <cell r="V49">
            <v>0.7</v>
          </cell>
          <cell r="W49">
            <v>0</v>
          </cell>
          <cell r="X49">
            <v>6.5253440079848506</v>
          </cell>
          <cell r="Y49">
            <v>399</v>
          </cell>
          <cell r="Z49">
            <v>0</v>
          </cell>
          <cell r="AA49">
            <v>0</v>
          </cell>
          <cell r="AB49">
            <v>2.0484499699999996</v>
          </cell>
          <cell r="AC49">
            <v>0</v>
          </cell>
          <cell r="AD49">
            <v>0</v>
          </cell>
          <cell r="AE49">
            <v>2.7101E-2</v>
          </cell>
          <cell r="AF49">
            <v>3.883371638982977E-2</v>
          </cell>
          <cell r="AG49">
            <v>0</v>
          </cell>
        </row>
        <row r="50">
          <cell r="C50">
            <v>43.528472198794013</v>
          </cell>
          <cell r="D50">
            <v>36.019930899999999</v>
          </cell>
          <cell r="E50">
            <v>390.7024565836598</v>
          </cell>
          <cell r="F50">
            <v>261.28910011311655</v>
          </cell>
          <cell r="G50">
            <v>56.931040637738207</v>
          </cell>
          <cell r="H50">
            <v>37.632370209877529</v>
          </cell>
          <cell r="I50">
            <v>51.973971260751021</v>
          </cell>
          <cell r="J50">
            <v>71.349560575724041</v>
          </cell>
          <cell r="K50">
            <v>68.97125844</v>
          </cell>
          <cell r="L50">
            <v>203.29272657028</v>
          </cell>
          <cell r="M50">
            <v>63.638449496820556</v>
          </cell>
          <cell r="N50">
            <v>205.0600959898959</v>
          </cell>
          <cell r="O50">
            <v>12.405156603227717</v>
          </cell>
          <cell r="P50">
            <v>12.523221913889101</v>
          </cell>
          <cell r="Q50">
            <v>273.04689245370002</v>
          </cell>
          <cell r="R50">
            <v>11032.117808999999</v>
          </cell>
          <cell r="S50">
            <v>20.498579660000001</v>
          </cell>
          <cell r="T50">
            <v>6.0979999999999999</v>
          </cell>
          <cell r="U50">
            <v>5.9340000000000011</v>
          </cell>
          <cell r="V50">
            <v>23.067100000000003</v>
          </cell>
          <cell r="W50">
            <v>57.266133695129611</v>
          </cell>
          <cell r="X50">
            <v>291.12233749044913</v>
          </cell>
          <cell r="Y50">
            <v>68866</v>
          </cell>
          <cell r="Z50">
            <v>96.52028</v>
          </cell>
          <cell r="AA50">
            <v>16042.683718999993</v>
          </cell>
          <cell r="AB50">
            <v>537.44661283000005</v>
          </cell>
          <cell r="AC50">
            <v>43.139227518203597</v>
          </cell>
          <cell r="AD50">
            <v>14115.655000241584</v>
          </cell>
          <cell r="AE50">
            <v>3.0356019940000003</v>
          </cell>
          <cell r="AF50">
            <v>11.313398680000002</v>
          </cell>
          <cell r="AG50">
            <v>490.44059824999994</v>
          </cell>
        </row>
        <row r="51">
          <cell r="C51">
            <v>0</v>
          </cell>
          <cell r="D51">
            <v>0.35499999999999998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625.000001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</row>
        <row r="52">
          <cell r="C52">
            <v>9.1307820000000012E-2</v>
          </cell>
          <cell r="D52">
            <v>0</v>
          </cell>
          <cell r="E52">
            <v>5.3991617752979035</v>
          </cell>
          <cell r="F52">
            <v>3.8355167486671102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-0.14334643999999999</v>
          </cell>
          <cell r="L52">
            <v>0</v>
          </cell>
          <cell r="M52">
            <v>27.995897513179443</v>
          </cell>
          <cell r="N52">
            <v>-0.42621633946991899</v>
          </cell>
          <cell r="O52">
            <v>0</v>
          </cell>
          <cell r="P52">
            <v>0</v>
          </cell>
          <cell r="Q52">
            <v>0</v>
          </cell>
          <cell r="R52">
            <v>-73.519968999999975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6800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</row>
        <row r="53">
          <cell r="C53">
            <v>0</v>
          </cell>
          <cell r="D53">
            <v>0</v>
          </cell>
          <cell r="E53">
            <v>1021.211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273.14322395324848</v>
          </cell>
          <cell r="Y53">
            <v>80667</v>
          </cell>
          <cell r="Z53">
            <v>0</v>
          </cell>
          <cell r="AA53">
            <v>0</v>
          </cell>
          <cell r="AB53">
            <v>363.61342436000001</v>
          </cell>
          <cell r="AC53">
            <v>16.409325481796408</v>
          </cell>
          <cell r="AD53">
            <v>0</v>
          </cell>
          <cell r="AE53">
            <v>4.5272649999999999</v>
          </cell>
          <cell r="AF53">
            <v>0</v>
          </cell>
          <cell r="AG53">
            <v>0</v>
          </cell>
        </row>
        <row r="54">
          <cell r="C54">
            <v>43.61978001879401</v>
          </cell>
          <cell r="D54">
            <v>36.374930899999995</v>
          </cell>
          <cell r="E54">
            <v>1417.3126183589577</v>
          </cell>
          <cell r="F54">
            <v>265.12461686178364</v>
          </cell>
          <cell r="G54">
            <v>56.931040637738207</v>
          </cell>
          <cell r="H54">
            <v>37.632370209877529</v>
          </cell>
          <cell r="I54">
            <v>51.973971260751021</v>
          </cell>
          <cell r="J54">
            <v>71.349560575724041</v>
          </cell>
          <cell r="K54">
            <v>68.827911999999998</v>
          </cell>
          <cell r="L54">
            <v>203.29272657028</v>
          </cell>
          <cell r="M54">
            <v>91.634347009999999</v>
          </cell>
          <cell r="N54">
            <v>204.63387965042597</v>
          </cell>
          <cell r="O54">
            <v>12.405156603227717</v>
          </cell>
          <cell r="P54">
            <v>12.523221913889101</v>
          </cell>
          <cell r="Q54">
            <v>273.04689245370002</v>
          </cell>
          <cell r="R54">
            <v>11583.597841000003</v>
          </cell>
          <cell r="S54">
            <v>20.498579660000001</v>
          </cell>
          <cell r="T54">
            <v>6.0979999999999999</v>
          </cell>
          <cell r="U54">
            <v>5.9340000000000011</v>
          </cell>
          <cell r="V54">
            <v>23.067100000000003</v>
          </cell>
          <cell r="W54">
            <v>57.266133695129611</v>
          </cell>
          <cell r="X54">
            <v>564.26556144369761</v>
          </cell>
          <cell r="Y54">
            <v>149533</v>
          </cell>
          <cell r="Z54">
            <v>96.52028</v>
          </cell>
          <cell r="AA54">
            <v>22842.683718999997</v>
          </cell>
          <cell r="AB54">
            <v>901.06003719</v>
          </cell>
          <cell r="AC54">
            <v>59.548553000000013</v>
          </cell>
          <cell r="AD54">
            <v>14115.655000241584</v>
          </cell>
          <cell r="AE54">
            <v>7.5628669939999993</v>
          </cell>
          <cell r="AF54">
            <v>11.313398680000002</v>
          </cell>
          <cell r="AG54">
            <v>490.44059824999994</v>
          </cell>
        </row>
        <row r="55">
          <cell r="B55" t="str">
            <v>FTE</v>
          </cell>
          <cell r="C55" t="str">
            <v>DCE</v>
          </cell>
          <cell r="D55" t="str">
            <v>DCNL</v>
          </cell>
          <cell r="E55" t="str">
            <v>DCSA</v>
          </cell>
          <cell r="F55" t="str">
            <v>DCAB</v>
          </cell>
          <cell r="G55" t="str">
            <v>DCAP</v>
          </cell>
          <cell r="H55" t="str">
            <v>DCBel</v>
          </cell>
          <cell r="I55" t="str">
            <v>DCCH</v>
          </cell>
          <cell r="J55" t="str">
            <v>DCF</v>
          </cell>
          <cell r="K55" t="str">
            <v>DCI</v>
          </cell>
          <cell r="L55" t="str">
            <v>DCSveDan</v>
          </cell>
          <cell r="M55" t="str">
            <v>DCUK</v>
          </cell>
          <cell r="N55" t="str">
            <v>DCVD ies</v>
          </cell>
          <cell r="O55" t="str">
            <v>MBH</v>
          </cell>
          <cell r="P55" t="str">
            <v>MBP</v>
          </cell>
          <cell r="Q55" t="str">
            <v>MBUSA</v>
          </cell>
          <cell r="R55" t="str">
            <v>DCJ</v>
          </cell>
          <cell r="S55" t="str">
            <v>MBC</v>
          </cell>
          <cell r="T55" t="str">
            <v>Chrysler Austria</v>
          </cell>
          <cell r="U55" t="str">
            <v>DC de Mex</v>
          </cell>
          <cell r="V55" t="str">
            <v>DCAR</v>
          </cell>
          <cell r="W55" t="str">
            <v>DCAuP</v>
          </cell>
          <cell r="X55" t="str">
            <v>DC India</v>
          </cell>
          <cell r="Y55" t="str">
            <v>DCIna</v>
          </cell>
          <cell r="Z55" t="str">
            <v>MBCL HK</v>
          </cell>
          <cell r="AA55" t="str">
            <v>MBK</v>
          </cell>
          <cell r="AB55" t="str">
            <v>DCTh</v>
          </cell>
          <cell r="AC55" t="str">
            <v>DCM</v>
          </cell>
          <cell r="AD55" t="str">
            <v>DCK</v>
          </cell>
          <cell r="AE55" t="str">
            <v>MBV</v>
          </cell>
          <cell r="AF55" t="str">
            <v>SingOps</v>
          </cell>
          <cell r="AG55" t="str">
            <v>DCTw</v>
          </cell>
        </row>
        <row r="56">
          <cell r="B56" t="str">
            <v>8</v>
          </cell>
          <cell r="C56">
            <v>462</v>
          </cell>
          <cell r="D56">
            <v>248.57340399999998</v>
          </cell>
          <cell r="E56">
            <v>377.44040000000007</v>
          </cell>
          <cell r="F56">
            <v>121.44876545648766</v>
          </cell>
          <cell r="G56">
            <v>185.58333333333334</v>
          </cell>
          <cell r="H56">
            <v>294</v>
          </cell>
          <cell r="I56">
            <v>269.24450000000002</v>
          </cell>
          <cell r="J56">
            <v>583.62899999999991</v>
          </cell>
          <cell r="K56">
            <v>492.99935298707135</v>
          </cell>
          <cell r="L56">
            <v>219.93</v>
          </cell>
          <cell r="M56">
            <v>560.53412466170266</v>
          </cell>
          <cell r="N56">
            <v>893.52650000000267</v>
          </cell>
          <cell r="O56">
            <v>176</v>
          </cell>
          <cell r="P56">
            <v>169.00001</v>
          </cell>
          <cell r="Q56">
            <v>1254</v>
          </cell>
          <cell r="R56">
            <v>493</v>
          </cell>
          <cell r="S56">
            <v>136</v>
          </cell>
          <cell r="T56">
            <v>41</v>
          </cell>
          <cell r="U56">
            <v>51</v>
          </cell>
          <cell r="V56">
            <v>296</v>
          </cell>
          <cell r="W56">
            <v>337.69243905886373</v>
          </cell>
          <cell r="X56">
            <v>119.95</v>
          </cell>
          <cell r="Y56">
            <v>201.95330000000001</v>
          </cell>
          <cell r="Z56">
            <v>109.22</v>
          </cell>
          <cell r="AA56">
            <v>92</v>
          </cell>
          <cell r="AB56">
            <v>218.93</v>
          </cell>
          <cell r="AC56">
            <v>180</v>
          </cell>
          <cell r="AD56">
            <v>96</v>
          </cell>
          <cell r="AE56">
            <v>137.39915384615387</v>
          </cell>
          <cell r="AF56">
            <v>50</v>
          </cell>
          <cell r="AG56">
            <v>213.957019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U"/>
      <sheetName val="PS41"/>
      <sheetName val="PS24S"/>
      <sheetName val="内容詳細"/>
      <sheetName val="同時加工メリット"/>
      <sheetName val="投資回収"/>
      <sheetName val="CASE1"/>
      <sheetName val="CASE2"/>
      <sheetName val="日程"/>
    </sheetNames>
    <sheetDataSet>
      <sheetData sheetId="0"/>
      <sheetData sheetId="1"/>
      <sheetData sheetId="2"/>
      <sheetData sheetId="3" refreshError="1">
        <row r="6">
          <cell r="J6">
            <v>5000</v>
          </cell>
        </row>
        <row r="7">
          <cell r="J7">
            <v>6500</v>
          </cell>
        </row>
        <row r="8">
          <cell r="J8">
            <v>4500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ICM"/>
      <sheetName val="2.ICO"/>
      <sheetName val="3.OOI"/>
      <sheetName val="4.EIS"/>
      <sheetName val="5.VCS"/>
      <sheetName val="6.CIS"/>
      <sheetName val="7.RFA"/>
      <sheetName val="8.PRS"/>
      <sheetName val="9.OBS"/>
      <sheetName val="10.EBS"/>
      <sheetName val="11.CFS"/>
      <sheetName val="12.ISM"/>
      <sheetName val="ESM ver2"/>
      <sheetName val="13.ESM"/>
      <sheetName val="14.VCM"/>
      <sheetName val="15.FTE"/>
      <sheetName val="16.VAL"/>
      <sheetName val="09.May02 Mars Excel File incl"/>
      <sheetName val="Param"/>
      <sheetName val="00 TOP"/>
      <sheetName val="01 BSJ"/>
      <sheetName val="02 PLJ"/>
      <sheetName val="03 SSE"/>
      <sheetName val="04 INV"/>
      <sheetName val="05 IC1"/>
      <sheetName val="06 IC2"/>
      <sheetName val="07 IC3"/>
      <sheetName val="09 BSS"/>
      <sheetName val="10 SUR"/>
      <sheetName val="11 PLS"/>
      <sheetName val="13 TFA"/>
      <sheetName val="14 IFA"/>
      <sheetName val="15 SEC"/>
      <sheetName val="16 BON"/>
      <sheetName val="17 FRS"/>
      <sheetName val="VLVSheet"/>
      <sheetName val="21 OSS"/>
      <sheetName val="22 RIC"/>
      <sheetName val="23 RFA"/>
      <sheetName val="24 D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 "/>
      <sheetName val="Übersicht EOD_MiB"/>
      <sheetName val="Übersicht Planungsverantwortung"/>
      <sheetName val="Übersicht nach PG"/>
      <sheetName val="Original CKD-Plants"/>
      <sheetName val="CIP CKD-Plants"/>
      <sheetName val="Targets for plants PSP Elements"/>
      <sheetName val="Targets for plants Inv-eGK"/>
      <sheetName val="Targets for plants PG view"/>
      <sheetName val="Investplaning 2016"/>
      <sheetName val="detail"/>
      <sheetName val="ZV 2015 MO"/>
      <sheetName val="Übersicht MO"/>
      <sheetName val="JC1 FTR II"/>
      <sheetName val="JC1 OP 14-15"/>
      <sheetName val="JC1 Delta"/>
      <sheetName val="Werksvorhaben Übersicht"/>
      <sheetName val="Übersicht 1"/>
      <sheetName val="Übersicht 2"/>
      <sheetName val="Übersicht 3"/>
      <sheetName val="Übersicht 4"/>
      <sheetName val="Pivot MiB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E10">
            <v>684.64242021331677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itional SMI"/>
      <sheetName val="Additional GMM"/>
      <sheetName val="Additional SEN"/>
      <sheetName val="OP 2013-2014"/>
      <sheetName val="Report OP 2014 per CC"/>
      <sheetName val="Summary Report 2014"/>
      <sheetName val="KPI"/>
      <sheetName val="IT"/>
      <sheetName val="Summary Report 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伺い出用"/>
      <sheetName val="まとめ"/>
      <sheetName val="日程(貼付ﾃﾞｰﾀ)"/>
      <sheetName val="費用(貼付ﾃﾞｰﾀ)"/>
      <sheetName val="組織"/>
      <sheetName val="損益"/>
      <sheetName val="生産部品"/>
      <sheetName val="業務体制"/>
      <sheetName val="稼働率根拠"/>
      <sheetName val="計画台数"/>
      <sheetName val="ﾒﾘｯﾄ纏め"/>
      <sheetName val="新_部品別ﾒﾘｯﾄ"/>
      <sheetName val="MaterialCost"/>
      <sheetName val="PressCost"/>
      <sheetName val="KD化損失"/>
      <sheetName val="KD化損失NPZX"/>
      <sheetName val="部品毎ﾒﾘｯ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FP11 (L02)"/>
      <sheetName val="Übersichten 2013"/>
      <sheetName val="Übersichten 2013_2015"/>
      <sheetName val="Ausland"/>
      <sheetName val="OG-Auswertung"/>
      <sheetName val="-----"/>
      <sheetName val="Daten"/>
      <sheetName val="Zuordnu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">
          <cell r="A1" t="str">
            <v>Teilprojekt</v>
          </cell>
          <cell r="B1" t="str">
            <v>Cluster Ebene 1</v>
          </cell>
          <cell r="C1" t="str">
            <v>Cluster Ebene 2</v>
          </cell>
          <cell r="D1" t="str">
            <v>Verantwortung</v>
          </cell>
        </row>
        <row r="2">
          <cell r="A2" t="str">
            <v>050P/169L1L</v>
          </cell>
          <cell r="B2" t="str">
            <v>PG CC</v>
          </cell>
          <cell r="C2" t="str">
            <v>Änderungen lfd. Serie</v>
          </cell>
          <cell r="D2" t="str">
            <v>Krupinski</v>
          </cell>
        </row>
        <row r="3">
          <cell r="A3" t="str">
            <v>050P/176L3P</v>
          </cell>
          <cell r="B3" t="str">
            <v>PG CC</v>
          </cell>
          <cell r="C3" t="str">
            <v>Änderungen lfd. Serie</v>
          </cell>
          <cell r="D3" t="str">
            <v>Krupinski</v>
          </cell>
        </row>
        <row r="4">
          <cell r="A4" t="str">
            <v>050P/190A##</v>
          </cell>
          <cell r="B4" t="str">
            <v>BR197/C190</v>
          </cell>
          <cell r="C4" t="str">
            <v>BR197/C190</v>
          </cell>
          <cell r="D4" t="str">
            <v>Ettischer</v>
          </cell>
        </row>
        <row r="5">
          <cell r="A5" t="str">
            <v>050P/197A##</v>
          </cell>
          <cell r="B5" t="str">
            <v>BR197/C190</v>
          </cell>
          <cell r="C5" t="str">
            <v>BR197/C190</v>
          </cell>
          <cell r="D5" t="str">
            <v>Ettischer</v>
          </cell>
        </row>
        <row r="6">
          <cell r="A6" t="str">
            <v>050P/197AQL</v>
          </cell>
          <cell r="B6" t="str">
            <v>BR197/C190</v>
          </cell>
          <cell r="C6" t="str">
            <v>BR197/C190</v>
          </cell>
          <cell r="D6" t="str">
            <v>Ettischer</v>
          </cell>
        </row>
        <row r="7">
          <cell r="A7" t="str">
            <v>050P/197AQS</v>
          </cell>
          <cell r="B7" t="str">
            <v>BR197/C190</v>
          </cell>
          <cell r="C7" t="str">
            <v>BR197/C190</v>
          </cell>
          <cell r="D7" t="str">
            <v>Ettischer</v>
          </cell>
        </row>
        <row r="8">
          <cell r="A8" t="str">
            <v>050P/197AS#</v>
          </cell>
          <cell r="B8" t="str">
            <v>BR197/C190</v>
          </cell>
          <cell r="C8" t="str">
            <v>BR197/C190</v>
          </cell>
          <cell r="D8" t="str">
            <v>Ettischer</v>
          </cell>
        </row>
        <row r="9">
          <cell r="A9" t="str">
            <v>050P/197ASL</v>
          </cell>
          <cell r="B9" t="str">
            <v>BR197/C190</v>
          </cell>
          <cell r="C9" t="str">
            <v>BR197/C190</v>
          </cell>
          <cell r="D9" t="str">
            <v>Ettischer</v>
          </cell>
        </row>
        <row r="10">
          <cell r="A10" t="str">
            <v>050P/197ASQ</v>
          </cell>
          <cell r="B10" t="str">
            <v>BR197/C190</v>
          </cell>
          <cell r="C10" t="str">
            <v>BR197/C190</v>
          </cell>
          <cell r="D10" t="str">
            <v>Ettischer</v>
          </cell>
        </row>
        <row r="11">
          <cell r="A11" t="str">
            <v>050P/197ASS</v>
          </cell>
          <cell r="B11" t="str">
            <v>BR197/C190</v>
          </cell>
          <cell r="C11" t="str">
            <v>BR197/C190</v>
          </cell>
          <cell r="D11" t="str">
            <v>Ettischer</v>
          </cell>
        </row>
        <row r="12">
          <cell r="A12" t="str">
            <v>050P/197E##</v>
          </cell>
          <cell r="B12" t="str">
            <v>BR197/C190</v>
          </cell>
          <cell r="C12" t="str">
            <v>BR197/C190</v>
          </cell>
          <cell r="D12" t="str">
            <v>Ettischer</v>
          </cell>
        </row>
        <row r="13">
          <cell r="A13" t="str">
            <v>050P/197N##</v>
          </cell>
          <cell r="B13" t="str">
            <v>BR197/C190</v>
          </cell>
          <cell r="C13" t="str">
            <v>BR197/C190</v>
          </cell>
          <cell r="D13" t="str">
            <v>Ettischer</v>
          </cell>
        </row>
        <row r="14">
          <cell r="A14" t="str">
            <v>050P/203AJG</v>
          </cell>
          <cell r="B14" t="str">
            <v>PG MC</v>
          </cell>
          <cell r="C14" t="str">
            <v>Änderungsjahre</v>
          </cell>
          <cell r="D14" t="str">
            <v>Nicolai</v>
          </cell>
        </row>
        <row r="15">
          <cell r="A15" t="str">
            <v>050P/204AOC</v>
          </cell>
          <cell r="B15" t="str">
            <v>PG MC</v>
          </cell>
          <cell r="C15" t="str">
            <v>Änderungsjahre</v>
          </cell>
          <cell r="D15" t="str">
            <v>Nicolai</v>
          </cell>
        </row>
        <row r="16">
          <cell r="A16" t="str">
            <v>050P/204AOL</v>
          </cell>
          <cell r="B16" t="str">
            <v>PG MC</v>
          </cell>
          <cell r="C16" t="str">
            <v>Änderungsjahre</v>
          </cell>
          <cell r="D16" t="str">
            <v>Nicolai</v>
          </cell>
        </row>
        <row r="17">
          <cell r="A17" t="str">
            <v>050P/204AOS</v>
          </cell>
          <cell r="B17" t="str">
            <v>PG MC</v>
          </cell>
          <cell r="C17" t="str">
            <v>Änderungsjahre</v>
          </cell>
          <cell r="D17" t="str">
            <v>Nicolai</v>
          </cell>
        </row>
        <row r="18">
          <cell r="A18" t="str">
            <v>050P/204AQ#</v>
          </cell>
          <cell r="B18" t="str">
            <v>PG MC</v>
          </cell>
          <cell r="C18" t="str">
            <v>Änderungsjahre</v>
          </cell>
          <cell r="D18" t="str">
            <v>Nicolai</v>
          </cell>
        </row>
        <row r="19">
          <cell r="A19" t="str">
            <v>050P/204AQC</v>
          </cell>
          <cell r="B19" t="str">
            <v>PG MC</v>
          </cell>
          <cell r="C19" t="str">
            <v>Änderungsjahre</v>
          </cell>
          <cell r="D19" t="str">
            <v>Nicolai</v>
          </cell>
        </row>
        <row r="20">
          <cell r="A20" t="str">
            <v>050P/204AQE</v>
          </cell>
          <cell r="B20" t="str">
            <v>PG MC</v>
          </cell>
          <cell r="C20" t="str">
            <v>Änderungsjahre</v>
          </cell>
          <cell r="D20" t="str">
            <v>Nicolai</v>
          </cell>
        </row>
        <row r="21">
          <cell r="A21" t="str">
            <v>050P/204AQL</v>
          </cell>
          <cell r="B21" t="str">
            <v>PG MC</v>
          </cell>
          <cell r="C21" t="str">
            <v>Änderungsjahre</v>
          </cell>
          <cell r="D21" t="str">
            <v>Nicolai</v>
          </cell>
        </row>
        <row r="22">
          <cell r="A22" t="str">
            <v>050P/204AQQ</v>
          </cell>
          <cell r="B22" t="str">
            <v>PG MC</v>
          </cell>
          <cell r="C22" t="str">
            <v>Änderungsjahre</v>
          </cell>
          <cell r="D22" t="str">
            <v>Nicolai</v>
          </cell>
        </row>
        <row r="23">
          <cell r="A23" t="str">
            <v>050P/204AQS</v>
          </cell>
          <cell r="B23" t="str">
            <v>PG MC</v>
          </cell>
          <cell r="C23" t="str">
            <v>Änderungsjahre</v>
          </cell>
          <cell r="D23" t="str">
            <v>Nicolai</v>
          </cell>
        </row>
        <row r="24">
          <cell r="A24" t="str">
            <v>050P/204AS#</v>
          </cell>
          <cell r="B24" t="str">
            <v>PG MC</v>
          </cell>
          <cell r="C24" t="str">
            <v>Änderungsjahre</v>
          </cell>
          <cell r="D24" t="str">
            <v>Nicolai</v>
          </cell>
        </row>
        <row r="25">
          <cell r="A25" t="str">
            <v>050P/204K1H</v>
          </cell>
          <cell r="B25" t="str">
            <v>PG MC</v>
          </cell>
          <cell r="C25" t="str">
            <v>Kapazitätsanpassungen</v>
          </cell>
          <cell r="D25" t="str">
            <v>Nicolai</v>
          </cell>
        </row>
        <row r="26">
          <cell r="A26" t="str">
            <v>050P/204K4H</v>
          </cell>
          <cell r="B26" t="str">
            <v>PG MC</v>
          </cell>
          <cell r="C26" t="str">
            <v>China (ohne P3 und P4)</v>
          </cell>
          <cell r="D26" t="str">
            <v>Nicolai</v>
          </cell>
        </row>
        <row r="27">
          <cell r="A27" t="str">
            <v>050P/204L0G</v>
          </cell>
          <cell r="B27" t="str">
            <v>PG MC</v>
          </cell>
          <cell r="C27" t="str">
            <v>Änderungen lfd. Serie</v>
          </cell>
          <cell r="D27" t="str">
            <v>Nicolai</v>
          </cell>
        </row>
        <row r="28">
          <cell r="A28" t="str">
            <v>050P/204L0L</v>
          </cell>
          <cell r="B28" t="str">
            <v>PG MC</v>
          </cell>
          <cell r="C28" t="str">
            <v>Änderungen lfd. Serie</v>
          </cell>
          <cell r="D28" t="str">
            <v>Nicolai</v>
          </cell>
        </row>
        <row r="29">
          <cell r="A29" t="str">
            <v>050P/204L1C</v>
          </cell>
          <cell r="B29" t="str">
            <v>PG MC</v>
          </cell>
          <cell r="C29" t="str">
            <v>Änderungen lfd. Serie</v>
          </cell>
          <cell r="D29" t="str">
            <v>Nicolai</v>
          </cell>
        </row>
        <row r="30">
          <cell r="A30" t="str">
            <v>050P/204L1E</v>
          </cell>
          <cell r="B30" t="str">
            <v>PG MC</v>
          </cell>
          <cell r="C30" t="str">
            <v>Änderungen lfd. Serie</v>
          </cell>
          <cell r="D30" t="str">
            <v>Nicolai</v>
          </cell>
        </row>
        <row r="31">
          <cell r="A31" t="str">
            <v>050P/204L1G</v>
          </cell>
          <cell r="B31" t="str">
            <v>PG MC</v>
          </cell>
          <cell r="C31" t="str">
            <v>Änderungen lfd. Serie</v>
          </cell>
          <cell r="D31" t="str">
            <v>Nicolai</v>
          </cell>
        </row>
        <row r="32">
          <cell r="A32" t="str">
            <v>050P/204L1L</v>
          </cell>
          <cell r="B32" t="str">
            <v>PG MC</v>
          </cell>
          <cell r="C32" t="str">
            <v>Änderungen lfd. Serie</v>
          </cell>
          <cell r="D32" t="str">
            <v>Nicolai</v>
          </cell>
        </row>
        <row r="33">
          <cell r="A33" t="str">
            <v>050P/204L1P</v>
          </cell>
          <cell r="B33" t="str">
            <v>PG MC</v>
          </cell>
          <cell r="C33" t="str">
            <v>Änderungen lfd. Serie</v>
          </cell>
          <cell r="D33" t="str">
            <v>Nicolai</v>
          </cell>
        </row>
        <row r="34">
          <cell r="A34" t="str">
            <v>050P/204L1Q</v>
          </cell>
          <cell r="B34" t="str">
            <v>PG MC</v>
          </cell>
          <cell r="C34" t="str">
            <v>Änderungen lfd. Serie</v>
          </cell>
          <cell r="D34" t="str">
            <v>Nicolai</v>
          </cell>
        </row>
        <row r="35">
          <cell r="A35" t="str">
            <v>050P/204L1S</v>
          </cell>
          <cell r="B35" t="str">
            <v>PG MC</v>
          </cell>
          <cell r="C35" t="str">
            <v>Änderungen lfd. Serie</v>
          </cell>
          <cell r="D35" t="str">
            <v>Nicolai</v>
          </cell>
        </row>
        <row r="36">
          <cell r="A36" t="str">
            <v>050P/204L2G</v>
          </cell>
          <cell r="B36" t="str">
            <v>PG MC</v>
          </cell>
          <cell r="C36" t="str">
            <v>Änderungen lfd. Serie</v>
          </cell>
          <cell r="D36" t="str">
            <v>Nicolai</v>
          </cell>
        </row>
        <row r="37">
          <cell r="A37" t="str">
            <v>050P/204L2L</v>
          </cell>
          <cell r="B37" t="str">
            <v>PG MC</v>
          </cell>
          <cell r="C37" t="str">
            <v>Änderungen lfd. Serie</v>
          </cell>
          <cell r="D37" t="str">
            <v>Nicolai</v>
          </cell>
        </row>
        <row r="38">
          <cell r="A38" t="str">
            <v>050P/204L2P</v>
          </cell>
          <cell r="B38" t="str">
            <v>PG MC</v>
          </cell>
          <cell r="C38" t="str">
            <v>Änderungen lfd. Serie</v>
          </cell>
          <cell r="D38" t="str">
            <v>Nicolai</v>
          </cell>
        </row>
        <row r="39">
          <cell r="A39" t="str">
            <v>050P/204L2Q</v>
          </cell>
          <cell r="B39" t="str">
            <v>PG MC</v>
          </cell>
          <cell r="C39" t="str">
            <v>Änderungen lfd. Serie</v>
          </cell>
          <cell r="D39" t="str">
            <v>Nicolai</v>
          </cell>
        </row>
        <row r="40">
          <cell r="A40" t="str">
            <v>050P/204L2R</v>
          </cell>
          <cell r="B40" t="str">
            <v>PG MC</v>
          </cell>
          <cell r="C40" t="str">
            <v>Änderungen lfd. Serie</v>
          </cell>
          <cell r="D40" t="str">
            <v>Nicolai</v>
          </cell>
        </row>
        <row r="41">
          <cell r="A41" t="str">
            <v>050P/204L3#</v>
          </cell>
          <cell r="B41" t="str">
            <v>PG MC</v>
          </cell>
          <cell r="C41" t="str">
            <v>Änderungen lfd. Serie</v>
          </cell>
          <cell r="D41" t="str">
            <v>Nicolai</v>
          </cell>
        </row>
        <row r="42">
          <cell r="A42" t="str">
            <v>050P/204L3L</v>
          </cell>
          <cell r="B42" t="str">
            <v>PG MC</v>
          </cell>
          <cell r="C42" t="str">
            <v>Änderungen lfd. Serie</v>
          </cell>
          <cell r="D42" t="str">
            <v>Nicolai</v>
          </cell>
        </row>
        <row r="43">
          <cell r="A43" t="str">
            <v>050P/204L3Q</v>
          </cell>
          <cell r="B43" t="str">
            <v>PG MC</v>
          </cell>
          <cell r="C43" t="str">
            <v>Änderungen lfd. Serie</v>
          </cell>
          <cell r="D43" t="str">
            <v>Nicolai</v>
          </cell>
        </row>
        <row r="44">
          <cell r="A44" t="str">
            <v>050P/204L3R</v>
          </cell>
          <cell r="B44" t="str">
            <v>PG MC</v>
          </cell>
          <cell r="C44" t="str">
            <v>Änderungen lfd. Serie</v>
          </cell>
          <cell r="D44" t="str">
            <v>Nicolai</v>
          </cell>
        </row>
        <row r="45">
          <cell r="A45" t="str">
            <v>050P/204L3S</v>
          </cell>
          <cell r="B45" t="str">
            <v>PG MC</v>
          </cell>
          <cell r="C45" t="str">
            <v>Änderungen lfd. Serie</v>
          </cell>
          <cell r="D45" t="str">
            <v>Nicolai</v>
          </cell>
        </row>
        <row r="46">
          <cell r="A46" t="str">
            <v>050P/204L9G</v>
          </cell>
          <cell r="B46" t="str">
            <v>PG MC</v>
          </cell>
          <cell r="C46" t="str">
            <v>Änderungen lfd. Serie</v>
          </cell>
          <cell r="D46" t="str">
            <v>Nicolai</v>
          </cell>
        </row>
        <row r="47">
          <cell r="A47" t="str">
            <v>050P/204M1H</v>
          </cell>
          <cell r="B47" t="str">
            <v>PG MC</v>
          </cell>
          <cell r="C47" t="str">
            <v>MOPFen</v>
          </cell>
          <cell r="D47" t="str">
            <v>Nicolai</v>
          </cell>
        </row>
        <row r="48">
          <cell r="A48" t="str">
            <v>050P/212A##</v>
          </cell>
          <cell r="B48" t="str">
            <v>PG MC</v>
          </cell>
          <cell r="C48" t="str">
            <v>Änderungsjahre</v>
          </cell>
          <cell r="D48" t="str">
            <v>Nicolai</v>
          </cell>
        </row>
        <row r="49">
          <cell r="A49" t="str">
            <v>050P/212AO#</v>
          </cell>
          <cell r="B49" t="str">
            <v>PG MC</v>
          </cell>
          <cell r="C49" t="str">
            <v>Änderungsjahre</v>
          </cell>
          <cell r="D49" t="str">
            <v>Nicolai</v>
          </cell>
        </row>
        <row r="50">
          <cell r="A50" t="str">
            <v>050P/212AOC</v>
          </cell>
          <cell r="B50" t="str">
            <v>PG MC</v>
          </cell>
          <cell r="C50" t="str">
            <v>Änderungsjahre</v>
          </cell>
          <cell r="D50" t="str">
            <v>Nicolai</v>
          </cell>
        </row>
        <row r="51">
          <cell r="A51" t="str">
            <v>050P/212AOE</v>
          </cell>
          <cell r="B51" t="str">
            <v>PG MC</v>
          </cell>
          <cell r="C51" t="str">
            <v>Änderungsjahre</v>
          </cell>
          <cell r="D51" t="str">
            <v>Nicolai</v>
          </cell>
        </row>
        <row r="52">
          <cell r="A52" t="str">
            <v>050P/212AOG</v>
          </cell>
          <cell r="B52" t="str">
            <v>PG MC</v>
          </cell>
          <cell r="C52" t="str">
            <v>Änderungsjahre</v>
          </cell>
          <cell r="D52" t="str">
            <v>Nicolai</v>
          </cell>
        </row>
        <row r="53">
          <cell r="A53" t="str">
            <v>050P/212AOL</v>
          </cell>
          <cell r="B53" t="str">
            <v>PG MC</v>
          </cell>
          <cell r="C53" t="str">
            <v>Änderungsjahre</v>
          </cell>
          <cell r="D53" t="str">
            <v>Nicolai</v>
          </cell>
        </row>
        <row r="54">
          <cell r="A54" t="str">
            <v>050P/212AOP</v>
          </cell>
          <cell r="B54" t="str">
            <v>PG MC</v>
          </cell>
          <cell r="C54" t="str">
            <v>Änderungsjahre</v>
          </cell>
          <cell r="D54" t="str">
            <v>Nicolai</v>
          </cell>
        </row>
        <row r="55">
          <cell r="A55" t="str">
            <v>050P/212AOQ</v>
          </cell>
          <cell r="B55" t="str">
            <v>PG MC</v>
          </cell>
          <cell r="C55" t="str">
            <v>Änderungsjahre</v>
          </cell>
          <cell r="D55" t="str">
            <v>Nicolai</v>
          </cell>
        </row>
        <row r="56">
          <cell r="A56" t="str">
            <v>050P/212AOS</v>
          </cell>
          <cell r="B56" t="str">
            <v>PG MC</v>
          </cell>
          <cell r="C56" t="str">
            <v>Änderungsjahre</v>
          </cell>
          <cell r="D56" t="str">
            <v>Nicolai</v>
          </cell>
        </row>
        <row r="57">
          <cell r="A57" t="str">
            <v>050P/212APC</v>
          </cell>
          <cell r="B57" t="str">
            <v>PG MC</v>
          </cell>
          <cell r="C57" t="str">
            <v>Änderungsjahre</v>
          </cell>
          <cell r="D57" t="str">
            <v>Nicolai</v>
          </cell>
        </row>
        <row r="58">
          <cell r="A58" t="str">
            <v>050P/212APL</v>
          </cell>
          <cell r="B58" t="str">
            <v>PG MC</v>
          </cell>
          <cell r="C58" t="str">
            <v>Änderungsjahre</v>
          </cell>
          <cell r="D58" t="str">
            <v>Nicolai</v>
          </cell>
        </row>
        <row r="59">
          <cell r="A59" t="str">
            <v>050P/212APO</v>
          </cell>
          <cell r="B59" t="str">
            <v>PG MC</v>
          </cell>
          <cell r="C59" t="str">
            <v>Änderungsjahre</v>
          </cell>
          <cell r="D59" t="str">
            <v>Nicolai</v>
          </cell>
        </row>
        <row r="60">
          <cell r="A60" t="str">
            <v>050P/212APQ</v>
          </cell>
          <cell r="B60" t="str">
            <v>PG MC</v>
          </cell>
          <cell r="C60" t="str">
            <v>Änderungsjahre</v>
          </cell>
          <cell r="D60" t="str">
            <v>Nicolai</v>
          </cell>
        </row>
        <row r="61">
          <cell r="A61" t="str">
            <v>050P/212APS</v>
          </cell>
          <cell r="B61" t="str">
            <v>PG MC</v>
          </cell>
          <cell r="C61" t="str">
            <v>Änderungsjahre</v>
          </cell>
          <cell r="D61" t="str">
            <v>Nicolai</v>
          </cell>
        </row>
        <row r="62">
          <cell r="A62" t="str">
            <v>050P/212AQ#</v>
          </cell>
          <cell r="B62" t="str">
            <v>PG MC</v>
          </cell>
          <cell r="C62" t="str">
            <v>Änderungsjahre</v>
          </cell>
          <cell r="D62" t="str">
            <v>Nicolai</v>
          </cell>
        </row>
        <row r="63">
          <cell r="A63" t="str">
            <v>050P/212AQC</v>
          </cell>
          <cell r="B63" t="str">
            <v>PG MC</v>
          </cell>
          <cell r="C63" t="str">
            <v>Änderungsjahre</v>
          </cell>
          <cell r="D63" t="str">
            <v>Nicolai</v>
          </cell>
        </row>
        <row r="64">
          <cell r="A64" t="str">
            <v>050P/212AQL</v>
          </cell>
          <cell r="B64" t="str">
            <v>PG MC</v>
          </cell>
          <cell r="C64" t="str">
            <v>Änderungsjahre</v>
          </cell>
          <cell r="D64" t="str">
            <v>Nicolai</v>
          </cell>
        </row>
        <row r="65">
          <cell r="A65" t="str">
            <v>050P/212AQQ</v>
          </cell>
          <cell r="B65" t="str">
            <v>PG MC</v>
          </cell>
          <cell r="C65" t="str">
            <v>Änderungsjahre</v>
          </cell>
          <cell r="D65" t="str">
            <v>Nicolai</v>
          </cell>
        </row>
        <row r="66">
          <cell r="A66" t="str">
            <v>050P/212AT#</v>
          </cell>
          <cell r="B66" t="str">
            <v>PG MC</v>
          </cell>
          <cell r="C66" t="str">
            <v>Änderungsjahre</v>
          </cell>
          <cell r="D66" t="str">
            <v>Nicolai</v>
          </cell>
        </row>
        <row r="67">
          <cell r="A67" t="str">
            <v>050P/212ATC</v>
          </cell>
          <cell r="B67" t="str">
            <v>PG MC</v>
          </cell>
          <cell r="C67" t="str">
            <v>Änderungsjahre</v>
          </cell>
          <cell r="D67" t="str">
            <v>Nicolai</v>
          </cell>
        </row>
        <row r="68">
          <cell r="A68" t="str">
            <v>050P/212ATE</v>
          </cell>
          <cell r="B68" t="str">
            <v>PG MC</v>
          </cell>
          <cell r="C68" t="str">
            <v>Änderungsjahre</v>
          </cell>
          <cell r="D68" t="str">
            <v>Nicolai</v>
          </cell>
        </row>
        <row r="69">
          <cell r="A69" t="str">
            <v>050P/212ATG</v>
          </cell>
          <cell r="B69" t="str">
            <v>PG MC</v>
          </cell>
          <cell r="C69" t="str">
            <v>Änderungsjahre</v>
          </cell>
          <cell r="D69" t="str">
            <v>Nicolai</v>
          </cell>
        </row>
        <row r="70">
          <cell r="A70" t="str">
            <v>050P/212ATL</v>
          </cell>
          <cell r="B70" t="str">
            <v>PG MC</v>
          </cell>
          <cell r="C70" t="str">
            <v>Änderungsjahre</v>
          </cell>
          <cell r="D70" t="str">
            <v>Nicolai</v>
          </cell>
        </row>
        <row r="71">
          <cell r="A71" t="str">
            <v>050P/212ATO</v>
          </cell>
          <cell r="B71" t="str">
            <v>PG MC</v>
          </cell>
          <cell r="C71" t="str">
            <v>Änderungsjahre</v>
          </cell>
          <cell r="D71" t="str">
            <v>Nicolai</v>
          </cell>
        </row>
        <row r="72">
          <cell r="A72" t="str">
            <v>050P/212ATP</v>
          </cell>
          <cell r="B72" t="str">
            <v>PG MC</v>
          </cell>
          <cell r="C72" t="str">
            <v>Änderungsjahre</v>
          </cell>
          <cell r="D72" t="str">
            <v>Nicolai</v>
          </cell>
        </row>
        <row r="73">
          <cell r="A73" t="str">
            <v>050P/212L##</v>
          </cell>
          <cell r="B73" t="str">
            <v>PG MC</v>
          </cell>
          <cell r="C73" t="str">
            <v>Änderungen lfd. Serie</v>
          </cell>
          <cell r="D73" t="str">
            <v>Nicolai</v>
          </cell>
        </row>
        <row r="74">
          <cell r="A74" t="str">
            <v>050P/212L0C</v>
          </cell>
          <cell r="B74" t="str">
            <v>PG MC</v>
          </cell>
          <cell r="C74" t="str">
            <v>Änderungen lfd. Serie</v>
          </cell>
          <cell r="D74" t="str">
            <v>Nicolai</v>
          </cell>
        </row>
        <row r="75">
          <cell r="A75" t="str">
            <v>050P/212L0E</v>
          </cell>
          <cell r="B75" t="str">
            <v>PG MC</v>
          </cell>
          <cell r="C75" t="str">
            <v>Änderungen lfd. Serie</v>
          </cell>
          <cell r="D75" t="str">
            <v>Nicolai</v>
          </cell>
        </row>
        <row r="76">
          <cell r="A76" t="str">
            <v>050P/212L0G</v>
          </cell>
          <cell r="B76" t="str">
            <v>PG MC</v>
          </cell>
          <cell r="C76" t="str">
            <v>Änderungen lfd. Serie</v>
          </cell>
          <cell r="D76" t="str">
            <v>Nicolai</v>
          </cell>
        </row>
        <row r="77">
          <cell r="A77" t="str">
            <v>050P/212L0L</v>
          </cell>
          <cell r="B77" t="str">
            <v>PG MC</v>
          </cell>
          <cell r="C77" t="str">
            <v>Änderungen lfd. Serie</v>
          </cell>
          <cell r="D77" t="str">
            <v>Nicolai</v>
          </cell>
        </row>
        <row r="78">
          <cell r="A78" t="str">
            <v>050P/212L0P</v>
          </cell>
          <cell r="B78" t="str">
            <v>PG MC</v>
          </cell>
          <cell r="C78" t="str">
            <v>Änderungen lfd. Serie</v>
          </cell>
          <cell r="D78" t="str">
            <v>Nicolai</v>
          </cell>
        </row>
        <row r="79">
          <cell r="A79" t="str">
            <v>050P/212L0Q</v>
          </cell>
          <cell r="B79" t="str">
            <v>PG MC</v>
          </cell>
          <cell r="C79" t="str">
            <v>Änderungen lfd. Serie</v>
          </cell>
          <cell r="D79" t="str">
            <v>Nicolai</v>
          </cell>
        </row>
        <row r="80">
          <cell r="A80" t="str">
            <v>050P/212L0S</v>
          </cell>
          <cell r="B80" t="str">
            <v>PG MC</v>
          </cell>
          <cell r="C80" t="str">
            <v>Änderungen lfd. Serie</v>
          </cell>
          <cell r="D80" t="str">
            <v>Nicolai</v>
          </cell>
        </row>
        <row r="81">
          <cell r="A81" t="str">
            <v>050P/212L1C</v>
          </cell>
          <cell r="B81" t="str">
            <v>PG MC</v>
          </cell>
          <cell r="C81" t="str">
            <v>Änderungen lfd. Serie</v>
          </cell>
          <cell r="D81" t="str">
            <v>Nicolai</v>
          </cell>
        </row>
        <row r="82">
          <cell r="A82" t="str">
            <v>050P/212L1E</v>
          </cell>
          <cell r="B82" t="str">
            <v>PG MC</v>
          </cell>
          <cell r="C82" t="str">
            <v>Änderungen lfd. Serie</v>
          </cell>
          <cell r="D82" t="str">
            <v>Nicolai</v>
          </cell>
        </row>
        <row r="83">
          <cell r="A83" t="str">
            <v>050P/212L1G</v>
          </cell>
          <cell r="B83" t="str">
            <v>PG MC</v>
          </cell>
          <cell r="C83" t="str">
            <v>Änderungen lfd. Serie</v>
          </cell>
          <cell r="D83" t="str">
            <v>Nicolai</v>
          </cell>
        </row>
        <row r="84">
          <cell r="A84" t="str">
            <v>050P/212L1L</v>
          </cell>
          <cell r="B84" t="str">
            <v>PG MC</v>
          </cell>
          <cell r="C84" t="str">
            <v>Änderungen lfd. Serie</v>
          </cell>
          <cell r="D84" t="str">
            <v>Nicolai</v>
          </cell>
        </row>
        <row r="85">
          <cell r="A85" t="str">
            <v>050P/212L1P</v>
          </cell>
          <cell r="B85" t="str">
            <v>PG MC</v>
          </cell>
          <cell r="C85" t="str">
            <v>Änderungen lfd. Serie</v>
          </cell>
          <cell r="D85" t="str">
            <v>Nicolai</v>
          </cell>
        </row>
        <row r="86">
          <cell r="A86" t="str">
            <v>050P/212L1S</v>
          </cell>
          <cell r="B86" t="str">
            <v>PG MC</v>
          </cell>
          <cell r="C86" t="str">
            <v>Änderungen lfd. Serie</v>
          </cell>
          <cell r="D86" t="str">
            <v>Nicolai</v>
          </cell>
        </row>
        <row r="87">
          <cell r="A87" t="str">
            <v>050P/212L2#</v>
          </cell>
          <cell r="B87" t="str">
            <v>PG MC</v>
          </cell>
          <cell r="C87" t="str">
            <v>Änderungen lfd. Serie</v>
          </cell>
          <cell r="D87" t="str">
            <v>Nicolai</v>
          </cell>
        </row>
        <row r="88">
          <cell r="A88" t="str">
            <v>050P/212L2C</v>
          </cell>
          <cell r="B88" t="str">
            <v>PG MC</v>
          </cell>
          <cell r="C88" t="str">
            <v>Änderungen lfd. Serie</v>
          </cell>
          <cell r="D88" t="str">
            <v>Nicolai</v>
          </cell>
        </row>
        <row r="89">
          <cell r="A89" t="str">
            <v>050P/212L2E</v>
          </cell>
          <cell r="B89" t="str">
            <v>PG MC</v>
          </cell>
          <cell r="C89" t="str">
            <v>Änderungen lfd. Serie</v>
          </cell>
          <cell r="D89" t="str">
            <v>Nicolai</v>
          </cell>
        </row>
        <row r="90">
          <cell r="A90" t="str">
            <v>050P/212L2G</v>
          </cell>
          <cell r="B90" t="str">
            <v>PG MC</v>
          </cell>
          <cell r="C90" t="str">
            <v>Änderungen lfd. Serie</v>
          </cell>
          <cell r="D90" t="str">
            <v>Nicolai</v>
          </cell>
        </row>
        <row r="91">
          <cell r="A91" t="str">
            <v>050P/212L2L</v>
          </cell>
          <cell r="B91" t="str">
            <v>PG MC</v>
          </cell>
          <cell r="C91" t="str">
            <v>Änderungen lfd. Serie</v>
          </cell>
          <cell r="D91" t="str">
            <v>Nicolai</v>
          </cell>
        </row>
        <row r="92">
          <cell r="A92" t="str">
            <v>050P/212L2P</v>
          </cell>
          <cell r="B92" t="str">
            <v>PG MC</v>
          </cell>
          <cell r="C92" t="str">
            <v>Änderungen lfd. Serie</v>
          </cell>
          <cell r="D92" t="str">
            <v>Nicolai</v>
          </cell>
        </row>
        <row r="93">
          <cell r="A93" t="str">
            <v>050P/212L2S</v>
          </cell>
          <cell r="B93" t="str">
            <v>PG MC</v>
          </cell>
          <cell r="C93" t="str">
            <v>Änderungen lfd. Serie</v>
          </cell>
          <cell r="D93" t="str">
            <v>Nicolai</v>
          </cell>
        </row>
        <row r="94">
          <cell r="A94" t="str">
            <v>050P/212L3#</v>
          </cell>
          <cell r="B94" t="str">
            <v>PG MC</v>
          </cell>
          <cell r="C94" t="str">
            <v>Änderungen lfd. Serie</v>
          </cell>
          <cell r="D94" t="str">
            <v>Nicolai</v>
          </cell>
        </row>
        <row r="95">
          <cell r="A95" t="str">
            <v>050P/212L3C</v>
          </cell>
          <cell r="B95" t="str">
            <v>PG MC</v>
          </cell>
          <cell r="C95" t="str">
            <v>Änderungen lfd. Serie</v>
          </cell>
          <cell r="D95" t="str">
            <v>Nicolai</v>
          </cell>
        </row>
        <row r="96">
          <cell r="A96" t="str">
            <v>050P/212L3E</v>
          </cell>
          <cell r="B96" t="str">
            <v>PG MC</v>
          </cell>
          <cell r="C96" t="str">
            <v>Änderungen lfd. Serie</v>
          </cell>
          <cell r="D96" t="str">
            <v>Nicolai</v>
          </cell>
        </row>
        <row r="97">
          <cell r="A97" t="str">
            <v>050P/212L3L</v>
          </cell>
          <cell r="B97" t="str">
            <v>PG MC</v>
          </cell>
          <cell r="C97" t="str">
            <v>Änderungen lfd. Serie</v>
          </cell>
          <cell r="D97" t="str">
            <v>Nicolai</v>
          </cell>
        </row>
        <row r="98">
          <cell r="A98" t="str">
            <v>050P/212M1#</v>
          </cell>
          <cell r="B98" t="str">
            <v>PG MC</v>
          </cell>
          <cell r="C98" t="str">
            <v>MOPFen</v>
          </cell>
          <cell r="D98" t="str">
            <v>Nicolai</v>
          </cell>
        </row>
        <row r="99">
          <cell r="A99" t="str">
            <v>050P/212NG#</v>
          </cell>
          <cell r="B99" t="str">
            <v>PG MC</v>
          </cell>
          <cell r="C99" t="str">
            <v>Änderungen lfd. Serie</v>
          </cell>
          <cell r="D99" t="str">
            <v>Nicolai</v>
          </cell>
        </row>
        <row r="100">
          <cell r="A100" t="str">
            <v>050P/212NGC</v>
          </cell>
          <cell r="B100" t="str">
            <v>PG MC</v>
          </cell>
          <cell r="C100" t="str">
            <v>Änderungen lfd. Serie</v>
          </cell>
          <cell r="D100" t="str">
            <v>Nicolai</v>
          </cell>
        </row>
        <row r="101">
          <cell r="A101" t="str">
            <v>050P/212NGE</v>
          </cell>
          <cell r="B101" t="str">
            <v>PG MC</v>
          </cell>
          <cell r="C101" t="str">
            <v>Änderungen lfd. Serie</v>
          </cell>
          <cell r="D101" t="str">
            <v>Nicolai</v>
          </cell>
        </row>
        <row r="102">
          <cell r="A102" t="str">
            <v>050P/212NGS</v>
          </cell>
          <cell r="B102" t="str">
            <v>PG MC</v>
          </cell>
          <cell r="C102" t="str">
            <v>Änderungen lfd. Serie</v>
          </cell>
          <cell r="D102" t="str">
            <v>Nicolai</v>
          </cell>
        </row>
        <row r="103">
          <cell r="A103" t="str">
            <v>050P/213A##</v>
          </cell>
          <cell r="B103" t="str">
            <v>PG MC</v>
          </cell>
          <cell r="C103" t="str">
            <v>Änderungsjahre</v>
          </cell>
          <cell r="D103" t="str">
            <v>Nicolai</v>
          </cell>
        </row>
        <row r="104">
          <cell r="A104" t="str">
            <v>050P/213A#P</v>
          </cell>
          <cell r="B104" t="str">
            <v>PG MC</v>
          </cell>
          <cell r="C104" t="str">
            <v>Änderungsjahre</v>
          </cell>
          <cell r="D104" t="str">
            <v>Nicolai</v>
          </cell>
        </row>
        <row r="105">
          <cell r="A105" t="str">
            <v>050P/213L##</v>
          </cell>
          <cell r="B105" t="str">
            <v>PG MC</v>
          </cell>
          <cell r="C105" t="str">
            <v>Änderungen lfd. Serie</v>
          </cell>
          <cell r="D105" t="str">
            <v>Nicolai</v>
          </cell>
        </row>
        <row r="106">
          <cell r="A106" t="str">
            <v>050P/213L#P</v>
          </cell>
          <cell r="B106" t="str">
            <v>PG MC</v>
          </cell>
          <cell r="C106" t="str">
            <v>Änderungen lfd. Serie</v>
          </cell>
          <cell r="D106" t="str">
            <v>Nicolai</v>
          </cell>
        </row>
        <row r="107">
          <cell r="A107" t="str">
            <v>050P/213LN#</v>
          </cell>
          <cell r="B107" t="str">
            <v>PG MC</v>
          </cell>
          <cell r="C107" t="str">
            <v>Änderungen lfd. Serie</v>
          </cell>
          <cell r="D107" t="str">
            <v>Nicolai</v>
          </cell>
        </row>
        <row r="108">
          <cell r="A108" t="str">
            <v>050P/213LNP</v>
          </cell>
          <cell r="B108" t="str">
            <v>PG MC</v>
          </cell>
          <cell r="C108" t="str">
            <v>Änderungen lfd. Serie</v>
          </cell>
          <cell r="D108" t="str">
            <v>Nicolai</v>
          </cell>
        </row>
        <row r="109">
          <cell r="A109" t="str">
            <v>050P/213M1#</v>
          </cell>
          <cell r="B109" t="str">
            <v>PG MC</v>
          </cell>
          <cell r="C109" t="str">
            <v>MOPFen</v>
          </cell>
          <cell r="D109" t="str">
            <v>Nicolai</v>
          </cell>
        </row>
        <row r="110">
          <cell r="A110" t="str">
            <v>050P/213SN#</v>
          </cell>
          <cell r="B110" t="str">
            <v>PG MC</v>
          </cell>
          <cell r="C110" t="str">
            <v>Nachfolgeprj. Neutyp</v>
          </cell>
          <cell r="D110" t="str">
            <v>Nicolai</v>
          </cell>
        </row>
        <row r="111">
          <cell r="A111" t="str">
            <v>050P/216APL</v>
          </cell>
          <cell r="B111" t="str">
            <v>PG LC</v>
          </cell>
          <cell r="C111" t="str">
            <v>Änderungsjahre</v>
          </cell>
          <cell r="D111" t="str">
            <v>Ettischer</v>
          </cell>
        </row>
        <row r="112">
          <cell r="A112" t="str">
            <v>050P/216APQ</v>
          </cell>
          <cell r="B112" t="str">
            <v>PG LC</v>
          </cell>
          <cell r="C112" t="str">
            <v>Änderungsjahre</v>
          </cell>
          <cell r="D112" t="str">
            <v>Ettischer</v>
          </cell>
        </row>
        <row r="113">
          <cell r="A113" t="str">
            <v>050P/216APS</v>
          </cell>
          <cell r="B113" t="str">
            <v>PG LC</v>
          </cell>
          <cell r="C113" t="str">
            <v>Änderungsjahre</v>
          </cell>
          <cell r="D113" t="str">
            <v>Ettischer</v>
          </cell>
        </row>
        <row r="114">
          <cell r="A114" t="str">
            <v>050P/216AQL</v>
          </cell>
          <cell r="B114" t="str">
            <v>PG LC</v>
          </cell>
          <cell r="C114" t="str">
            <v>Änderungsjahre</v>
          </cell>
          <cell r="D114" t="str">
            <v>Ettischer</v>
          </cell>
        </row>
        <row r="115">
          <cell r="A115" t="str">
            <v>050P/216AQQ</v>
          </cell>
          <cell r="B115" t="str">
            <v>PG LC</v>
          </cell>
          <cell r="C115" t="str">
            <v>Änderungsjahre</v>
          </cell>
          <cell r="D115" t="str">
            <v>Ettischer</v>
          </cell>
        </row>
        <row r="116">
          <cell r="A116" t="str">
            <v>050P/216AQS</v>
          </cell>
          <cell r="B116" t="str">
            <v>PG LC</v>
          </cell>
          <cell r="C116" t="str">
            <v>Änderungsjahre</v>
          </cell>
          <cell r="D116" t="str">
            <v>Ettischer</v>
          </cell>
        </row>
        <row r="117">
          <cell r="A117" t="str">
            <v>050P/216L##</v>
          </cell>
          <cell r="B117" t="str">
            <v>PG LC</v>
          </cell>
          <cell r="C117" t="str">
            <v>Änderungen lfd. Serie</v>
          </cell>
          <cell r="D117" t="str">
            <v>Ettischer</v>
          </cell>
        </row>
        <row r="118">
          <cell r="A118" t="str">
            <v>050P/216L0L</v>
          </cell>
          <cell r="B118" t="str">
            <v>PG LC</v>
          </cell>
          <cell r="C118" t="str">
            <v>Änderungen lfd. Serie</v>
          </cell>
          <cell r="D118" t="str">
            <v>Ettischer</v>
          </cell>
        </row>
        <row r="119">
          <cell r="A119" t="str">
            <v>050P/216L0S</v>
          </cell>
          <cell r="B119" t="str">
            <v>PG LC</v>
          </cell>
          <cell r="C119" t="str">
            <v>Änderungen lfd. Serie</v>
          </cell>
          <cell r="D119" t="str">
            <v>Ettischer</v>
          </cell>
        </row>
        <row r="120">
          <cell r="A120" t="str">
            <v>050P/216L1L</v>
          </cell>
          <cell r="B120" t="str">
            <v>PG LC</v>
          </cell>
          <cell r="C120" t="str">
            <v>Änderungen lfd. Serie</v>
          </cell>
          <cell r="D120" t="str">
            <v>Ettischer</v>
          </cell>
        </row>
        <row r="121">
          <cell r="A121" t="str">
            <v>050P/216L2#</v>
          </cell>
          <cell r="B121" t="str">
            <v>PG LC</v>
          </cell>
          <cell r="C121" t="str">
            <v>Änderungen lfd. Serie</v>
          </cell>
          <cell r="D121" t="str">
            <v>Ettischer</v>
          </cell>
        </row>
        <row r="122">
          <cell r="A122" t="str">
            <v>050P/216L2L</v>
          </cell>
          <cell r="B122" t="str">
            <v>PG LC</v>
          </cell>
          <cell r="C122" t="str">
            <v>Änderungen lfd. Serie</v>
          </cell>
          <cell r="D122" t="str">
            <v>Ettischer</v>
          </cell>
        </row>
        <row r="123">
          <cell r="A123" t="str">
            <v>050P/216L3S</v>
          </cell>
          <cell r="B123" t="str">
            <v>PG LC</v>
          </cell>
          <cell r="C123" t="str">
            <v>Änderungen lfd. Serie</v>
          </cell>
          <cell r="D123" t="str">
            <v>Ettischer</v>
          </cell>
        </row>
        <row r="124">
          <cell r="A124" t="str">
            <v>050P/216L9G</v>
          </cell>
          <cell r="B124" t="str">
            <v>PG LC</v>
          </cell>
          <cell r="C124" t="str">
            <v>Änderungen lfd. Serie</v>
          </cell>
          <cell r="D124" t="str">
            <v>Ettischer</v>
          </cell>
        </row>
        <row r="125">
          <cell r="A125" t="str">
            <v>050P/218A##</v>
          </cell>
          <cell r="B125" t="str">
            <v>PG MC</v>
          </cell>
          <cell r="C125" t="str">
            <v>Änderungsjahre</v>
          </cell>
          <cell r="D125" t="str">
            <v>Nicolai</v>
          </cell>
        </row>
        <row r="126">
          <cell r="A126" t="str">
            <v>050P/218AQ#</v>
          </cell>
          <cell r="B126" t="str">
            <v>PG MC</v>
          </cell>
          <cell r="C126" t="str">
            <v>Änderungsjahre</v>
          </cell>
          <cell r="D126" t="str">
            <v>Nicolai</v>
          </cell>
        </row>
        <row r="127">
          <cell r="A127" t="str">
            <v>050P/218AQC</v>
          </cell>
          <cell r="B127" t="str">
            <v>PG MC</v>
          </cell>
          <cell r="C127" t="str">
            <v>Änderungsjahre</v>
          </cell>
          <cell r="D127" t="str">
            <v>Nicolai</v>
          </cell>
        </row>
        <row r="128">
          <cell r="A128" t="str">
            <v>050P/218AQL</v>
          </cell>
          <cell r="B128" t="str">
            <v>PG MC</v>
          </cell>
          <cell r="C128" t="str">
            <v>Änderungsjahre</v>
          </cell>
          <cell r="D128" t="str">
            <v>Nicolai</v>
          </cell>
        </row>
        <row r="129">
          <cell r="A129" t="str">
            <v>050P/218AQQ</v>
          </cell>
          <cell r="B129" t="str">
            <v>PG MC</v>
          </cell>
          <cell r="C129" t="str">
            <v>Änderungsjahre</v>
          </cell>
          <cell r="D129" t="str">
            <v>Nicolai</v>
          </cell>
        </row>
        <row r="130">
          <cell r="A130" t="str">
            <v>050P/218AS#</v>
          </cell>
          <cell r="B130" t="str">
            <v>PG MC</v>
          </cell>
          <cell r="C130" t="str">
            <v>Änderungsjahre</v>
          </cell>
          <cell r="D130" t="str">
            <v>Nicolai</v>
          </cell>
        </row>
        <row r="131">
          <cell r="A131" t="str">
            <v>050P/218ASC</v>
          </cell>
          <cell r="B131" t="str">
            <v>PG MC</v>
          </cell>
          <cell r="C131" t="str">
            <v>Änderungsjahre</v>
          </cell>
          <cell r="D131" t="str">
            <v>Nicolai</v>
          </cell>
        </row>
        <row r="132">
          <cell r="A132" t="str">
            <v>050P/218ASL</v>
          </cell>
          <cell r="B132" t="str">
            <v>PG MC</v>
          </cell>
          <cell r="C132" t="str">
            <v>Änderungsjahre</v>
          </cell>
          <cell r="D132" t="str">
            <v>Nicolai</v>
          </cell>
        </row>
        <row r="133">
          <cell r="A133" t="str">
            <v>050P/218ASQ</v>
          </cell>
          <cell r="B133" t="str">
            <v>PG MC</v>
          </cell>
          <cell r="C133" t="str">
            <v>Änderungsjahre</v>
          </cell>
          <cell r="D133" t="str">
            <v>Nicolai</v>
          </cell>
        </row>
        <row r="134">
          <cell r="A134" t="str">
            <v>050P/218L##</v>
          </cell>
          <cell r="B134" t="str">
            <v>PG MC</v>
          </cell>
          <cell r="C134" t="str">
            <v>Änderungen lfd. Serie</v>
          </cell>
          <cell r="D134" t="str">
            <v>Nicolai</v>
          </cell>
        </row>
        <row r="135">
          <cell r="A135" t="str">
            <v>050P/218L#G</v>
          </cell>
          <cell r="B135" t="str">
            <v>PG MC</v>
          </cell>
          <cell r="C135" t="str">
            <v>Änderungen lfd. Serie</v>
          </cell>
          <cell r="D135" t="str">
            <v>Nicolai</v>
          </cell>
        </row>
        <row r="136">
          <cell r="A136" t="str">
            <v>050P/218L1C</v>
          </cell>
          <cell r="B136" t="str">
            <v>PG MC</v>
          </cell>
          <cell r="C136" t="str">
            <v>Änderungen lfd. Serie</v>
          </cell>
          <cell r="D136" t="str">
            <v>Nicolai</v>
          </cell>
        </row>
        <row r="137">
          <cell r="A137" t="str">
            <v>050P/218L1G</v>
          </cell>
          <cell r="B137" t="str">
            <v>PG MC</v>
          </cell>
          <cell r="C137" t="str">
            <v>Änderungen lfd. Serie</v>
          </cell>
          <cell r="D137" t="str">
            <v>Nicolai</v>
          </cell>
        </row>
        <row r="138">
          <cell r="A138" t="str">
            <v>050P/218L1L</v>
          </cell>
          <cell r="B138" t="str">
            <v>PG MC</v>
          </cell>
          <cell r="C138" t="str">
            <v>Änderungen lfd. Serie</v>
          </cell>
          <cell r="D138" t="str">
            <v>Nicolai</v>
          </cell>
        </row>
        <row r="139">
          <cell r="A139" t="str">
            <v>050P/218L1P</v>
          </cell>
          <cell r="B139" t="str">
            <v>PG MC</v>
          </cell>
          <cell r="C139" t="str">
            <v>Änderungen lfd. Serie</v>
          </cell>
          <cell r="D139" t="str">
            <v>Nicolai</v>
          </cell>
        </row>
        <row r="140">
          <cell r="A140" t="str">
            <v>050P/218L1Q</v>
          </cell>
          <cell r="B140" t="str">
            <v>PG MC</v>
          </cell>
          <cell r="C140" t="str">
            <v>Änderungen lfd. Serie</v>
          </cell>
          <cell r="D140" t="str">
            <v>Nicolai</v>
          </cell>
        </row>
        <row r="141">
          <cell r="A141" t="str">
            <v>050P/218L2#</v>
          </cell>
          <cell r="B141" t="str">
            <v>PG MC</v>
          </cell>
          <cell r="C141" t="str">
            <v>Änderungen lfd. Serie</v>
          </cell>
          <cell r="D141" t="str">
            <v>Nicolai</v>
          </cell>
        </row>
        <row r="142">
          <cell r="A142" t="str">
            <v>050P/218L2G</v>
          </cell>
          <cell r="B142" t="str">
            <v>PG MC</v>
          </cell>
          <cell r="C142" t="str">
            <v>Änderungen lfd. Serie</v>
          </cell>
          <cell r="D142" t="str">
            <v>Nicolai</v>
          </cell>
        </row>
        <row r="143">
          <cell r="A143" t="str">
            <v>050P/218L2L</v>
          </cell>
          <cell r="B143" t="str">
            <v>PG MC</v>
          </cell>
          <cell r="C143" t="str">
            <v>Änderungen lfd. Serie</v>
          </cell>
          <cell r="D143" t="str">
            <v>Nicolai</v>
          </cell>
        </row>
        <row r="144">
          <cell r="A144" t="str">
            <v>050P/218L2P</v>
          </cell>
          <cell r="B144" t="str">
            <v>PG MC</v>
          </cell>
          <cell r="C144" t="str">
            <v>Änderungen lfd. Serie</v>
          </cell>
          <cell r="D144" t="str">
            <v>Nicolai</v>
          </cell>
        </row>
        <row r="145">
          <cell r="A145" t="str">
            <v>050P/218L3#</v>
          </cell>
          <cell r="B145" t="str">
            <v>PG MC</v>
          </cell>
          <cell r="C145" t="str">
            <v>Änderungen lfd. Serie</v>
          </cell>
          <cell r="D145" t="str">
            <v>Nicolai</v>
          </cell>
        </row>
        <row r="146">
          <cell r="A146" t="str">
            <v>050P/218L3L</v>
          </cell>
          <cell r="B146" t="str">
            <v>PG MC</v>
          </cell>
          <cell r="C146" t="str">
            <v>Änderungen lfd. Serie</v>
          </cell>
          <cell r="D146" t="str">
            <v>Nicolai</v>
          </cell>
        </row>
        <row r="147">
          <cell r="A147" t="str">
            <v>050P/218M1#</v>
          </cell>
          <cell r="B147" t="str">
            <v>PG MC</v>
          </cell>
          <cell r="C147" t="str">
            <v>MOPFen</v>
          </cell>
          <cell r="D147" t="str">
            <v>Nicolai</v>
          </cell>
        </row>
        <row r="148">
          <cell r="A148" t="str">
            <v>050P/219AJL</v>
          </cell>
          <cell r="B148" t="str">
            <v>PG MC</v>
          </cell>
          <cell r="C148" t="str">
            <v>Änderungsjahre</v>
          </cell>
          <cell r="D148" t="str">
            <v>Nicolai</v>
          </cell>
        </row>
        <row r="149">
          <cell r="A149" t="str">
            <v>050P/221AO#</v>
          </cell>
          <cell r="B149" t="str">
            <v>PG LC</v>
          </cell>
          <cell r="C149" t="str">
            <v>Änderungsjahre</v>
          </cell>
          <cell r="D149" t="str">
            <v>Ettischer</v>
          </cell>
        </row>
        <row r="150">
          <cell r="A150" t="str">
            <v>050P/221AOL</v>
          </cell>
          <cell r="B150" t="str">
            <v>PG LC</v>
          </cell>
          <cell r="C150" t="str">
            <v>Änderungsjahre</v>
          </cell>
          <cell r="D150" t="str">
            <v>Ettischer</v>
          </cell>
        </row>
        <row r="151">
          <cell r="A151" t="str">
            <v>050P/221AOQ</v>
          </cell>
          <cell r="B151" t="str">
            <v>PG LC</v>
          </cell>
          <cell r="C151" t="str">
            <v>Änderungsjahre</v>
          </cell>
          <cell r="D151" t="str">
            <v>Ettischer</v>
          </cell>
        </row>
        <row r="152">
          <cell r="A152" t="str">
            <v>050P/221AOS</v>
          </cell>
          <cell r="B152" t="str">
            <v>PG LC</v>
          </cell>
          <cell r="C152" t="str">
            <v>Änderungsjahre</v>
          </cell>
          <cell r="D152" t="str">
            <v>Ettischer</v>
          </cell>
        </row>
        <row r="153">
          <cell r="A153" t="str">
            <v>050P/221APL</v>
          </cell>
          <cell r="B153" t="str">
            <v>PG LC</v>
          </cell>
          <cell r="C153" t="str">
            <v>Änderungsjahre</v>
          </cell>
          <cell r="D153" t="str">
            <v>Ettischer</v>
          </cell>
        </row>
        <row r="154">
          <cell r="A154" t="str">
            <v>050P/221APQ</v>
          </cell>
          <cell r="B154" t="str">
            <v>PG LC</v>
          </cell>
          <cell r="C154" t="str">
            <v>Änderungsjahre</v>
          </cell>
          <cell r="D154" t="str">
            <v>Ettischer</v>
          </cell>
        </row>
        <row r="155">
          <cell r="A155" t="str">
            <v>050P/221APS</v>
          </cell>
          <cell r="B155" t="str">
            <v>PG LC</v>
          </cell>
          <cell r="C155" t="str">
            <v>Änderungsjahre</v>
          </cell>
          <cell r="D155" t="str">
            <v>Ettischer</v>
          </cell>
        </row>
        <row r="156">
          <cell r="A156" t="str">
            <v>050P/221L0G</v>
          </cell>
          <cell r="B156" t="str">
            <v>PG LC</v>
          </cell>
          <cell r="C156" t="str">
            <v>Änderungen lfd. Serie</v>
          </cell>
          <cell r="D156" t="str">
            <v>Ettischer</v>
          </cell>
        </row>
        <row r="157">
          <cell r="A157" t="str">
            <v>050P/221L0L</v>
          </cell>
          <cell r="B157" t="str">
            <v>PG LC</v>
          </cell>
          <cell r="C157" t="str">
            <v>Änderungen lfd. Serie</v>
          </cell>
          <cell r="D157" t="str">
            <v>Ettischer</v>
          </cell>
        </row>
        <row r="158">
          <cell r="A158" t="str">
            <v>050P/221L1G</v>
          </cell>
          <cell r="B158" t="str">
            <v>PG LC</v>
          </cell>
          <cell r="C158" t="str">
            <v>Änderungen lfd. Serie</v>
          </cell>
          <cell r="D158" t="str">
            <v>Ettischer</v>
          </cell>
        </row>
        <row r="159">
          <cell r="A159" t="str">
            <v>050P/221L1L</v>
          </cell>
          <cell r="B159" t="str">
            <v>PG LC</v>
          </cell>
          <cell r="C159" t="str">
            <v>Änderungen lfd. Serie</v>
          </cell>
          <cell r="D159" t="str">
            <v>Ettischer</v>
          </cell>
        </row>
        <row r="160">
          <cell r="A160" t="str">
            <v>050P/221L1S</v>
          </cell>
          <cell r="B160" t="str">
            <v>PG LC</v>
          </cell>
          <cell r="C160" t="str">
            <v>Änderungen lfd. Serie</v>
          </cell>
          <cell r="D160" t="str">
            <v>Ettischer</v>
          </cell>
        </row>
        <row r="161">
          <cell r="A161" t="str">
            <v>050P/221L2#</v>
          </cell>
          <cell r="B161" t="str">
            <v>PG LC</v>
          </cell>
          <cell r="C161" t="str">
            <v>Änderungen lfd. Serie</v>
          </cell>
          <cell r="D161" t="str">
            <v>Ettischer</v>
          </cell>
        </row>
        <row r="162">
          <cell r="A162" t="str">
            <v>050P/221L2G</v>
          </cell>
          <cell r="B162" t="str">
            <v>PG LC</v>
          </cell>
          <cell r="C162" t="str">
            <v>Änderungen lfd. Serie</v>
          </cell>
          <cell r="D162" t="str">
            <v>Ettischer</v>
          </cell>
        </row>
        <row r="163">
          <cell r="A163" t="str">
            <v>050P/221L2L</v>
          </cell>
          <cell r="B163" t="str">
            <v>PG LC</v>
          </cell>
          <cell r="C163" t="str">
            <v>Änderungen lfd. Serie</v>
          </cell>
          <cell r="D163" t="str">
            <v>Ettischer</v>
          </cell>
        </row>
        <row r="164">
          <cell r="A164" t="str">
            <v>050P/221L2S</v>
          </cell>
          <cell r="B164" t="str">
            <v>PG LC</v>
          </cell>
          <cell r="C164" t="str">
            <v>Änderungen lfd. Serie</v>
          </cell>
          <cell r="D164" t="str">
            <v>Ettischer</v>
          </cell>
        </row>
        <row r="165">
          <cell r="A165" t="str">
            <v>050P/221L3L</v>
          </cell>
          <cell r="B165" t="str">
            <v>PG LC</v>
          </cell>
          <cell r="C165" t="str">
            <v>Änderungen lfd. Serie</v>
          </cell>
          <cell r="D165" t="str">
            <v>Ettischer</v>
          </cell>
        </row>
        <row r="166">
          <cell r="A166" t="str">
            <v>050P/221L3S</v>
          </cell>
          <cell r="B166" t="str">
            <v>PG LC</v>
          </cell>
          <cell r="C166" t="str">
            <v>Änderungen lfd. Serie</v>
          </cell>
          <cell r="D166" t="str">
            <v>Ettischer</v>
          </cell>
        </row>
        <row r="167">
          <cell r="A167" t="str">
            <v>050P/221L9G</v>
          </cell>
          <cell r="B167" t="str">
            <v>PG LC</v>
          </cell>
          <cell r="C167" t="str">
            <v>Änderungen lfd. Serie</v>
          </cell>
          <cell r="D167" t="str">
            <v>Ettischer</v>
          </cell>
        </row>
        <row r="168">
          <cell r="A168" t="str">
            <v>050P/221L9L</v>
          </cell>
          <cell r="B168" t="str">
            <v>PG LC</v>
          </cell>
          <cell r="C168" t="str">
            <v>Änderungen lfd. Serie</v>
          </cell>
          <cell r="D168" t="str">
            <v>Ettischer</v>
          </cell>
        </row>
        <row r="169">
          <cell r="A169" t="str">
            <v>050P/222A##</v>
          </cell>
          <cell r="B169" t="str">
            <v>PG LC</v>
          </cell>
          <cell r="C169" t="str">
            <v>Änderungsjahre</v>
          </cell>
          <cell r="D169" t="str">
            <v>Ettischer</v>
          </cell>
        </row>
        <row r="170">
          <cell r="A170" t="str">
            <v>050P/222ATL</v>
          </cell>
          <cell r="B170" t="str">
            <v>PG LC</v>
          </cell>
          <cell r="C170" t="str">
            <v>Änderungsjahre</v>
          </cell>
          <cell r="D170" t="str">
            <v>Ettischer</v>
          </cell>
        </row>
        <row r="171">
          <cell r="A171" t="str">
            <v>050P/222ATQ</v>
          </cell>
          <cell r="B171" t="str">
            <v>PG LC</v>
          </cell>
          <cell r="C171" t="str">
            <v>Änderungsjahre</v>
          </cell>
          <cell r="D171" t="str">
            <v>Ettischer</v>
          </cell>
        </row>
        <row r="172">
          <cell r="A172" t="str">
            <v>050P/222ATS</v>
          </cell>
          <cell r="B172" t="str">
            <v>PG LC</v>
          </cell>
          <cell r="C172" t="str">
            <v>Änderungsjahre</v>
          </cell>
          <cell r="D172" t="str">
            <v>Ettischer</v>
          </cell>
        </row>
        <row r="173">
          <cell r="A173" t="str">
            <v>050P/222L##</v>
          </cell>
          <cell r="B173" t="str">
            <v>PG LC</v>
          </cell>
          <cell r="C173" t="str">
            <v>Änderungen lfd. Serie</v>
          </cell>
          <cell r="D173" t="str">
            <v>Ettischer</v>
          </cell>
        </row>
        <row r="174">
          <cell r="A174" t="str">
            <v>050P/222L3#</v>
          </cell>
          <cell r="B174" t="str">
            <v>PG LC</v>
          </cell>
          <cell r="C174" t="str">
            <v>Änderungen lfd. Serie</v>
          </cell>
          <cell r="D174" t="str">
            <v>Ettischer</v>
          </cell>
        </row>
        <row r="175">
          <cell r="A175" t="str">
            <v>050P/222M1#</v>
          </cell>
          <cell r="B175" t="str">
            <v>PG LC</v>
          </cell>
          <cell r="C175" t="str">
            <v>MOPFen</v>
          </cell>
          <cell r="D175" t="str">
            <v>Ettischer</v>
          </cell>
        </row>
        <row r="176">
          <cell r="A176" t="str">
            <v>050P/222NL#</v>
          </cell>
          <cell r="B176" t="str">
            <v>PG LC</v>
          </cell>
          <cell r="C176" t="str">
            <v>Änderungen lfd. Serie</v>
          </cell>
          <cell r="D176" t="str">
            <v>Ettischer</v>
          </cell>
        </row>
        <row r="177">
          <cell r="A177" t="str">
            <v>050P/222NS#</v>
          </cell>
          <cell r="B177" t="str">
            <v>PG LC</v>
          </cell>
          <cell r="C177" t="str">
            <v>Nachfolgeprj. Neutyp</v>
          </cell>
          <cell r="D177" t="str">
            <v>Ettischer</v>
          </cell>
        </row>
        <row r="178">
          <cell r="A178" t="str">
            <v>050P/240AP#</v>
          </cell>
          <cell r="B178" t="str">
            <v>PG LC</v>
          </cell>
          <cell r="C178" t="str">
            <v>Änderungsjahre</v>
          </cell>
          <cell r="D178" t="str">
            <v>Ettischer</v>
          </cell>
        </row>
        <row r="179">
          <cell r="A179" t="str">
            <v>050P/240APS</v>
          </cell>
          <cell r="B179" t="str">
            <v>PG LC</v>
          </cell>
          <cell r="C179" t="str">
            <v>Änderungsjahre</v>
          </cell>
          <cell r="D179" t="str">
            <v>Ettischer</v>
          </cell>
        </row>
        <row r="180">
          <cell r="A180" t="str">
            <v>050P/240L##</v>
          </cell>
          <cell r="B180" t="str">
            <v>PG LC</v>
          </cell>
          <cell r="C180" t="str">
            <v>Änderungen lfd. Serie</v>
          </cell>
          <cell r="D180" t="str">
            <v>Ettischer</v>
          </cell>
        </row>
        <row r="181">
          <cell r="A181" t="str">
            <v>050P/240L1L</v>
          </cell>
          <cell r="B181" t="str">
            <v>PG LC</v>
          </cell>
          <cell r="C181" t="str">
            <v>Änderungen lfd. Serie</v>
          </cell>
          <cell r="D181" t="str">
            <v>Ettischer</v>
          </cell>
        </row>
        <row r="182">
          <cell r="A182" t="str">
            <v>050P/240L2O</v>
          </cell>
          <cell r="B182" t="str">
            <v>PG LC</v>
          </cell>
          <cell r="C182" t="str">
            <v>Änderungen lfd. Serie</v>
          </cell>
          <cell r="D182" t="str">
            <v>Ettischer</v>
          </cell>
        </row>
        <row r="183">
          <cell r="A183" t="str">
            <v>050P/240L3L</v>
          </cell>
          <cell r="B183" t="str">
            <v>PG LC</v>
          </cell>
          <cell r="C183" t="str">
            <v>Änderungen lfd. Serie</v>
          </cell>
          <cell r="D183" t="str">
            <v>Ettischer</v>
          </cell>
        </row>
        <row r="184">
          <cell r="A184" t="str">
            <v>050P/246L2L</v>
          </cell>
          <cell r="B184" t="str">
            <v>PG CC</v>
          </cell>
          <cell r="C184" t="str">
            <v>Änderungen lfd. Serie</v>
          </cell>
          <cell r="D184" t="str">
            <v>Krupinski</v>
          </cell>
        </row>
        <row r="185">
          <cell r="A185" t="str">
            <v>050P/246L2P</v>
          </cell>
          <cell r="B185" t="str">
            <v>PG CC</v>
          </cell>
          <cell r="C185" t="str">
            <v>Änderungen lfd. Serie</v>
          </cell>
          <cell r="D185" t="str">
            <v>Krupinski</v>
          </cell>
        </row>
        <row r="186">
          <cell r="A186" t="str">
            <v>050P/246L3L</v>
          </cell>
          <cell r="B186" t="str">
            <v>PG CC</v>
          </cell>
          <cell r="C186" t="str">
            <v>Änderungen lfd. Serie</v>
          </cell>
          <cell r="D186" t="str">
            <v>Krupinski</v>
          </cell>
        </row>
        <row r="187">
          <cell r="A187" t="str">
            <v>050P/246L3P</v>
          </cell>
          <cell r="B187" t="str">
            <v>PG CC</v>
          </cell>
          <cell r="C187" t="str">
            <v>Änderungen lfd. Serie</v>
          </cell>
          <cell r="D187" t="str">
            <v>Krupinski</v>
          </cell>
        </row>
        <row r="188">
          <cell r="A188" t="str">
            <v>050P/251L0H</v>
          </cell>
          <cell r="B188" t="str">
            <v>PG LC</v>
          </cell>
          <cell r="C188" t="str">
            <v>Änderungen lfd. Serie</v>
          </cell>
          <cell r="D188" t="str">
            <v>Ettischer</v>
          </cell>
        </row>
        <row r="189">
          <cell r="A189" t="str">
            <v>050P/251M1H</v>
          </cell>
          <cell r="B189" t="str">
            <v>PG LC</v>
          </cell>
          <cell r="C189" t="str">
            <v>MOPFen</v>
          </cell>
          <cell r="D189" t="str">
            <v>Ettischer</v>
          </cell>
        </row>
        <row r="190">
          <cell r="A190" t="str">
            <v>050P/257A##</v>
          </cell>
          <cell r="B190" t="str">
            <v>PG MC</v>
          </cell>
          <cell r="C190" t="str">
            <v>Änderungsjahre</v>
          </cell>
          <cell r="D190" t="str">
            <v>Nicolai</v>
          </cell>
        </row>
        <row r="191">
          <cell r="A191" t="str">
            <v>050P/257A#P</v>
          </cell>
          <cell r="B191" t="str">
            <v>PG MC</v>
          </cell>
          <cell r="C191" t="str">
            <v>Änderungsjahre</v>
          </cell>
          <cell r="D191" t="str">
            <v>Nicolai</v>
          </cell>
        </row>
        <row r="192">
          <cell r="A192" t="str">
            <v>050P/257L##</v>
          </cell>
          <cell r="B192" t="str">
            <v>PG MC</v>
          </cell>
          <cell r="C192" t="str">
            <v>Änderungen lfd. Serie</v>
          </cell>
          <cell r="D192" t="str">
            <v>Nicolai</v>
          </cell>
        </row>
        <row r="193">
          <cell r="A193" t="str">
            <v>050P/257M1#</v>
          </cell>
          <cell r="B193" t="str">
            <v>PG MC</v>
          </cell>
          <cell r="C193" t="str">
            <v>MOPFen</v>
          </cell>
          <cell r="D193" t="str">
            <v>Nicolai</v>
          </cell>
        </row>
        <row r="194">
          <cell r="A194" t="str">
            <v>050P/257S##</v>
          </cell>
          <cell r="B194" t="str">
            <v>PG MC</v>
          </cell>
          <cell r="C194" t="str">
            <v>i.W. Planungsleistung W175</v>
          </cell>
          <cell r="D194" t="str">
            <v>Nicolai</v>
          </cell>
        </row>
        <row r="195">
          <cell r="A195" t="str">
            <v>050P/451APH</v>
          </cell>
          <cell r="B195" t="str">
            <v>SMART</v>
          </cell>
          <cell r="C195" t="str">
            <v>SMART</v>
          </cell>
          <cell r="D195" t="str">
            <v>Smart</v>
          </cell>
        </row>
        <row r="196">
          <cell r="A196" t="str">
            <v>050P/451AQH</v>
          </cell>
          <cell r="B196" t="str">
            <v>SMART</v>
          </cell>
          <cell r="C196" t="str">
            <v>SMART</v>
          </cell>
          <cell r="D196" t="str">
            <v>Smart</v>
          </cell>
        </row>
        <row r="197">
          <cell r="A197" t="str">
            <v>050P/451E#H</v>
          </cell>
          <cell r="B197" t="str">
            <v>SMART</v>
          </cell>
          <cell r="C197" t="str">
            <v>SMART</v>
          </cell>
          <cell r="D197" t="str">
            <v>Smart</v>
          </cell>
        </row>
        <row r="198">
          <cell r="A198" t="str">
            <v>050P/451ENH</v>
          </cell>
          <cell r="B198" t="str">
            <v>SMART</v>
          </cell>
          <cell r="C198" t="str">
            <v>SMART</v>
          </cell>
          <cell r="D198" t="str">
            <v>Smart</v>
          </cell>
        </row>
        <row r="199">
          <cell r="A199" t="str">
            <v>050P/451L#H</v>
          </cell>
          <cell r="B199" t="str">
            <v>SMART</v>
          </cell>
          <cell r="C199" t="str">
            <v>SMART</v>
          </cell>
          <cell r="D199" t="str">
            <v>Smart</v>
          </cell>
        </row>
        <row r="200">
          <cell r="A200" t="str">
            <v>050P/451L0H</v>
          </cell>
          <cell r="B200" t="str">
            <v>SMART</v>
          </cell>
          <cell r="C200" t="str">
            <v>SMART</v>
          </cell>
          <cell r="D200" t="str">
            <v>Smart</v>
          </cell>
        </row>
        <row r="201">
          <cell r="A201" t="str">
            <v>050P/451L1H</v>
          </cell>
          <cell r="B201" t="str">
            <v>SMART</v>
          </cell>
          <cell r="C201" t="str">
            <v>SMART</v>
          </cell>
          <cell r="D201" t="str">
            <v>Smart</v>
          </cell>
        </row>
        <row r="202">
          <cell r="A202" t="str">
            <v>050P/451L1P</v>
          </cell>
          <cell r="B202" t="str">
            <v>SMART</v>
          </cell>
          <cell r="C202" t="str">
            <v>SMART</v>
          </cell>
          <cell r="D202" t="str">
            <v>Smart</v>
          </cell>
        </row>
        <row r="203">
          <cell r="A203" t="str">
            <v>050P/451L2H</v>
          </cell>
          <cell r="B203" t="str">
            <v>SMART</v>
          </cell>
          <cell r="C203" t="str">
            <v>SMART</v>
          </cell>
          <cell r="D203" t="str">
            <v>Smart</v>
          </cell>
        </row>
        <row r="204">
          <cell r="A204" t="str">
            <v>050P/451L9H</v>
          </cell>
          <cell r="B204" t="str">
            <v>SMART</v>
          </cell>
          <cell r="C204" t="str">
            <v>SMART</v>
          </cell>
          <cell r="D204" t="str">
            <v>Smart</v>
          </cell>
        </row>
        <row r="205">
          <cell r="A205" t="str">
            <v>050P/451LEH</v>
          </cell>
          <cell r="B205" t="str">
            <v>SMART</v>
          </cell>
          <cell r="C205" t="str">
            <v>SMART</v>
          </cell>
          <cell r="D205" t="str">
            <v>Smart</v>
          </cell>
        </row>
        <row r="206">
          <cell r="A206" t="str">
            <v>050P/451LPH</v>
          </cell>
          <cell r="B206" t="str">
            <v>SMART</v>
          </cell>
          <cell r="C206" t="str">
            <v>SMART</v>
          </cell>
          <cell r="D206" t="str">
            <v>Smart</v>
          </cell>
        </row>
        <row r="207">
          <cell r="A207" t="str">
            <v>050P/451M1A</v>
          </cell>
          <cell r="B207" t="str">
            <v>SMART</v>
          </cell>
          <cell r="C207" t="str">
            <v>SMART</v>
          </cell>
          <cell r="D207" t="str">
            <v>Smart</v>
          </cell>
        </row>
        <row r="208">
          <cell r="A208" t="str">
            <v>050P/451M1H</v>
          </cell>
          <cell r="B208" t="str">
            <v>SMART</v>
          </cell>
          <cell r="C208" t="str">
            <v>SMART</v>
          </cell>
          <cell r="D208" t="str">
            <v>Smart</v>
          </cell>
        </row>
        <row r="209">
          <cell r="A209" t="str">
            <v>050P/451M1P</v>
          </cell>
          <cell r="B209" t="str">
            <v>SMART</v>
          </cell>
          <cell r="C209" t="str">
            <v>SMART</v>
          </cell>
          <cell r="D209" t="str">
            <v>Smart</v>
          </cell>
        </row>
        <row r="210">
          <cell r="A210" t="str">
            <v>050P/451M2H</v>
          </cell>
          <cell r="B210" t="str">
            <v>SMART</v>
          </cell>
          <cell r="C210" t="str">
            <v>SMART</v>
          </cell>
          <cell r="D210" t="str">
            <v>Smart</v>
          </cell>
        </row>
        <row r="211">
          <cell r="A211" t="str">
            <v>050P/451NAH</v>
          </cell>
          <cell r="B211" t="str">
            <v>SMART</v>
          </cell>
          <cell r="C211" t="str">
            <v>SMART</v>
          </cell>
          <cell r="D211" t="str">
            <v>Smart</v>
          </cell>
        </row>
        <row r="212">
          <cell r="A212" t="str">
            <v>050P/451NAP</v>
          </cell>
          <cell r="B212" t="str">
            <v>SMART</v>
          </cell>
          <cell r="C212" t="str">
            <v>SMART</v>
          </cell>
          <cell r="D212" t="str">
            <v>Smart</v>
          </cell>
        </row>
        <row r="213">
          <cell r="A213" t="str">
            <v>050P/451NLH</v>
          </cell>
          <cell r="B213" t="str">
            <v>SMART</v>
          </cell>
          <cell r="C213" t="str">
            <v>SMART</v>
          </cell>
          <cell r="D213" t="str">
            <v>Smart</v>
          </cell>
        </row>
        <row r="214">
          <cell r="A214" t="str">
            <v>050P/451NMH</v>
          </cell>
          <cell r="B214" t="str">
            <v>SMART</v>
          </cell>
          <cell r="C214" t="str">
            <v>SMART</v>
          </cell>
          <cell r="D214" t="str">
            <v>Smart</v>
          </cell>
        </row>
        <row r="215">
          <cell r="A215" t="str">
            <v>050P/453A#H</v>
          </cell>
          <cell r="B215" t="str">
            <v>SMART</v>
          </cell>
          <cell r="C215" t="str">
            <v>SMART</v>
          </cell>
          <cell r="D215" t="str">
            <v>Smart</v>
          </cell>
        </row>
        <row r="216">
          <cell r="A216" t="str">
            <v>050P/453L#H</v>
          </cell>
          <cell r="B216" t="str">
            <v>SMART</v>
          </cell>
          <cell r="C216" t="str">
            <v>SMART</v>
          </cell>
          <cell r="D216" t="str">
            <v>Smart</v>
          </cell>
        </row>
        <row r="217">
          <cell r="A217" t="str">
            <v>050P/453LNH</v>
          </cell>
          <cell r="B217" t="str">
            <v>SMART</v>
          </cell>
          <cell r="C217" t="str">
            <v>SMART</v>
          </cell>
          <cell r="D217" t="str">
            <v>Smart</v>
          </cell>
        </row>
        <row r="218">
          <cell r="A218" t="str">
            <v>050P/453M1H</v>
          </cell>
          <cell r="B218" t="str">
            <v>SMART</v>
          </cell>
          <cell r="C218" t="str">
            <v>SMART</v>
          </cell>
          <cell r="D218" t="str">
            <v>Smart</v>
          </cell>
        </row>
        <row r="219">
          <cell r="A219" t="str">
            <v>050P/453M2H</v>
          </cell>
          <cell r="B219" t="str">
            <v>SMART</v>
          </cell>
          <cell r="C219" t="str">
            <v>SMART</v>
          </cell>
          <cell r="D219" t="str">
            <v>Smart</v>
          </cell>
        </row>
        <row r="220">
          <cell r="A220" t="str">
            <v>050P/A17LN#</v>
          </cell>
          <cell r="B220" t="str">
            <v>PG LC</v>
          </cell>
          <cell r="C220" t="str">
            <v>Änderungen lfd. Serie</v>
          </cell>
          <cell r="D220" t="str">
            <v>Ettischer</v>
          </cell>
        </row>
        <row r="221">
          <cell r="A221" t="str">
            <v>050P/A217##</v>
          </cell>
          <cell r="B221" t="str">
            <v>PG LC</v>
          </cell>
          <cell r="C221" t="str">
            <v>Pauschalanpassung LC</v>
          </cell>
          <cell r="D221" t="str">
            <v>Ettischer</v>
          </cell>
        </row>
        <row r="222">
          <cell r="A222" t="str">
            <v>050P/A217#L</v>
          </cell>
          <cell r="B222" t="str">
            <v>PG LC</v>
          </cell>
          <cell r="C222" t="str">
            <v>Pauschalanpassung LC</v>
          </cell>
          <cell r="D222" t="str">
            <v>Ettischer</v>
          </cell>
        </row>
        <row r="223">
          <cell r="A223" t="str">
            <v>050P/A217A#</v>
          </cell>
          <cell r="B223" t="str">
            <v>PG LC</v>
          </cell>
          <cell r="C223" t="str">
            <v>Änderungsjahre</v>
          </cell>
          <cell r="D223" t="str">
            <v>Ettischer</v>
          </cell>
        </row>
        <row r="224">
          <cell r="A224" t="str">
            <v>050P/A217L#</v>
          </cell>
          <cell r="B224" t="str">
            <v>PG LC</v>
          </cell>
          <cell r="C224" t="str">
            <v>Änderungen lfd. Serie</v>
          </cell>
          <cell r="D224" t="str">
            <v>Ettischer</v>
          </cell>
        </row>
        <row r="225">
          <cell r="A225" t="str">
            <v>050P/A217LP</v>
          </cell>
          <cell r="B225" t="str">
            <v>PG LC</v>
          </cell>
          <cell r="C225" t="str">
            <v>Änderungen lfd. Serie</v>
          </cell>
          <cell r="D225" t="str">
            <v>Ettischer</v>
          </cell>
        </row>
        <row r="226">
          <cell r="A226" t="str">
            <v>050P/A217M#</v>
          </cell>
          <cell r="B226" t="str">
            <v>PG LC</v>
          </cell>
          <cell r="C226" t="str">
            <v>MOPFen</v>
          </cell>
          <cell r="D226" t="str">
            <v>Ettischer</v>
          </cell>
        </row>
        <row r="227">
          <cell r="A227" t="str">
            <v>050P/A217N#</v>
          </cell>
          <cell r="B227" t="str">
            <v>PG LC</v>
          </cell>
          <cell r="C227" t="str">
            <v>Nachfolgeprj. Neutyp</v>
          </cell>
          <cell r="D227" t="str">
            <v>Ettischer</v>
          </cell>
        </row>
        <row r="228">
          <cell r="A228" t="str">
            <v>050P/C17LN#</v>
          </cell>
          <cell r="B228" t="str">
            <v>PG LC</v>
          </cell>
          <cell r="C228" t="str">
            <v>Änderungen lfd. Serie</v>
          </cell>
          <cell r="D228" t="str">
            <v>Ettischer</v>
          </cell>
        </row>
        <row r="229">
          <cell r="A229" t="str">
            <v>050P/C190N#</v>
          </cell>
          <cell r="B229" t="str">
            <v>BR197/C190</v>
          </cell>
          <cell r="C229" t="str">
            <v>BR197/C190</v>
          </cell>
          <cell r="D229" t="str">
            <v>Ettischer</v>
          </cell>
        </row>
        <row r="230">
          <cell r="A230" t="str">
            <v>050P/C217##</v>
          </cell>
          <cell r="B230" t="str">
            <v>PG LC</v>
          </cell>
          <cell r="C230" t="str">
            <v>Pauschalanpassung LC</v>
          </cell>
          <cell r="D230" t="str">
            <v>Ettischer</v>
          </cell>
        </row>
        <row r="231">
          <cell r="A231" t="str">
            <v>050P/C217#L</v>
          </cell>
          <cell r="B231" t="str">
            <v>PG LC</v>
          </cell>
          <cell r="C231" t="str">
            <v>Pauschalanpassung LC</v>
          </cell>
          <cell r="D231" t="str">
            <v>Ettischer</v>
          </cell>
        </row>
        <row r="232">
          <cell r="A232" t="str">
            <v>050P/C217A#</v>
          </cell>
          <cell r="B232" t="str">
            <v>PG LC</v>
          </cell>
          <cell r="C232" t="str">
            <v>Änderungsjahre</v>
          </cell>
          <cell r="D232" t="str">
            <v>Ettischer</v>
          </cell>
        </row>
        <row r="233">
          <cell r="A233" t="str">
            <v>050P/C217L#</v>
          </cell>
          <cell r="B233" t="str">
            <v>PG LC</v>
          </cell>
          <cell r="C233" t="str">
            <v>Änderungen lfd. Serie</v>
          </cell>
          <cell r="D233" t="str">
            <v>Ettischer</v>
          </cell>
        </row>
        <row r="234">
          <cell r="A234" t="str">
            <v>050P/C217M#</v>
          </cell>
          <cell r="B234" t="str">
            <v>PG LC</v>
          </cell>
          <cell r="C234" t="str">
            <v>MOPFen</v>
          </cell>
          <cell r="D234" t="str">
            <v>Ettischer</v>
          </cell>
        </row>
        <row r="235">
          <cell r="A235" t="str">
            <v>050P/C217N#</v>
          </cell>
          <cell r="B235" t="str">
            <v>PG LC</v>
          </cell>
          <cell r="C235" t="str">
            <v>Nachfolgeprj. Neutyp</v>
          </cell>
          <cell r="D235" t="str">
            <v>Ettischer</v>
          </cell>
        </row>
        <row r="236">
          <cell r="A236" t="str">
            <v>050P/C218N#</v>
          </cell>
          <cell r="B236" t="str">
            <v>PG MC</v>
          </cell>
          <cell r="C236" t="str">
            <v>Nachfolgeprj. Neutyp</v>
          </cell>
          <cell r="D236" t="str">
            <v>Nicolai</v>
          </cell>
        </row>
        <row r="237">
          <cell r="A237" t="str">
            <v>050P/C257##</v>
          </cell>
          <cell r="B237" t="str">
            <v>PG MC</v>
          </cell>
          <cell r="C237" t="str">
            <v>i.W. Planungsleistung W175</v>
          </cell>
          <cell r="D237" t="str">
            <v>Nicolai</v>
          </cell>
        </row>
        <row r="238">
          <cell r="A238" t="str">
            <v>050P/C453#H</v>
          </cell>
          <cell r="B238" t="str">
            <v>SMART</v>
          </cell>
          <cell r="C238" t="str">
            <v>SMART</v>
          </cell>
          <cell r="D238" t="str">
            <v>Smart</v>
          </cell>
        </row>
        <row r="239">
          <cell r="A239" t="str">
            <v>050P/C453CH</v>
          </cell>
          <cell r="B239" t="str">
            <v>SMART</v>
          </cell>
          <cell r="C239" t="str">
            <v>SMART</v>
          </cell>
          <cell r="D239" t="str">
            <v>Smart</v>
          </cell>
        </row>
        <row r="240">
          <cell r="A240" t="str">
            <v>050P/C453NH</v>
          </cell>
          <cell r="B240" t="str">
            <v>SMART</v>
          </cell>
          <cell r="C240" t="str">
            <v>SMART</v>
          </cell>
          <cell r="D240" t="str">
            <v>Smart</v>
          </cell>
        </row>
        <row r="241">
          <cell r="A241" t="str">
            <v>050P/C53M2H</v>
          </cell>
          <cell r="B241" t="str">
            <v>SMART</v>
          </cell>
          <cell r="C241" t="str">
            <v>SMART</v>
          </cell>
          <cell r="D241" t="str">
            <v>Smart</v>
          </cell>
        </row>
        <row r="242">
          <cell r="A242" t="str">
            <v>050P/CFK###</v>
          </cell>
          <cell r="B242" t="str">
            <v>sonstige Struktur</v>
          </cell>
          <cell r="C242" t="str">
            <v>sonstige Struktur</v>
          </cell>
          <cell r="D242" t="str">
            <v>tbd.</v>
          </cell>
        </row>
        <row r="243">
          <cell r="A243" t="str">
            <v>050P/CMC##C</v>
          </cell>
          <cell r="B243" t="str">
            <v>CMC</v>
          </cell>
          <cell r="C243" t="str">
            <v>CMC</v>
          </cell>
          <cell r="D243" t="str">
            <v>tbd.</v>
          </cell>
        </row>
        <row r="244">
          <cell r="A244" t="str">
            <v>050P/EBIN#H</v>
          </cell>
          <cell r="B244" t="str">
            <v>SMART</v>
          </cell>
          <cell r="C244" t="str">
            <v>SMART</v>
          </cell>
          <cell r="D244" t="str">
            <v>Smart</v>
          </cell>
        </row>
        <row r="245">
          <cell r="A245" t="str">
            <v>050P/EBINNH</v>
          </cell>
          <cell r="B245" t="str">
            <v>SMART</v>
          </cell>
          <cell r="C245" t="str">
            <v>SMART</v>
          </cell>
          <cell r="D245" t="str">
            <v>Smart</v>
          </cell>
        </row>
        <row r="246">
          <cell r="A246" t="str">
            <v>050P/EDL##H</v>
          </cell>
          <cell r="B246" t="str">
            <v>EDL</v>
          </cell>
          <cell r="C246" t="str">
            <v>EDL</v>
          </cell>
          <cell r="D246" t="str">
            <v>Mungenast</v>
          </cell>
        </row>
        <row r="247">
          <cell r="A247" t="str">
            <v>050P/EMMOTH</v>
          </cell>
          <cell r="B247" t="str">
            <v>em-Motive</v>
          </cell>
          <cell r="C247" t="str">
            <v>em-Motive</v>
          </cell>
          <cell r="D247" t="str">
            <v>Krupinski</v>
          </cell>
        </row>
        <row r="248">
          <cell r="A248" t="str">
            <v>050P/ESCONH</v>
          </cell>
          <cell r="B248" t="str">
            <v>SMART</v>
          </cell>
          <cell r="C248" t="str">
            <v>SMART</v>
          </cell>
          <cell r="D248" t="str">
            <v>Smart</v>
          </cell>
        </row>
        <row r="249">
          <cell r="A249" t="str">
            <v>050P/FCL##H</v>
          </cell>
          <cell r="B249" t="str">
            <v>FCL</v>
          </cell>
          <cell r="C249" t="str">
            <v>FCL</v>
          </cell>
          <cell r="D249" t="str">
            <v>Mungenast</v>
          </cell>
        </row>
        <row r="250">
          <cell r="A250" t="str">
            <v>050P/INS09G</v>
          </cell>
          <cell r="B250" t="str">
            <v>Insolvenz</v>
          </cell>
          <cell r="C250" t="str">
            <v>Insolvenz</v>
          </cell>
          <cell r="D250" t="str">
            <v>tbd.</v>
          </cell>
        </row>
        <row r="251">
          <cell r="A251" t="str">
            <v>050P/N218A#</v>
          </cell>
          <cell r="B251" t="str">
            <v>PG MC</v>
          </cell>
          <cell r="C251" t="str">
            <v>Änderungsjahre</v>
          </cell>
          <cell r="D251" t="str">
            <v>Nicolai</v>
          </cell>
        </row>
        <row r="252">
          <cell r="A252" t="str">
            <v>050P/N218AP</v>
          </cell>
          <cell r="B252" t="str">
            <v>PG MC</v>
          </cell>
          <cell r="C252" t="str">
            <v>Änderungsjahre</v>
          </cell>
          <cell r="D252" t="str">
            <v>Nicolai</v>
          </cell>
        </row>
        <row r="253">
          <cell r="A253" t="str">
            <v>050P/N218L#</v>
          </cell>
          <cell r="B253" t="str">
            <v>PG MC</v>
          </cell>
          <cell r="C253" t="str">
            <v>Änderungen lfd. Serie</v>
          </cell>
          <cell r="D253" t="str">
            <v>Nicolai</v>
          </cell>
        </row>
        <row r="254">
          <cell r="A254" t="str">
            <v>050P/N218LP</v>
          </cell>
          <cell r="B254" t="str">
            <v>PG MC</v>
          </cell>
          <cell r="C254" t="str">
            <v>Änderungen lfd. Serie</v>
          </cell>
          <cell r="D254" t="str">
            <v>Nicolai</v>
          </cell>
        </row>
        <row r="255">
          <cell r="A255" t="str">
            <v>050P/N218M#</v>
          </cell>
          <cell r="B255" t="str">
            <v>PG MC</v>
          </cell>
          <cell r="C255" t="str">
            <v>MOPFen</v>
          </cell>
          <cell r="D255" t="str">
            <v>Nicolai</v>
          </cell>
        </row>
        <row r="256">
          <cell r="A256" t="str">
            <v>050P/P1P##L</v>
          </cell>
          <cell r="B256" t="str">
            <v>Commitment</v>
          </cell>
          <cell r="C256" t="str">
            <v>Commitment</v>
          </cell>
          <cell r="D256" t="str">
            <v>tbd.</v>
          </cell>
        </row>
        <row r="257">
          <cell r="A257" t="str">
            <v>050P/PGC1V#</v>
          </cell>
          <cell r="B257" t="str">
            <v>Commitment</v>
          </cell>
          <cell r="C257" t="str">
            <v>Commitment</v>
          </cell>
          <cell r="D257" t="str">
            <v>tbd.</v>
          </cell>
        </row>
        <row r="258">
          <cell r="A258" t="str">
            <v>050P/PGL1V#</v>
          </cell>
          <cell r="B258" t="str">
            <v>PG LC</v>
          </cell>
          <cell r="C258" t="str">
            <v>Commitment</v>
          </cell>
          <cell r="D258" t="str">
            <v>Ettischer</v>
          </cell>
        </row>
        <row r="259">
          <cell r="A259" t="str">
            <v>050P/PGM1V#</v>
          </cell>
          <cell r="B259" t="str">
            <v>Commitment</v>
          </cell>
          <cell r="C259" t="str">
            <v>Commitment</v>
          </cell>
          <cell r="D259" t="str">
            <v>tbd.</v>
          </cell>
        </row>
        <row r="260">
          <cell r="A260" t="str">
            <v>050P/PGS1V#</v>
          </cell>
          <cell r="B260" t="str">
            <v>Commitment</v>
          </cell>
          <cell r="C260" t="str">
            <v>Commitment</v>
          </cell>
          <cell r="D260" t="str">
            <v>tbd.</v>
          </cell>
        </row>
        <row r="261">
          <cell r="A261" t="str">
            <v>050P/S13LN#</v>
          </cell>
          <cell r="B261" t="str">
            <v>PG MC</v>
          </cell>
          <cell r="C261" t="str">
            <v>Änderungen lfd. Serie</v>
          </cell>
          <cell r="D261" t="str">
            <v>Nicolai</v>
          </cell>
        </row>
        <row r="262">
          <cell r="A262" t="str">
            <v>050P/S13MN#</v>
          </cell>
          <cell r="B262" t="str">
            <v>PG MC</v>
          </cell>
          <cell r="C262" t="str">
            <v>MOPFen</v>
          </cell>
          <cell r="D262" t="str">
            <v>Nicolai</v>
          </cell>
        </row>
        <row r="263">
          <cell r="A263" t="str">
            <v>050P/S213##</v>
          </cell>
          <cell r="B263" t="str">
            <v>PG MC</v>
          </cell>
          <cell r="C263" t="str">
            <v>i.W. Planungsleistung W175</v>
          </cell>
          <cell r="D263" t="str">
            <v>Nicolai</v>
          </cell>
        </row>
        <row r="264">
          <cell r="A264" t="str">
            <v>050P/S213N#</v>
          </cell>
          <cell r="B264" t="str">
            <v>PG MC</v>
          </cell>
          <cell r="C264" t="str">
            <v>Nachfolgeprj. Neutyp</v>
          </cell>
          <cell r="D264" t="str">
            <v>Nicolai</v>
          </cell>
        </row>
        <row r="265">
          <cell r="A265" t="str">
            <v>050P/SMC###</v>
          </cell>
          <cell r="B265" t="str">
            <v>sonstige Struktur</v>
          </cell>
          <cell r="C265" t="str">
            <v>sonstige Struktur</v>
          </cell>
          <cell r="D265" t="str">
            <v>tbd.</v>
          </cell>
        </row>
        <row r="266">
          <cell r="A266" t="str">
            <v>050P/V12M1H</v>
          </cell>
          <cell r="B266" t="str">
            <v>PG MC</v>
          </cell>
          <cell r="C266" t="str">
            <v>China (ohne P3 und P4)</v>
          </cell>
          <cell r="D266" t="str">
            <v>Nicolai</v>
          </cell>
        </row>
        <row r="267">
          <cell r="A267" t="str">
            <v>050P/V177#H</v>
          </cell>
          <cell r="B267" t="str">
            <v>JC1</v>
          </cell>
          <cell r="C267" t="str">
            <v>JC1</v>
          </cell>
          <cell r="D267" t="str">
            <v>Krupinski</v>
          </cell>
        </row>
        <row r="268">
          <cell r="A268" t="str">
            <v>050P/V205#H</v>
          </cell>
          <cell r="B268" t="str">
            <v>PG MC</v>
          </cell>
          <cell r="C268" t="str">
            <v>China (ohne P3 und P4)</v>
          </cell>
          <cell r="D268" t="str">
            <v>Nicolai</v>
          </cell>
        </row>
        <row r="269">
          <cell r="A269" t="str">
            <v>050P/V212CH</v>
          </cell>
          <cell r="B269" t="str">
            <v>PG MC</v>
          </cell>
          <cell r="C269" t="str">
            <v>China (ohne P3 und P4)</v>
          </cell>
          <cell r="D269" t="str">
            <v>Nicolai</v>
          </cell>
        </row>
        <row r="270">
          <cell r="A270" t="str">
            <v>050P/V213CC</v>
          </cell>
          <cell r="B270" t="str">
            <v>PG MC</v>
          </cell>
          <cell r="C270" t="str">
            <v>China (ohne P3 und P4)</v>
          </cell>
          <cell r="D270" t="str">
            <v>Nicolai</v>
          </cell>
        </row>
        <row r="271">
          <cell r="A271" t="str">
            <v>050P/V213CE</v>
          </cell>
          <cell r="B271" t="str">
            <v>PG MC</v>
          </cell>
          <cell r="C271" t="str">
            <v>China (ohne P3 und P4)</v>
          </cell>
          <cell r="D271" t="str">
            <v>Nicolai</v>
          </cell>
        </row>
        <row r="272">
          <cell r="A272" t="str">
            <v>050P/V213CH</v>
          </cell>
          <cell r="B272" t="str">
            <v>PG MC</v>
          </cell>
          <cell r="C272" t="str">
            <v>China (ohne P3 und P4)</v>
          </cell>
          <cell r="D272" t="str">
            <v>Nicolai</v>
          </cell>
        </row>
        <row r="273">
          <cell r="A273" t="str">
            <v>050P/V213CO</v>
          </cell>
          <cell r="B273" t="str">
            <v>PG MC</v>
          </cell>
          <cell r="C273" t="str">
            <v>China (ohne P3 und P4)</v>
          </cell>
          <cell r="D273" t="str">
            <v>Nicolai</v>
          </cell>
        </row>
        <row r="274">
          <cell r="A274" t="str">
            <v>050P/V213CP</v>
          </cell>
          <cell r="B274" t="str">
            <v>PG MC</v>
          </cell>
          <cell r="C274" t="str">
            <v>China (ohne P3 und P4)</v>
          </cell>
          <cell r="D274" t="str">
            <v>Nicolai</v>
          </cell>
        </row>
        <row r="275">
          <cell r="A275" t="str">
            <v>050P/V213I#</v>
          </cell>
          <cell r="B275" t="str">
            <v>Indien</v>
          </cell>
          <cell r="C275" t="str">
            <v>Indien</v>
          </cell>
          <cell r="D275" t="str">
            <v>Mungenast</v>
          </cell>
        </row>
        <row r="276">
          <cell r="A276" t="str">
            <v>050P/V213NH</v>
          </cell>
          <cell r="B276" t="str">
            <v>PG MC</v>
          </cell>
          <cell r="C276" t="str">
            <v>China (ohne P3 und P4)</v>
          </cell>
          <cell r="D276" t="str">
            <v>Nicolai</v>
          </cell>
        </row>
        <row r="277">
          <cell r="A277" t="str">
            <v>050P/V222N#</v>
          </cell>
          <cell r="B277" t="str">
            <v>PG LC</v>
          </cell>
          <cell r="C277" t="str">
            <v>Nachfolgeprj. Neutyp</v>
          </cell>
          <cell r="D277" t="str">
            <v>Ettischer</v>
          </cell>
        </row>
        <row r="278">
          <cell r="A278" t="str">
            <v>050P/W13AN#</v>
          </cell>
          <cell r="B278" t="str">
            <v>PG MC</v>
          </cell>
          <cell r="C278" t="str">
            <v>Änderungsjahre</v>
          </cell>
          <cell r="D278" t="str">
            <v>Nicolai</v>
          </cell>
        </row>
        <row r="279">
          <cell r="A279" t="str">
            <v>050P/W13ANP</v>
          </cell>
          <cell r="B279" t="str">
            <v>PG MC</v>
          </cell>
          <cell r="C279" t="str">
            <v>Änderungsjahre</v>
          </cell>
          <cell r="D279" t="str">
            <v>Nicolai</v>
          </cell>
        </row>
        <row r="280">
          <cell r="A280" t="str">
            <v>050P/W13MN#</v>
          </cell>
          <cell r="B280" t="str">
            <v>PG MC</v>
          </cell>
          <cell r="C280" t="str">
            <v>MOPFen</v>
          </cell>
          <cell r="D280" t="str">
            <v>Nicolai</v>
          </cell>
        </row>
        <row r="281">
          <cell r="A281" t="str">
            <v>050P/W166#H</v>
          </cell>
          <cell r="B281" t="str">
            <v>PG LC</v>
          </cell>
          <cell r="C281" t="str">
            <v>Pauschalanpassung LC</v>
          </cell>
          <cell r="D281" t="str">
            <v>Ettischer</v>
          </cell>
        </row>
        <row r="282">
          <cell r="A282" t="str">
            <v>050P/W176NH</v>
          </cell>
          <cell r="B282" t="str">
            <v>JC1</v>
          </cell>
          <cell r="C282" t="str">
            <v>JC1</v>
          </cell>
          <cell r="D282" t="str">
            <v>Krupinski</v>
          </cell>
        </row>
        <row r="283">
          <cell r="A283" t="str">
            <v>050P/W176VH</v>
          </cell>
          <cell r="B283" t="str">
            <v>Valmet</v>
          </cell>
          <cell r="C283" t="str">
            <v>MiB Daimler</v>
          </cell>
          <cell r="D283" t="str">
            <v>Krupinski</v>
          </cell>
        </row>
        <row r="284">
          <cell r="A284" t="str">
            <v>050P/W204CH</v>
          </cell>
          <cell r="B284" t="str">
            <v>PG MC</v>
          </cell>
          <cell r="C284" t="str">
            <v>China (ohne P3 und P4)</v>
          </cell>
          <cell r="D284" t="str">
            <v>Nicolai</v>
          </cell>
        </row>
        <row r="285">
          <cell r="A285" t="str">
            <v>050P/W205#H</v>
          </cell>
          <cell r="B285" t="str">
            <v>PG MC</v>
          </cell>
          <cell r="C285" t="str">
            <v>i.W. Planungsleistung W175</v>
          </cell>
          <cell r="D285" t="str">
            <v>Nicolai</v>
          </cell>
        </row>
        <row r="286">
          <cell r="A286" t="str">
            <v>050P/W205CH</v>
          </cell>
          <cell r="B286" t="str">
            <v>PG MC</v>
          </cell>
          <cell r="C286" t="str">
            <v>China (ohne P3 und P4)</v>
          </cell>
          <cell r="D286" t="str">
            <v>Nicolai</v>
          </cell>
        </row>
        <row r="287">
          <cell r="A287" t="str">
            <v>050P/W212#D</v>
          </cell>
          <cell r="B287" t="str">
            <v>PG MC</v>
          </cell>
          <cell r="C287" t="str">
            <v>i.W. Planungsleistung W175</v>
          </cell>
          <cell r="D287" t="str">
            <v>Nicolai</v>
          </cell>
        </row>
        <row r="288">
          <cell r="A288" t="str">
            <v>050P/W213##</v>
          </cell>
          <cell r="B288" t="str">
            <v>PG MC</v>
          </cell>
          <cell r="C288" t="str">
            <v>i.W. Planungsleistung W175</v>
          </cell>
          <cell r="D288" t="str">
            <v>Nicolai</v>
          </cell>
        </row>
        <row r="289">
          <cell r="A289" t="str">
            <v>050P/W213CP</v>
          </cell>
          <cell r="B289" t="str">
            <v>PG MC</v>
          </cell>
          <cell r="C289" t="str">
            <v>China (ohne P3 und P4)</v>
          </cell>
          <cell r="D289" t="str">
            <v>Nicolai</v>
          </cell>
        </row>
        <row r="290">
          <cell r="A290" t="str">
            <v>050P/W213N#</v>
          </cell>
          <cell r="B290" t="str">
            <v>PG MC</v>
          </cell>
          <cell r="C290" t="str">
            <v>Nachfolgeprj. Neutyp</v>
          </cell>
          <cell r="D290" t="str">
            <v>Nicolai</v>
          </cell>
        </row>
        <row r="291">
          <cell r="A291" t="str">
            <v>050P/W222N#</v>
          </cell>
          <cell r="B291" t="str">
            <v>PG LC</v>
          </cell>
          <cell r="C291" t="str">
            <v>Nachfolgeprj. Neutyp</v>
          </cell>
          <cell r="D291" t="str">
            <v>Ettischer</v>
          </cell>
        </row>
        <row r="292">
          <cell r="A292" t="str">
            <v>050P/W222NG</v>
          </cell>
          <cell r="B292" t="str">
            <v>PG LC</v>
          </cell>
          <cell r="C292" t="str">
            <v>Nachfolgeprj. Neutyp</v>
          </cell>
          <cell r="D292" t="str">
            <v>Ettischer</v>
          </cell>
        </row>
        <row r="293">
          <cell r="A293" t="str">
            <v>050P/W453#H</v>
          </cell>
          <cell r="B293" t="str">
            <v>SMART</v>
          </cell>
          <cell r="C293" t="str">
            <v>SMART</v>
          </cell>
          <cell r="D293" t="str">
            <v>Smart</v>
          </cell>
        </row>
        <row r="294">
          <cell r="A294" t="str">
            <v>050P/W453EH</v>
          </cell>
          <cell r="B294" t="str">
            <v>SMART</v>
          </cell>
          <cell r="C294" t="str">
            <v>SMART</v>
          </cell>
          <cell r="D294" t="str">
            <v>Smart</v>
          </cell>
        </row>
        <row r="295">
          <cell r="A295" t="str">
            <v>050P/W453NH</v>
          </cell>
          <cell r="B295" t="str">
            <v>SMART</v>
          </cell>
          <cell r="C295" t="str">
            <v>SMART</v>
          </cell>
          <cell r="D295" t="str">
            <v>Smart</v>
          </cell>
        </row>
        <row r="296">
          <cell r="A296" t="str">
            <v>050P/W64L0H</v>
          </cell>
          <cell r="B296" t="str">
            <v>PG LC</v>
          </cell>
          <cell r="C296" t="str">
            <v>Änderungen lfd. Serie</v>
          </cell>
          <cell r="D296" t="str">
            <v>Ettischer</v>
          </cell>
        </row>
        <row r="297">
          <cell r="A297" t="str">
            <v>050P/WINDKF</v>
          </cell>
          <cell r="B297" t="str">
            <v>sonstige Struktur</v>
          </cell>
          <cell r="C297" t="str">
            <v>sonstige Struktur</v>
          </cell>
          <cell r="D297" t="str">
            <v>tbd.</v>
          </cell>
        </row>
        <row r="298">
          <cell r="A298" t="str">
            <v>050P/WV222#</v>
          </cell>
          <cell r="B298" t="str">
            <v>PG LC</v>
          </cell>
          <cell r="C298" t="str">
            <v>Pauschalanpassung LC</v>
          </cell>
          <cell r="D298" t="str">
            <v>Ettischer</v>
          </cell>
        </row>
        <row r="299">
          <cell r="A299" t="str">
            <v>050P/WV222L</v>
          </cell>
          <cell r="B299" t="str">
            <v>PG LC</v>
          </cell>
          <cell r="C299" t="str">
            <v>Pauschalanpassung LC</v>
          </cell>
          <cell r="D299" t="str">
            <v>Ettischer</v>
          </cell>
        </row>
        <row r="300">
          <cell r="A300" t="str">
            <v>050P/X156CH</v>
          </cell>
          <cell r="B300" t="str">
            <v>PG CC</v>
          </cell>
          <cell r="C300" t="str">
            <v>China (ohne P3 und P4)</v>
          </cell>
          <cell r="D300" t="str">
            <v>Krupinski</v>
          </cell>
        </row>
        <row r="301">
          <cell r="A301" t="str">
            <v>050P/X156NH</v>
          </cell>
          <cell r="B301" t="str">
            <v>JC1</v>
          </cell>
          <cell r="C301" t="str">
            <v>JC1</v>
          </cell>
          <cell r="D301" t="str">
            <v>Krupinski</v>
          </cell>
        </row>
        <row r="302">
          <cell r="A302" t="str">
            <v>050P/X17A#P</v>
          </cell>
          <cell r="B302" t="str">
            <v>PG CC</v>
          </cell>
          <cell r="C302" t="str">
            <v>Änderungsjahre</v>
          </cell>
          <cell r="D302" t="str">
            <v>Krupinski</v>
          </cell>
        </row>
        <row r="303">
          <cell r="A303" t="str">
            <v>050P/X18A##</v>
          </cell>
          <cell r="B303" t="str">
            <v>PG MC</v>
          </cell>
          <cell r="C303" t="str">
            <v>Änderungsjahre</v>
          </cell>
          <cell r="D303" t="str">
            <v>Nicolai</v>
          </cell>
        </row>
        <row r="304">
          <cell r="A304" t="str">
            <v>050P/X18L##</v>
          </cell>
          <cell r="B304" t="str">
            <v>PG MC</v>
          </cell>
          <cell r="C304" t="str">
            <v>Änderungen lfd. Serie</v>
          </cell>
          <cell r="D304" t="str">
            <v>Nicolai</v>
          </cell>
        </row>
        <row r="305">
          <cell r="A305" t="str">
            <v>050P/X18M1#</v>
          </cell>
          <cell r="B305" t="str">
            <v>PG MC</v>
          </cell>
          <cell r="C305" t="str">
            <v>MOPFen</v>
          </cell>
          <cell r="D305" t="str">
            <v>Nicolai</v>
          </cell>
        </row>
        <row r="306">
          <cell r="A306" t="str">
            <v>050P/X218#L</v>
          </cell>
          <cell r="B306" t="str">
            <v>PG MC</v>
          </cell>
          <cell r="C306" t="str">
            <v>i.W. Planungsleistung W175</v>
          </cell>
          <cell r="D306" t="str">
            <v>Nicolai</v>
          </cell>
        </row>
        <row r="307">
          <cell r="A307" t="str">
            <v>050P/X218N#</v>
          </cell>
          <cell r="B307" t="str">
            <v>PG MC</v>
          </cell>
          <cell r="C307" t="str">
            <v>Nachfolgeprj. Neutyp</v>
          </cell>
          <cell r="D307" t="str">
            <v>Nicolai</v>
          </cell>
        </row>
        <row r="308">
          <cell r="A308" t="str">
            <v>050P/X222##</v>
          </cell>
          <cell r="B308" t="str">
            <v>PG LC</v>
          </cell>
          <cell r="C308" t="str">
            <v>Pauschalanpassung LC</v>
          </cell>
          <cell r="D308" t="str">
            <v>Ettischer</v>
          </cell>
        </row>
        <row r="309">
          <cell r="A309" t="str">
            <v>050P/X222N#</v>
          </cell>
          <cell r="B309" t="str">
            <v>PG LC</v>
          </cell>
          <cell r="C309" t="str">
            <v>Nachfolgeprj. Neutyp</v>
          </cell>
          <cell r="D309" t="str">
            <v>Ettischer</v>
          </cell>
        </row>
        <row r="310">
          <cell r="A310" t="str">
            <v>050P/X22A##</v>
          </cell>
          <cell r="B310" t="str">
            <v>PG LC</v>
          </cell>
          <cell r="C310" t="str">
            <v>Änderungsjahre</v>
          </cell>
          <cell r="D310" t="str">
            <v>Ettischer</v>
          </cell>
        </row>
        <row r="311">
          <cell r="A311" t="str">
            <v>050P/X22L##</v>
          </cell>
          <cell r="B311" t="str">
            <v>PG LC</v>
          </cell>
          <cell r="C311" t="str">
            <v>Änderungen lfd. Serie</v>
          </cell>
          <cell r="D311" t="str">
            <v>Ettischer</v>
          </cell>
        </row>
        <row r="312">
          <cell r="A312" t="str">
            <v>050P/X22LN#</v>
          </cell>
          <cell r="B312" t="str">
            <v>PG LC</v>
          </cell>
          <cell r="C312" t="str">
            <v>Änderungen lfd. Serie</v>
          </cell>
          <cell r="D312" t="str">
            <v>Ettischer</v>
          </cell>
        </row>
        <row r="313">
          <cell r="A313" t="str">
            <v>050P/X22M1#</v>
          </cell>
          <cell r="B313" t="str">
            <v>PG LC</v>
          </cell>
          <cell r="C313" t="str">
            <v>MOPFen</v>
          </cell>
          <cell r="D313" t="str">
            <v>Ettischer</v>
          </cell>
        </row>
        <row r="314">
          <cell r="A314" t="str">
            <v>050P/X22SS#</v>
          </cell>
          <cell r="B314" t="str">
            <v>PG LC</v>
          </cell>
          <cell r="C314" t="str">
            <v>Pauschalanpassung LC</v>
          </cell>
          <cell r="D314" t="str">
            <v>Ettischer</v>
          </cell>
        </row>
        <row r="315">
          <cell r="A315" t="str">
            <v>050P/X247#H</v>
          </cell>
          <cell r="B315" t="str">
            <v>JC1</v>
          </cell>
          <cell r="C315" t="str">
            <v>JC1</v>
          </cell>
          <cell r="D315" t="str">
            <v>Krupinski</v>
          </cell>
        </row>
        <row r="316">
          <cell r="A316" t="str">
            <v>050P/X253CC</v>
          </cell>
          <cell r="B316" t="str">
            <v>PG MC</v>
          </cell>
          <cell r="C316" t="str">
            <v>China (ohne P3 und P4)</v>
          </cell>
          <cell r="D316" t="str">
            <v>Nicolai</v>
          </cell>
        </row>
        <row r="317">
          <cell r="A317" t="str">
            <v>050P/X253CE</v>
          </cell>
          <cell r="B317" t="str">
            <v>PG MC</v>
          </cell>
          <cell r="C317" t="str">
            <v>China (ohne P3 und P4)</v>
          </cell>
          <cell r="D317" t="str">
            <v>Nicolai</v>
          </cell>
        </row>
        <row r="318">
          <cell r="A318" t="str">
            <v>050P/X253CH</v>
          </cell>
          <cell r="B318" t="str">
            <v>PG MC</v>
          </cell>
          <cell r="C318" t="str">
            <v>China (ohne P3 und P4)</v>
          </cell>
          <cell r="D318" t="str">
            <v>Nicolai</v>
          </cell>
        </row>
        <row r="319">
          <cell r="A319" t="str">
            <v>050P/X253CO</v>
          </cell>
          <cell r="B319" t="str">
            <v>PG MC</v>
          </cell>
          <cell r="C319" t="str">
            <v>China (ohne P3 und P4)</v>
          </cell>
          <cell r="D319" t="str">
            <v>Nicolai</v>
          </cell>
        </row>
        <row r="320">
          <cell r="A320" t="str">
            <v>050P/X253CP</v>
          </cell>
          <cell r="B320" t="str">
            <v>PG MC</v>
          </cell>
          <cell r="C320" t="str">
            <v>China (ohne P3 und P4)</v>
          </cell>
          <cell r="D320" t="str">
            <v>Nicolai</v>
          </cell>
        </row>
        <row r="321">
          <cell r="A321" t="str">
            <v>050P/X257##</v>
          </cell>
          <cell r="B321" t="str">
            <v>PG MC</v>
          </cell>
          <cell r="C321" t="str">
            <v>i.W. Planungsleistung W175</v>
          </cell>
          <cell r="D321" t="str">
            <v>Nicolai</v>
          </cell>
        </row>
        <row r="322">
          <cell r="A322" t="str">
            <v>054P/156A#X</v>
          </cell>
          <cell r="B322" t="str">
            <v>PG CC</v>
          </cell>
          <cell r="C322" t="str">
            <v>Änderungsjahre</v>
          </cell>
          <cell r="D322" t="str">
            <v>Krupinski</v>
          </cell>
        </row>
        <row r="323">
          <cell r="A323" t="str">
            <v>054P/156L#X</v>
          </cell>
          <cell r="B323" t="str">
            <v>PG CC</v>
          </cell>
          <cell r="C323" t="str">
            <v>Änderungen lfd. Serie</v>
          </cell>
          <cell r="D323" t="str">
            <v>Krupinski</v>
          </cell>
        </row>
        <row r="324">
          <cell r="A324" t="str">
            <v>054P/156M1X</v>
          </cell>
          <cell r="B324" t="str">
            <v>PG CC</v>
          </cell>
          <cell r="C324" t="str">
            <v>MOPFen</v>
          </cell>
          <cell r="D324" t="str">
            <v>Krupinski</v>
          </cell>
        </row>
        <row r="325">
          <cell r="A325" t="str">
            <v>054P/169APB</v>
          </cell>
          <cell r="B325" t="str">
            <v>PG CC</v>
          </cell>
          <cell r="C325" t="str">
            <v>Änderungsjahre</v>
          </cell>
          <cell r="D325" t="str">
            <v>Krupinski</v>
          </cell>
        </row>
        <row r="326">
          <cell r="A326" t="str">
            <v>054P/169EVL</v>
          </cell>
          <cell r="B326" t="str">
            <v>PG CC</v>
          </cell>
          <cell r="C326" t="str">
            <v>Pauschalanpassung LC</v>
          </cell>
          <cell r="D326" t="str">
            <v>Krupinski</v>
          </cell>
        </row>
        <row r="327">
          <cell r="A327" t="str">
            <v>054P/169L0B</v>
          </cell>
          <cell r="B327" t="str">
            <v>PG CC</v>
          </cell>
          <cell r="C327" t="str">
            <v>Änderungen lfd. Serie</v>
          </cell>
          <cell r="D327" t="str">
            <v>Krupinski</v>
          </cell>
        </row>
        <row r="328">
          <cell r="A328" t="str">
            <v>054P/169L0L</v>
          </cell>
          <cell r="B328" t="str">
            <v>PG CC</v>
          </cell>
          <cell r="C328" t="str">
            <v>Änderungen lfd. Serie</v>
          </cell>
          <cell r="D328" t="str">
            <v>Krupinski</v>
          </cell>
        </row>
        <row r="329">
          <cell r="A329" t="str">
            <v>054P/169L1B</v>
          </cell>
          <cell r="B329" t="str">
            <v>PG CC</v>
          </cell>
          <cell r="C329" t="str">
            <v>Änderungen lfd. Serie</v>
          </cell>
          <cell r="D329" t="str">
            <v>Krupinski</v>
          </cell>
        </row>
        <row r="330">
          <cell r="A330" t="str">
            <v>054P/169L1M</v>
          </cell>
          <cell r="B330" t="str">
            <v>PG CC</v>
          </cell>
          <cell r="C330" t="str">
            <v>Änderungen lfd. Serie</v>
          </cell>
          <cell r="D330" t="str">
            <v>Krupinski</v>
          </cell>
        </row>
        <row r="331">
          <cell r="A331" t="str">
            <v>054P/169L1R</v>
          </cell>
          <cell r="B331" t="str">
            <v>PG CC</v>
          </cell>
          <cell r="C331" t="str">
            <v>Änderungen lfd. Serie</v>
          </cell>
          <cell r="D331" t="str">
            <v>Krupinski</v>
          </cell>
        </row>
        <row r="332">
          <cell r="A332" t="str">
            <v>054P/169L8R/  /000</v>
          </cell>
          <cell r="B332" t="str">
            <v>PG CC</v>
          </cell>
          <cell r="C332" t="str">
            <v>Änderungen lfd. Serie</v>
          </cell>
          <cell r="D332" t="str">
            <v>Krupinski</v>
          </cell>
        </row>
        <row r="333">
          <cell r="A333" t="str">
            <v>054P/169L8X/  /000</v>
          </cell>
          <cell r="B333" t="str">
            <v>PG CC</v>
          </cell>
          <cell r="C333" t="str">
            <v>Änderungen lfd. Serie</v>
          </cell>
          <cell r="D333" t="str">
            <v>Krupinski</v>
          </cell>
        </row>
        <row r="334">
          <cell r="A334" t="str">
            <v>054P/176A#X</v>
          </cell>
          <cell r="B334" t="str">
            <v>PG CC</v>
          </cell>
          <cell r="C334" t="str">
            <v>Änderungsjahre</v>
          </cell>
          <cell r="D334" t="str">
            <v>Krupinski</v>
          </cell>
        </row>
        <row r="335">
          <cell r="A335" t="str">
            <v>054P/176AR#</v>
          </cell>
          <cell r="B335" t="str">
            <v>PG CC</v>
          </cell>
          <cell r="C335" t="str">
            <v>Änderungsjahre</v>
          </cell>
          <cell r="D335" t="str">
            <v>Krupinski</v>
          </cell>
        </row>
        <row r="336">
          <cell r="A336" t="str">
            <v>054P/176AS#</v>
          </cell>
          <cell r="B336" t="str">
            <v>PG CC</v>
          </cell>
          <cell r="C336" t="str">
            <v>Änderungsjahre</v>
          </cell>
          <cell r="D336" t="str">
            <v>Krupinski</v>
          </cell>
        </row>
        <row r="337">
          <cell r="A337" t="str">
            <v>054P/176ASM</v>
          </cell>
          <cell r="B337" t="str">
            <v>PG CC</v>
          </cell>
          <cell r="C337" t="str">
            <v>Änderungsjahre</v>
          </cell>
          <cell r="D337" t="str">
            <v>Krupinski</v>
          </cell>
        </row>
        <row r="338">
          <cell r="A338" t="str">
            <v>054P/176ASO</v>
          </cell>
          <cell r="B338" t="str">
            <v>PG CC</v>
          </cell>
          <cell r="C338" t="str">
            <v>Änderungsjahre</v>
          </cell>
          <cell r="D338" t="str">
            <v>Krupinski</v>
          </cell>
        </row>
        <row r="339">
          <cell r="A339" t="str">
            <v>054P/176L#B</v>
          </cell>
          <cell r="B339" t="str">
            <v>PG CC</v>
          </cell>
          <cell r="C339" t="str">
            <v>Änderungen lfd. Serie</v>
          </cell>
          <cell r="D339" t="str">
            <v>Krupinski</v>
          </cell>
        </row>
        <row r="340">
          <cell r="A340" t="str">
            <v>054P/176L#X</v>
          </cell>
          <cell r="B340" t="str">
            <v>PG CC</v>
          </cell>
          <cell r="C340" t="str">
            <v>Änderungen lfd. Serie</v>
          </cell>
          <cell r="D340" t="str">
            <v>Krupinski</v>
          </cell>
        </row>
        <row r="341">
          <cell r="A341" t="str">
            <v>054P/176L2#</v>
          </cell>
          <cell r="B341" t="str">
            <v>PG CC</v>
          </cell>
          <cell r="C341" t="str">
            <v>Änderungen lfd. Serie</v>
          </cell>
          <cell r="D341" t="str">
            <v>Krupinski</v>
          </cell>
        </row>
        <row r="342">
          <cell r="A342" t="str">
            <v>054P/176L3#</v>
          </cell>
          <cell r="B342" t="str">
            <v>PG CC</v>
          </cell>
          <cell r="C342" t="str">
            <v>Änderungen lfd. Serie</v>
          </cell>
          <cell r="D342" t="str">
            <v>Krupinski</v>
          </cell>
        </row>
        <row r="343">
          <cell r="A343" t="str">
            <v>054P/176L3M</v>
          </cell>
          <cell r="B343" t="str">
            <v>PG CC</v>
          </cell>
          <cell r="C343" t="str">
            <v>Änderungen lfd. Serie</v>
          </cell>
          <cell r="D343" t="str">
            <v>Krupinski</v>
          </cell>
        </row>
        <row r="344">
          <cell r="A344" t="str">
            <v>054P/176M1X</v>
          </cell>
          <cell r="B344" t="str">
            <v>PG CC</v>
          </cell>
          <cell r="C344" t="str">
            <v>MOPFen</v>
          </cell>
          <cell r="D344" t="str">
            <v>Krupinski</v>
          </cell>
        </row>
        <row r="345">
          <cell r="A345" t="str">
            <v>054P/176NMX</v>
          </cell>
          <cell r="B345" t="str">
            <v>JC1</v>
          </cell>
          <cell r="C345" t="str">
            <v>JC1</v>
          </cell>
          <cell r="D345" t="str">
            <v>Krupinski</v>
          </cell>
        </row>
        <row r="346">
          <cell r="A346" t="str">
            <v>054P/242CN#</v>
          </cell>
          <cell r="B346" t="str">
            <v>PG CC</v>
          </cell>
          <cell r="C346" t="str">
            <v>Nachfolgeprj. Neutyp</v>
          </cell>
          <cell r="D346" t="str">
            <v>Krupinski</v>
          </cell>
        </row>
        <row r="347">
          <cell r="A347" t="str">
            <v>054P/242EN#</v>
          </cell>
          <cell r="B347" t="str">
            <v>PG CC</v>
          </cell>
          <cell r="C347" t="str">
            <v>Nachfolgeprj. Neutyp</v>
          </cell>
          <cell r="D347" t="str">
            <v>Krupinski</v>
          </cell>
        </row>
        <row r="348">
          <cell r="A348" t="str">
            <v>054P/242EVX</v>
          </cell>
          <cell r="B348" t="str">
            <v>PG CC</v>
          </cell>
          <cell r="C348" t="str">
            <v>Pauschalanpassung LC</v>
          </cell>
          <cell r="D348" t="str">
            <v>Krupinski</v>
          </cell>
        </row>
        <row r="349">
          <cell r="A349" t="str">
            <v>054P/242RN#</v>
          </cell>
          <cell r="B349" t="str">
            <v>Commitment</v>
          </cell>
          <cell r="C349" t="str">
            <v>Commitment</v>
          </cell>
          <cell r="D349" t="str">
            <v>tbd.</v>
          </cell>
        </row>
        <row r="350">
          <cell r="A350" t="str">
            <v>054P/245L8X/  /000</v>
          </cell>
          <cell r="B350" t="str">
            <v>PG CC</v>
          </cell>
          <cell r="C350" t="str">
            <v>Änderungen lfd. Serie</v>
          </cell>
          <cell r="D350" t="str">
            <v>Krupinski</v>
          </cell>
        </row>
        <row r="351">
          <cell r="A351" t="str">
            <v>054P/246A#X</v>
          </cell>
          <cell r="B351" t="str">
            <v>PG CC</v>
          </cell>
          <cell r="C351" t="str">
            <v>Änderungsjahre</v>
          </cell>
          <cell r="D351" t="str">
            <v>Krupinski</v>
          </cell>
        </row>
        <row r="352">
          <cell r="A352" t="str">
            <v>054P/246AQM</v>
          </cell>
          <cell r="B352" t="str">
            <v>PG CC</v>
          </cell>
          <cell r="C352" t="str">
            <v>Änderungsjahre</v>
          </cell>
          <cell r="D352" t="str">
            <v>Krupinski</v>
          </cell>
        </row>
        <row r="353">
          <cell r="A353" t="str">
            <v>054P/246AQO</v>
          </cell>
          <cell r="B353" t="str">
            <v>PG CC</v>
          </cell>
          <cell r="C353" t="str">
            <v>Änderungsjahre</v>
          </cell>
          <cell r="D353" t="str">
            <v>Krupinski</v>
          </cell>
        </row>
        <row r="354">
          <cell r="A354" t="str">
            <v>054P/246AS#</v>
          </cell>
          <cell r="B354" t="str">
            <v>PG CC</v>
          </cell>
          <cell r="C354" t="str">
            <v>Änderungsjahre</v>
          </cell>
          <cell r="D354" t="str">
            <v>Krupinski</v>
          </cell>
        </row>
        <row r="355">
          <cell r="A355" t="str">
            <v>054P/246ASB</v>
          </cell>
          <cell r="B355" t="str">
            <v>PG CC</v>
          </cell>
          <cell r="C355" t="str">
            <v>Änderungsjahre</v>
          </cell>
          <cell r="D355" t="str">
            <v>Krupinski</v>
          </cell>
        </row>
        <row r="356">
          <cell r="A356" t="str">
            <v>054P/246ASM</v>
          </cell>
          <cell r="B356" t="str">
            <v>PG CC</v>
          </cell>
          <cell r="C356" t="str">
            <v>Änderungsjahre</v>
          </cell>
          <cell r="D356" t="str">
            <v>Krupinski</v>
          </cell>
        </row>
        <row r="357">
          <cell r="A357" t="str">
            <v>054P/246ASQ</v>
          </cell>
          <cell r="B357" t="str">
            <v>PG CC</v>
          </cell>
          <cell r="C357" t="str">
            <v>Änderungsjahre</v>
          </cell>
          <cell r="D357" t="str">
            <v>Krupinski</v>
          </cell>
        </row>
        <row r="358">
          <cell r="A358" t="str">
            <v>054P/246CGL</v>
          </cell>
          <cell r="B358" t="str">
            <v>PG CC</v>
          </cell>
          <cell r="C358" t="str">
            <v>Pauschalanpassung LC</v>
          </cell>
          <cell r="D358" t="str">
            <v>Krupinski</v>
          </cell>
        </row>
        <row r="359">
          <cell r="A359" t="str">
            <v>054P/246L#B</v>
          </cell>
          <cell r="B359" t="str">
            <v>PG CC</v>
          </cell>
          <cell r="C359" t="str">
            <v>Änderungen lfd. Serie</v>
          </cell>
          <cell r="D359" t="str">
            <v>Krupinski</v>
          </cell>
        </row>
        <row r="360">
          <cell r="A360" t="str">
            <v>054P/246L#L</v>
          </cell>
          <cell r="B360" t="str">
            <v>PG CC</v>
          </cell>
          <cell r="C360" t="str">
            <v>Änderungen lfd. Serie</v>
          </cell>
          <cell r="D360" t="str">
            <v>Krupinski</v>
          </cell>
        </row>
        <row r="361">
          <cell r="A361" t="str">
            <v>054P/246L#X</v>
          </cell>
          <cell r="B361" t="str">
            <v>PG CC</v>
          </cell>
          <cell r="C361" t="str">
            <v>Änderungen lfd. Serie</v>
          </cell>
          <cell r="D361" t="str">
            <v>Krupinski</v>
          </cell>
        </row>
        <row r="362">
          <cell r="A362" t="str">
            <v>054P/246L2B</v>
          </cell>
          <cell r="B362" t="str">
            <v>PG CC</v>
          </cell>
          <cell r="C362" t="str">
            <v>Änderungen lfd. Serie</v>
          </cell>
          <cell r="D362" t="str">
            <v>Krupinski</v>
          </cell>
        </row>
        <row r="363">
          <cell r="A363" t="str">
            <v>054P/246L2L</v>
          </cell>
          <cell r="B363" t="str">
            <v>PG CC</v>
          </cell>
          <cell r="C363" t="str">
            <v>Änderungen lfd. Serie</v>
          </cell>
          <cell r="D363" t="str">
            <v>Krupinski</v>
          </cell>
        </row>
        <row r="364">
          <cell r="A364" t="str">
            <v>054P/246L2M</v>
          </cell>
          <cell r="B364" t="str">
            <v>PG CC</v>
          </cell>
          <cell r="C364" t="str">
            <v>Änderungen lfd. Serie</v>
          </cell>
          <cell r="D364" t="str">
            <v>Krupinski</v>
          </cell>
        </row>
        <row r="365">
          <cell r="A365" t="str">
            <v>054P/246L3#</v>
          </cell>
          <cell r="B365" t="str">
            <v>PG CC</v>
          </cell>
          <cell r="C365" t="str">
            <v>Änderungen lfd. Serie</v>
          </cell>
          <cell r="D365" t="str">
            <v>Krupinski</v>
          </cell>
        </row>
        <row r="366">
          <cell r="A366" t="str">
            <v>054P/246L3M</v>
          </cell>
          <cell r="B366" t="str">
            <v>PG CC</v>
          </cell>
          <cell r="C366" t="str">
            <v>Änderungen lfd. Serie</v>
          </cell>
          <cell r="D366" t="str">
            <v>Krupinski</v>
          </cell>
        </row>
        <row r="367">
          <cell r="A367" t="str">
            <v>054P/246M1X</v>
          </cell>
          <cell r="B367" t="str">
            <v>PG CC</v>
          </cell>
          <cell r="C367" t="str">
            <v>MOPFen</v>
          </cell>
          <cell r="D367" t="str">
            <v>Krupinski</v>
          </cell>
        </row>
        <row r="368">
          <cell r="A368" t="str">
            <v>054P/246NMX</v>
          </cell>
          <cell r="B368" t="str">
            <v>JC1</v>
          </cell>
          <cell r="C368" t="str">
            <v>JC1</v>
          </cell>
          <cell r="D368" t="str">
            <v>Krupinski</v>
          </cell>
        </row>
        <row r="369">
          <cell r="A369" t="str">
            <v>054P/246S4L</v>
          </cell>
          <cell r="B369" t="str">
            <v>PG CC</v>
          </cell>
          <cell r="C369" t="str">
            <v>Pauschalanpassung LC</v>
          </cell>
          <cell r="D369" t="str">
            <v>Krupinski</v>
          </cell>
        </row>
        <row r="370">
          <cell r="A370" t="str">
            <v>054P/246S5L</v>
          </cell>
          <cell r="B370" t="str">
            <v>PG CC</v>
          </cell>
          <cell r="C370" t="str">
            <v>Pauschalanpassung LC</v>
          </cell>
          <cell r="D370" t="str">
            <v>Krupinski</v>
          </cell>
        </row>
        <row r="371">
          <cell r="A371" t="str">
            <v>054P/C177#X</v>
          </cell>
          <cell r="B371" t="str">
            <v>JC1</v>
          </cell>
          <cell r="C371" t="str">
            <v>JC1</v>
          </cell>
          <cell r="D371" t="str">
            <v>Krupinski</v>
          </cell>
        </row>
        <row r="372">
          <cell r="A372" t="str">
            <v>054P/P1P##L</v>
          </cell>
          <cell r="B372" t="str">
            <v>Commitment</v>
          </cell>
          <cell r="C372" t="str">
            <v>Commitment</v>
          </cell>
          <cell r="D372" t="str">
            <v>tbd.</v>
          </cell>
        </row>
        <row r="373">
          <cell r="A373" t="str">
            <v>054P/PGC1VX</v>
          </cell>
          <cell r="B373" t="str">
            <v>PG CC</v>
          </cell>
          <cell r="C373" t="str">
            <v>Commitment</v>
          </cell>
          <cell r="D373" t="str">
            <v>Krupinski</v>
          </cell>
        </row>
        <row r="374">
          <cell r="A374" t="str">
            <v>054P/W176#X</v>
          </cell>
          <cell r="B374" t="str">
            <v>PG CC</v>
          </cell>
          <cell r="C374" t="str">
            <v>Pauschalanpassung LC</v>
          </cell>
          <cell r="D374" t="str">
            <v>Krupinski</v>
          </cell>
        </row>
        <row r="375">
          <cell r="A375" t="str">
            <v>054P/W176NX</v>
          </cell>
          <cell r="B375" t="str">
            <v>JC1</v>
          </cell>
          <cell r="C375" t="str">
            <v>JC1</v>
          </cell>
          <cell r="D375" t="str">
            <v>Krupinski</v>
          </cell>
        </row>
        <row r="376">
          <cell r="A376" t="str">
            <v>054P/W176VL</v>
          </cell>
          <cell r="B376" t="str">
            <v>Valmet</v>
          </cell>
          <cell r="C376" t="str">
            <v>MiB Daimler</v>
          </cell>
          <cell r="D376" t="str">
            <v>Krupinski</v>
          </cell>
        </row>
        <row r="377">
          <cell r="A377" t="str">
            <v>054P/W176VM</v>
          </cell>
          <cell r="B377" t="str">
            <v>Valmet</v>
          </cell>
          <cell r="C377" t="str">
            <v>MiB Daimler</v>
          </cell>
          <cell r="D377" t="str">
            <v>Krupinski</v>
          </cell>
        </row>
        <row r="378">
          <cell r="A378" t="str">
            <v>054P/W176VO</v>
          </cell>
          <cell r="B378" t="str">
            <v>Valmet</v>
          </cell>
          <cell r="C378" t="str">
            <v>MiB Daimler</v>
          </cell>
          <cell r="D378" t="str">
            <v>Krupinski</v>
          </cell>
        </row>
        <row r="379">
          <cell r="A379" t="str">
            <v>054P/W176VQ</v>
          </cell>
          <cell r="B379" t="str">
            <v>Valmet</v>
          </cell>
          <cell r="C379" t="str">
            <v>MiB Daimler</v>
          </cell>
          <cell r="D379" t="str">
            <v>Krupinski</v>
          </cell>
        </row>
        <row r="380">
          <cell r="A380" t="str">
            <v>054P/W176VX</v>
          </cell>
          <cell r="B380" t="str">
            <v>Valmet</v>
          </cell>
          <cell r="C380" t="str">
            <v>MiB Daimler</v>
          </cell>
          <cell r="D380" t="str">
            <v>Krupinski</v>
          </cell>
        </row>
        <row r="381">
          <cell r="A381" t="str">
            <v>054P/W246#L</v>
          </cell>
          <cell r="B381" t="str">
            <v>PG CC</v>
          </cell>
          <cell r="C381" t="str">
            <v>Pauschalanpassung LC</v>
          </cell>
          <cell r="D381" t="str">
            <v>Krupinski</v>
          </cell>
        </row>
        <row r="382">
          <cell r="A382" t="str">
            <v>054P/W246#X</v>
          </cell>
          <cell r="B382" t="str">
            <v>PG CC</v>
          </cell>
          <cell r="C382" t="str">
            <v>Pauschalanpassung LC</v>
          </cell>
          <cell r="D382" t="str">
            <v>Krupinski</v>
          </cell>
        </row>
        <row r="383">
          <cell r="A383" t="str">
            <v>054P/W246NX</v>
          </cell>
          <cell r="B383" t="str">
            <v>JC1</v>
          </cell>
          <cell r="C383" t="str">
            <v>JC1</v>
          </cell>
          <cell r="D383" t="str">
            <v>Krupinski</v>
          </cell>
        </row>
        <row r="384">
          <cell r="A384" t="str">
            <v>054P/W247N#</v>
          </cell>
          <cell r="B384" t="str">
            <v>PG CC</v>
          </cell>
          <cell r="C384" t="str">
            <v>Nachfolgeprj. Neutyp</v>
          </cell>
          <cell r="D384" t="str">
            <v>Krupinski</v>
          </cell>
        </row>
        <row r="385">
          <cell r="A385" t="str">
            <v>054P/X156#L</v>
          </cell>
          <cell r="B385" t="str">
            <v>PG CC</v>
          </cell>
          <cell r="C385" t="str">
            <v>Pauschalanpassung LC</v>
          </cell>
          <cell r="D385" t="str">
            <v>Krupinski</v>
          </cell>
        </row>
        <row r="386">
          <cell r="A386" t="str">
            <v>067F/205ARL</v>
          </cell>
          <cell r="B386" t="str">
            <v>PG MC</v>
          </cell>
          <cell r="C386" t="str">
            <v>i.W. Planungsleistung W175</v>
          </cell>
          <cell r="D386" t="str">
            <v>Nicolai</v>
          </cell>
        </row>
        <row r="387">
          <cell r="A387" t="str">
            <v>067F/A05BN#</v>
          </cell>
          <cell r="B387" t="str">
            <v>PG MC</v>
          </cell>
          <cell r="C387" t="str">
            <v>Änderungen lfd. Serie</v>
          </cell>
          <cell r="D387" t="str">
            <v>Nicolai</v>
          </cell>
        </row>
        <row r="388">
          <cell r="A388" t="str">
            <v>067F/A05BND</v>
          </cell>
          <cell r="B388" t="str">
            <v>PG MC</v>
          </cell>
          <cell r="C388" t="str">
            <v>Änderungen lfd. Serie</v>
          </cell>
          <cell r="D388" t="str">
            <v>Nicolai</v>
          </cell>
        </row>
        <row r="389">
          <cell r="A389" t="str">
            <v>067F/A05S1L</v>
          </cell>
          <cell r="B389" t="str">
            <v>PG MC</v>
          </cell>
          <cell r="C389" t="str">
            <v>i.W. Planungsleistung W175</v>
          </cell>
          <cell r="D389" t="str">
            <v>Nicolai</v>
          </cell>
        </row>
        <row r="390">
          <cell r="A390" t="str">
            <v>067F/A07A1#</v>
          </cell>
          <cell r="B390" t="str">
            <v>PG MC</v>
          </cell>
          <cell r="C390" t="str">
            <v>Änderungsjahre</v>
          </cell>
          <cell r="D390" t="str">
            <v>Nicolai</v>
          </cell>
        </row>
        <row r="391">
          <cell r="A391" t="str">
            <v>067F/A07B0D</v>
          </cell>
          <cell r="B391" t="str">
            <v>PG MC</v>
          </cell>
          <cell r="C391" t="str">
            <v>Änderungen lfd. Serie</v>
          </cell>
          <cell r="D391" t="str">
            <v>Nicolai</v>
          </cell>
        </row>
        <row r="392">
          <cell r="A392" t="str">
            <v>067F/A07B1D</v>
          </cell>
          <cell r="B392" t="str">
            <v>PG MC</v>
          </cell>
          <cell r="C392" t="str">
            <v>Änderungen lfd. Serie</v>
          </cell>
          <cell r="D392" t="str">
            <v>Nicolai</v>
          </cell>
        </row>
        <row r="393">
          <cell r="A393" t="str">
            <v>067F/A07K1L</v>
          </cell>
          <cell r="B393" t="str">
            <v>PG MC</v>
          </cell>
          <cell r="C393" t="str">
            <v>Kapazitätsanpassungen</v>
          </cell>
          <cell r="D393" t="str">
            <v>Nicolai</v>
          </cell>
        </row>
        <row r="394">
          <cell r="A394" t="str">
            <v>067F/A205##</v>
          </cell>
          <cell r="B394" t="str">
            <v>PG MC</v>
          </cell>
          <cell r="C394" t="str">
            <v>i.W. Planungsleistung W175</v>
          </cell>
          <cell r="D394" t="str">
            <v>Nicolai</v>
          </cell>
        </row>
        <row r="395">
          <cell r="A395" t="str">
            <v>067F/A205#L</v>
          </cell>
          <cell r="B395" t="str">
            <v>PG MC</v>
          </cell>
          <cell r="C395" t="str">
            <v>i.W. Planungsleistung W175</v>
          </cell>
          <cell r="D395" t="str">
            <v>Nicolai</v>
          </cell>
        </row>
        <row r="396">
          <cell r="A396" t="str">
            <v>067F/A205N#</v>
          </cell>
          <cell r="B396" t="str">
            <v>PG MC</v>
          </cell>
          <cell r="C396" t="str">
            <v>Nachfolgeprj. Neutyp</v>
          </cell>
          <cell r="D396" t="str">
            <v>Nicolai</v>
          </cell>
        </row>
        <row r="397">
          <cell r="A397" t="str">
            <v>067F/A205ND</v>
          </cell>
          <cell r="B397" t="str">
            <v>PG MC</v>
          </cell>
          <cell r="C397" t="str">
            <v>Nachfolgeprj. Neutyp</v>
          </cell>
          <cell r="D397" t="str">
            <v>Nicolai</v>
          </cell>
        </row>
        <row r="398">
          <cell r="A398" t="str">
            <v>067F/A207#L</v>
          </cell>
          <cell r="B398" t="str">
            <v>PG MC</v>
          </cell>
          <cell r="C398" t="str">
            <v>i.W. Planungsleistung W175</v>
          </cell>
          <cell r="D398" t="str">
            <v>Nicolai</v>
          </cell>
        </row>
        <row r="399">
          <cell r="A399" t="str">
            <v>067F/A238#L</v>
          </cell>
          <cell r="B399" t="str">
            <v>PG MC</v>
          </cell>
          <cell r="C399" t="str">
            <v>i.W. Planungsleistung W175</v>
          </cell>
          <cell r="D399" t="str">
            <v>Nicolai</v>
          </cell>
        </row>
        <row r="400">
          <cell r="A400" t="str">
            <v>067F/A38M1#</v>
          </cell>
          <cell r="B400" t="str">
            <v>PG MC</v>
          </cell>
          <cell r="C400" t="str">
            <v>MOPFen</v>
          </cell>
          <cell r="D400" t="str">
            <v>Nicolai</v>
          </cell>
        </row>
        <row r="401">
          <cell r="A401" t="str">
            <v>067F/C04A##</v>
          </cell>
          <cell r="B401" t="str">
            <v>PG MC</v>
          </cell>
          <cell r="C401" t="str">
            <v>Änderungsjahre</v>
          </cell>
          <cell r="D401" t="str">
            <v>Nicolai</v>
          </cell>
        </row>
        <row r="402">
          <cell r="A402" t="str">
            <v>067F/C04A2#</v>
          </cell>
          <cell r="B402" t="str">
            <v>PG MC</v>
          </cell>
          <cell r="C402" t="str">
            <v>Änderungsjahre</v>
          </cell>
          <cell r="D402" t="str">
            <v>Nicolai</v>
          </cell>
        </row>
        <row r="403">
          <cell r="A403" t="str">
            <v>067F/C04A3#</v>
          </cell>
          <cell r="B403" t="str">
            <v>PG MC</v>
          </cell>
          <cell r="C403" t="str">
            <v>Änderungsjahre</v>
          </cell>
          <cell r="D403" t="str">
            <v>Nicolai</v>
          </cell>
        </row>
        <row r="404">
          <cell r="A404" t="str">
            <v>067F/C04B##</v>
          </cell>
          <cell r="B404" t="str">
            <v>PG MC</v>
          </cell>
          <cell r="C404" t="str">
            <v>Änderungen lfd. Serie</v>
          </cell>
          <cell r="D404" t="str">
            <v>Nicolai</v>
          </cell>
        </row>
        <row r="405">
          <cell r="A405" t="str">
            <v>067F/C04B1#</v>
          </cell>
          <cell r="B405" t="str">
            <v>PG MC</v>
          </cell>
          <cell r="C405" t="str">
            <v>Änderungen lfd. Serie</v>
          </cell>
          <cell r="D405" t="str">
            <v>Nicolai</v>
          </cell>
        </row>
        <row r="406">
          <cell r="A406" t="str">
            <v>067F/C04B2#</v>
          </cell>
          <cell r="B406" t="str">
            <v>PG MC</v>
          </cell>
          <cell r="C406" t="str">
            <v>Änderungen lfd. Serie</v>
          </cell>
          <cell r="D406" t="str">
            <v>Nicolai</v>
          </cell>
        </row>
        <row r="407">
          <cell r="A407" t="str">
            <v>067F/C04B2D</v>
          </cell>
          <cell r="B407" t="str">
            <v>PG MC</v>
          </cell>
          <cell r="C407" t="str">
            <v>Änderungen lfd. Serie</v>
          </cell>
          <cell r="D407" t="str">
            <v>Nicolai</v>
          </cell>
        </row>
        <row r="408">
          <cell r="A408" t="str">
            <v>067F/C05A##</v>
          </cell>
          <cell r="B408" t="str">
            <v>PG MC</v>
          </cell>
          <cell r="C408" t="str">
            <v>Änderungsjahre</v>
          </cell>
          <cell r="D408" t="str">
            <v>Nicolai</v>
          </cell>
        </row>
        <row r="409">
          <cell r="A409" t="str">
            <v>067F/C05BN#</v>
          </cell>
          <cell r="B409" t="str">
            <v>PG MC</v>
          </cell>
          <cell r="C409" t="str">
            <v>Änderungen lfd. Serie</v>
          </cell>
          <cell r="D409" t="str">
            <v>Nicolai</v>
          </cell>
        </row>
        <row r="410">
          <cell r="A410" t="str">
            <v>067F/C05BND</v>
          </cell>
          <cell r="B410" t="str">
            <v>PG MC</v>
          </cell>
          <cell r="C410" t="str">
            <v>Änderungen lfd. Serie</v>
          </cell>
          <cell r="D410" t="str">
            <v>Nicolai</v>
          </cell>
        </row>
        <row r="411">
          <cell r="A411" t="str">
            <v>067F/C05L##</v>
          </cell>
          <cell r="B411" t="str">
            <v>PG MC</v>
          </cell>
          <cell r="C411" t="str">
            <v>Änderungen lfd. Serie</v>
          </cell>
          <cell r="D411" t="str">
            <v>Nicolai</v>
          </cell>
        </row>
        <row r="412">
          <cell r="A412" t="str">
            <v>067F/C05M1#</v>
          </cell>
          <cell r="B412" t="str">
            <v>PG MC</v>
          </cell>
          <cell r="C412" t="str">
            <v>MOPFen</v>
          </cell>
          <cell r="D412" t="str">
            <v>Nicolai</v>
          </cell>
        </row>
        <row r="413">
          <cell r="A413" t="str">
            <v>067F/C05S##</v>
          </cell>
          <cell r="B413" t="str">
            <v>PG MC</v>
          </cell>
          <cell r="C413" t="str">
            <v>i.W. Planungsleistung W175</v>
          </cell>
          <cell r="D413" t="str">
            <v>Nicolai</v>
          </cell>
        </row>
        <row r="414">
          <cell r="A414" t="str">
            <v>067F/C05S3L</v>
          </cell>
          <cell r="B414" t="str">
            <v>PG MC</v>
          </cell>
          <cell r="C414" t="str">
            <v>i.W. Planungsleistung W175</v>
          </cell>
          <cell r="D414" t="str">
            <v>Nicolai</v>
          </cell>
        </row>
        <row r="415">
          <cell r="A415" t="str">
            <v>067F/C07A0#</v>
          </cell>
          <cell r="B415" t="str">
            <v>PG MC</v>
          </cell>
          <cell r="C415" t="str">
            <v>Änderungsjahre</v>
          </cell>
          <cell r="D415" t="str">
            <v>Nicolai</v>
          </cell>
        </row>
        <row r="416">
          <cell r="A416" t="str">
            <v>067F/C07A1#</v>
          </cell>
          <cell r="B416" t="str">
            <v>PG MC</v>
          </cell>
          <cell r="C416" t="str">
            <v>Änderungsjahre</v>
          </cell>
          <cell r="D416" t="str">
            <v>Nicolai</v>
          </cell>
        </row>
        <row r="417">
          <cell r="A417" t="str">
            <v>067F/C07A2#</v>
          </cell>
          <cell r="B417" t="str">
            <v>PG MC</v>
          </cell>
          <cell r="C417" t="str">
            <v>Änderungsjahre</v>
          </cell>
          <cell r="D417" t="str">
            <v>Nicolai</v>
          </cell>
        </row>
        <row r="418">
          <cell r="A418" t="str">
            <v>067F/C07A5#</v>
          </cell>
          <cell r="B418" t="str">
            <v>PG MC</v>
          </cell>
          <cell r="C418" t="str">
            <v>Änderungsjahre</v>
          </cell>
          <cell r="D418" t="str">
            <v>Nicolai</v>
          </cell>
        </row>
        <row r="419">
          <cell r="A419" t="str">
            <v>067F/C07B#D</v>
          </cell>
          <cell r="B419" t="str">
            <v>PG MC</v>
          </cell>
          <cell r="C419" t="str">
            <v>Änderungen lfd. Serie</v>
          </cell>
          <cell r="D419" t="str">
            <v>Nicolai</v>
          </cell>
        </row>
        <row r="420">
          <cell r="A420" t="str">
            <v>067F/C07B0#</v>
          </cell>
          <cell r="B420" t="str">
            <v>PG MC</v>
          </cell>
          <cell r="C420" t="str">
            <v>Änderungen lfd. Serie</v>
          </cell>
          <cell r="D420" t="str">
            <v>Nicolai</v>
          </cell>
        </row>
        <row r="421">
          <cell r="A421" t="str">
            <v>067F/C07B0D</v>
          </cell>
          <cell r="B421" t="str">
            <v>PG MC</v>
          </cell>
          <cell r="C421" t="str">
            <v>Änderungen lfd. Serie</v>
          </cell>
          <cell r="D421" t="str">
            <v>Nicolai</v>
          </cell>
        </row>
        <row r="422">
          <cell r="A422" t="str">
            <v>067F/C07B1#</v>
          </cell>
          <cell r="B422" t="str">
            <v>PG MC</v>
          </cell>
          <cell r="C422" t="str">
            <v>Änderungen lfd. Serie</v>
          </cell>
          <cell r="D422" t="str">
            <v>Nicolai</v>
          </cell>
        </row>
        <row r="423">
          <cell r="A423" t="str">
            <v>067F/C07B2#</v>
          </cell>
          <cell r="B423" t="str">
            <v>PG MC</v>
          </cell>
          <cell r="C423" t="str">
            <v>Änderungen lfd. Serie</v>
          </cell>
          <cell r="D423" t="str">
            <v>Nicolai</v>
          </cell>
        </row>
        <row r="424">
          <cell r="A424" t="str">
            <v>067F/C07B3#</v>
          </cell>
          <cell r="B424" t="str">
            <v>PG MC</v>
          </cell>
          <cell r="C424" t="str">
            <v>Änderungen lfd. Serie</v>
          </cell>
          <cell r="D424" t="str">
            <v>Nicolai</v>
          </cell>
        </row>
        <row r="425">
          <cell r="A425" t="str">
            <v>067F/C07B4#</v>
          </cell>
          <cell r="B425" t="str">
            <v>PG MC</v>
          </cell>
          <cell r="C425" t="str">
            <v>Änderungen lfd. Serie</v>
          </cell>
          <cell r="D425" t="str">
            <v>Nicolai</v>
          </cell>
        </row>
        <row r="426">
          <cell r="A426" t="str">
            <v>067F/C07B5#</v>
          </cell>
          <cell r="B426" t="str">
            <v>PG MC</v>
          </cell>
          <cell r="C426" t="str">
            <v>Änderungen lfd. Serie</v>
          </cell>
          <cell r="D426" t="str">
            <v>Nicolai</v>
          </cell>
        </row>
        <row r="427">
          <cell r="A427" t="str">
            <v>067F/C07B9#</v>
          </cell>
          <cell r="B427" t="str">
            <v>PG MC</v>
          </cell>
          <cell r="C427" t="str">
            <v>Änderungen lfd. Serie</v>
          </cell>
          <cell r="D427" t="str">
            <v>Nicolai</v>
          </cell>
        </row>
        <row r="428">
          <cell r="A428" t="str">
            <v>067F/C204AL</v>
          </cell>
          <cell r="B428" t="str">
            <v>PG MC</v>
          </cell>
          <cell r="C428" t="str">
            <v>i.W. Planungsleistung W175</v>
          </cell>
          <cell r="D428" t="str">
            <v>Nicolai</v>
          </cell>
        </row>
        <row r="429">
          <cell r="A429" t="str">
            <v>067F/C205#L</v>
          </cell>
          <cell r="B429" t="str">
            <v>PG MC</v>
          </cell>
          <cell r="C429" t="str">
            <v>i.W. Planungsleistung W175</v>
          </cell>
          <cell r="D429" t="str">
            <v>Nicolai</v>
          </cell>
        </row>
        <row r="430">
          <cell r="A430" t="str">
            <v>067F/C205N#</v>
          </cell>
          <cell r="B430" t="str">
            <v>PG MC</v>
          </cell>
          <cell r="C430" t="str">
            <v>Nachfolgeprj. Neutyp</v>
          </cell>
          <cell r="D430" t="str">
            <v>Nicolai</v>
          </cell>
        </row>
        <row r="431">
          <cell r="A431" t="str">
            <v>067F/C205ND</v>
          </cell>
          <cell r="B431" t="str">
            <v>PG MC</v>
          </cell>
          <cell r="C431" t="str">
            <v>Nachfolgeprj. Neutyp</v>
          </cell>
          <cell r="D431" t="str">
            <v>Nicolai</v>
          </cell>
        </row>
        <row r="432">
          <cell r="A432" t="str">
            <v>067F/C207#L</v>
          </cell>
          <cell r="B432" t="str">
            <v>PG MC</v>
          </cell>
          <cell r="C432" t="str">
            <v>i.W. Planungsleistung W175</v>
          </cell>
          <cell r="D432" t="str">
            <v>Nicolai</v>
          </cell>
        </row>
        <row r="433">
          <cell r="A433" t="str">
            <v>067F/C238##</v>
          </cell>
          <cell r="B433" t="str">
            <v>PG MC</v>
          </cell>
          <cell r="C433" t="str">
            <v>i.W. Planungsleistung W175</v>
          </cell>
          <cell r="D433" t="str">
            <v>Nicolai</v>
          </cell>
        </row>
        <row r="434">
          <cell r="A434" t="str">
            <v>067F/C238#L</v>
          </cell>
          <cell r="B434" t="str">
            <v>PG MC</v>
          </cell>
          <cell r="C434" t="str">
            <v>i.W. Planungsleistung W175</v>
          </cell>
          <cell r="D434" t="str">
            <v>Nicolai</v>
          </cell>
        </row>
        <row r="435">
          <cell r="A435" t="str">
            <v>067F/C253##</v>
          </cell>
          <cell r="B435" t="str">
            <v>PG MC</v>
          </cell>
          <cell r="C435" t="str">
            <v>i.W. Planungsleistung W175</v>
          </cell>
          <cell r="D435" t="str">
            <v>Nicolai</v>
          </cell>
        </row>
        <row r="436">
          <cell r="A436" t="str">
            <v>067F/C38A##</v>
          </cell>
          <cell r="B436" t="str">
            <v>PG MC</v>
          </cell>
          <cell r="C436" t="str">
            <v>Änderungsjahre</v>
          </cell>
          <cell r="D436" t="str">
            <v>Nicolai</v>
          </cell>
        </row>
        <row r="437">
          <cell r="A437" t="str">
            <v>067F/C38L##</v>
          </cell>
          <cell r="B437" t="str">
            <v>PG MC</v>
          </cell>
          <cell r="C437" t="str">
            <v>Änderungen lfd. Serie</v>
          </cell>
          <cell r="D437" t="str">
            <v>Nicolai</v>
          </cell>
        </row>
        <row r="438">
          <cell r="A438" t="str">
            <v>067F/C38M1#</v>
          </cell>
          <cell r="B438" t="str">
            <v>PG MC</v>
          </cell>
          <cell r="C438" t="str">
            <v>MOPFen</v>
          </cell>
          <cell r="D438" t="str">
            <v>Nicolai</v>
          </cell>
        </row>
        <row r="439">
          <cell r="A439" t="str">
            <v>067F/C53M1#</v>
          </cell>
          <cell r="B439" t="str">
            <v>PG MC</v>
          </cell>
          <cell r="C439" t="str">
            <v>MOPFen</v>
          </cell>
          <cell r="D439" t="str">
            <v>Nicolai</v>
          </cell>
        </row>
        <row r="440">
          <cell r="A440" t="str">
            <v>067F/N172A#</v>
          </cell>
          <cell r="B440" t="str">
            <v>PG LC</v>
          </cell>
          <cell r="C440" t="str">
            <v>Änderungsjahre</v>
          </cell>
          <cell r="D440" t="str">
            <v>Ettischer</v>
          </cell>
        </row>
        <row r="441">
          <cell r="A441" t="str">
            <v>067F/N172L#</v>
          </cell>
          <cell r="B441" t="str">
            <v>PG LC</v>
          </cell>
          <cell r="C441" t="str">
            <v>Änderungen lfd. Serie</v>
          </cell>
          <cell r="D441" t="str">
            <v>Ettischer</v>
          </cell>
        </row>
        <row r="442">
          <cell r="A442" t="str">
            <v>067F/N172M#</v>
          </cell>
          <cell r="B442" t="str">
            <v>PG LC</v>
          </cell>
          <cell r="C442" t="str">
            <v>MOPFen</v>
          </cell>
          <cell r="D442" t="str">
            <v>Ettischer</v>
          </cell>
        </row>
        <row r="443">
          <cell r="A443" t="str">
            <v>067F/P1P##L</v>
          </cell>
          <cell r="B443" t="str">
            <v>Commitment</v>
          </cell>
          <cell r="C443" t="str">
            <v>Commitment</v>
          </cell>
          <cell r="D443" t="str">
            <v>tbd.</v>
          </cell>
        </row>
        <row r="444">
          <cell r="A444" t="str">
            <v>067F/PGM1V#</v>
          </cell>
          <cell r="B444" t="str">
            <v>Commitment</v>
          </cell>
          <cell r="C444" t="str">
            <v>Commitment</v>
          </cell>
          <cell r="D444" t="str">
            <v>tbd.</v>
          </cell>
        </row>
        <row r="445">
          <cell r="A445" t="str">
            <v>067F/R172#S</v>
          </cell>
          <cell r="B445" t="str">
            <v>PG LC</v>
          </cell>
          <cell r="C445" t="str">
            <v>Pauschalanpassung LC</v>
          </cell>
          <cell r="D445" t="str">
            <v>Ettischer</v>
          </cell>
        </row>
        <row r="446">
          <cell r="A446" t="str">
            <v>067F/R172N#</v>
          </cell>
          <cell r="B446" t="str">
            <v>PG LC</v>
          </cell>
          <cell r="C446" t="str">
            <v>Nachfolgeprj. Neutyp</v>
          </cell>
          <cell r="D446" t="str">
            <v>Ettischer</v>
          </cell>
        </row>
        <row r="447">
          <cell r="A447" t="str">
            <v>067F/R231#S</v>
          </cell>
          <cell r="B447" t="str">
            <v>PG LC</v>
          </cell>
          <cell r="C447" t="str">
            <v>Pauschalanpassung LC</v>
          </cell>
          <cell r="D447" t="str">
            <v>Ettischer</v>
          </cell>
        </row>
        <row r="448">
          <cell r="A448" t="str">
            <v>067F/R231N#</v>
          </cell>
          <cell r="B448" t="str">
            <v>PG LC</v>
          </cell>
          <cell r="C448" t="str">
            <v>Nachfolgeprj. Neutyp</v>
          </cell>
          <cell r="D448" t="str">
            <v>Ettischer</v>
          </cell>
        </row>
        <row r="449">
          <cell r="A449" t="str">
            <v>067F/R30B0#</v>
          </cell>
          <cell r="B449" t="str">
            <v>PG LC</v>
          </cell>
          <cell r="C449" t="str">
            <v>Änderungen lfd. Serie</v>
          </cell>
          <cell r="D449" t="str">
            <v>Ettischer</v>
          </cell>
        </row>
        <row r="450">
          <cell r="A450" t="str">
            <v>067F/R30B0D</v>
          </cell>
          <cell r="B450" t="str">
            <v>PG LC</v>
          </cell>
          <cell r="C450" t="str">
            <v>Änderungen lfd. Serie</v>
          </cell>
          <cell r="D450" t="str">
            <v>Ettischer</v>
          </cell>
        </row>
        <row r="451">
          <cell r="A451" t="str">
            <v>067F/R30B1#</v>
          </cell>
          <cell r="B451" t="str">
            <v>PG LC</v>
          </cell>
          <cell r="C451" t="str">
            <v>Änderungen lfd. Serie</v>
          </cell>
          <cell r="D451" t="str">
            <v>Ettischer</v>
          </cell>
        </row>
        <row r="452">
          <cell r="A452" t="str">
            <v>067F/R30B1D</v>
          </cell>
          <cell r="B452" t="str">
            <v>PG LC</v>
          </cell>
          <cell r="C452" t="str">
            <v>Änderungen lfd. Serie</v>
          </cell>
          <cell r="D452" t="str">
            <v>Ettischer</v>
          </cell>
        </row>
        <row r="453">
          <cell r="A453" t="str">
            <v>067F/R30B2#</v>
          </cell>
          <cell r="B453" t="str">
            <v>PG LC</v>
          </cell>
          <cell r="C453" t="str">
            <v>Änderungen lfd. Serie</v>
          </cell>
          <cell r="D453" t="str">
            <v>Ettischer</v>
          </cell>
        </row>
        <row r="454">
          <cell r="A454" t="str">
            <v>067F/R30B8D</v>
          </cell>
          <cell r="B454" t="str">
            <v>PG LC</v>
          </cell>
          <cell r="C454" t="str">
            <v>Änderungen lfd. Serie</v>
          </cell>
          <cell r="D454" t="str">
            <v>Ettischer</v>
          </cell>
        </row>
        <row r="455">
          <cell r="A455" t="str">
            <v>067F/R30M6D</v>
          </cell>
          <cell r="B455" t="str">
            <v>PG LC</v>
          </cell>
          <cell r="C455" t="str">
            <v>MOPFen</v>
          </cell>
          <cell r="D455" t="str">
            <v>Ettischer</v>
          </cell>
        </row>
        <row r="456">
          <cell r="A456" t="str">
            <v>067F/R30M6L</v>
          </cell>
          <cell r="B456" t="str">
            <v>PG LC</v>
          </cell>
          <cell r="C456" t="str">
            <v>MOPFen</v>
          </cell>
          <cell r="D456" t="str">
            <v>Ettischer</v>
          </cell>
        </row>
        <row r="457">
          <cell r="A457" t="str">
            <v>067F/R30M8D</v>
          </cell>
          <cell r="B457" t="str">
            <v>PG LC</v>
          </cell>
          <cell r="C457" t="str">
            <v>MOPFen</v>
          </cell>
          <cell r="D457" t="str">
            <v>Ettischer</v>
          </cell>
        </row>
        <row r="458">
          <cell r="A458" t="str">
            <v>067F/R30M8L</v>
          </cell>
          <cell r="B458" t="str">
            <v>PG LC</v>
          </cell>
          <cell r="C458" t="str">
            <v>MOPFen</v>
          </cell>
          <cell r="D458" t="str">
            <v>Ettischer</v>
          </cell>
        </row>
        <row r="459">
          <cell r="A459" t="str">
            <v>067F/R31A3#</v>
          </cell>
          <cell r="B459" t="str">
            <v>PG LC</v>
          </cell>
          <cell r="C459" t="str">
            <v>Änderungsjahre</v>
          </cell>
          <cell r="D459" t="str">
            <v>Ettischer</v>
          </cell>
        </row>
        <row r="460">
          <cell r="A460" t="str">
            <v>067F/R31A4#</v>
          </cell>
          <cell r="B460" t="str">
            <v>PG LC</v>
          </cell>
          <cell r="C460" t="str">
            <v>Änderungsjahre</v>
          </cell>
          <cell r="D460" t="str">
            <v>Ettischer</v>
          </cell>
        </row>
        <row r="461">
          <cell r="A461" t="str">
            <v>067F/R31A5#</v>
          </cell>
          <cell r="B461" t="str">
            <v>PG LC</v>
          </cell>
          <cell r="C461" t="str">
            <v>Änderungsjahre</v>
          </cell>
          <cell r="D461" t="str">
            <v>Ettischer</v>
          </cell>
        </row>
        <row r="462">
          <cell r="A462" t="str">
            <v>067F/R31A7#</v>
          </cell>
          <cell r="B462" t="str">
            <v>PG LC</v>
          </cell>
          <cell r="C462" t="str">
            <v>Änderungsjahre</v>
          </cell>
          <cell r="D462" t="str">
            <v>Ettischer</v>
          </cell>
        </row>
        <row r="463">
          <cell r="A463" t="str">
            <v>067F/R31A8#</v>
          </cell>
          <cell r="B463" t="str">
            <v>PG LC</v>
          </cell>
          <cell r="C463" t="str">
            <v>Änderungsjahre</v>
          </cell>
          <cell r="D463" t="str">
            <v>Ettischer</v>
          </cell>
        </row>
        <row r="464">
          <cell r="A464" t="str">
            <v>067F/R31B#D</v>
          </cell>
          <cell r="B464" t="str">
            <v>PG LC</v>
          </cell>
          <cell r="C464" t="str">
            <v>Änderungen lfd. Serie</v>
          </cell>
          <cell r="D464" t="str">
            <v>Ettischer</v>
          </cell>
        </row>
        <row r="465">
          <cell r="A465" t="str">
            <v>067F/R31B2#</v>
          </cell>
          <cell r="B465" t="str">
            <v>PG LC</v>
          </cell>
          <cell r="C465" t="str">
            <v>Änderungen lfd. Serie</v>
          </cell>
          <cell r="D465" t="str">
            <v>Ettischer</v>
          </cell>
        </row>
        <row r="466">
          <cell r="A466" t="str">
            <v>067F/R31B2D</v>
          </cell>
          <cell r="B466" t="str">
            <v>PG LC</v>
          </cell>
          <cell r="C466" t="str">
            <v>Änderungen lfd. Serie</v>
          </cell>
          <cell r="D466" t="str">
            <v>Ettischer</v>
          </cell>
        </row>
        <row r="467">
          <cell r="A467" t="str">
            <v>067F/R31B3#</v>
          </cell>
          <cell r="B467" t="str">
            <v>PG LC</v>
          </cell>
          <cell r="C467" t="str">
            <v>Änderungen lfd. Serie</v>
          </cell>
          <cell r="D467" t="str">
            <v>Ettischer</v>
          </cell>
        </row>
        <row r="468">
          <cell r="A468" t="str">
            <v>067F/R31B4#</v>
          </cell>
          <cell r="B468" t="str">
            <v>PG LC</v>
          </cell>
          <cell r="C468" t="str">
            <v>Änderungen lfd. Serie</v>
          </cell>
          <cell r="D468" t="str">
            <v>Ettischer</v>
          </cell>
        </row>
        <row r="469">
          <cell r="A469" t="str">
            <v>067F/R31B5#</v>
          </cell>
          <cell r="B469" t="str">
            <v>PG LC</v>
          </cell>
          <cell r="C469" t="str">
            <v>Änderungen lfd. Serie</v>
          </cell>
          <cell r="D469" t="str">
            <v>Ettischer</v>
          </cell>
        </row>
        <row r="470">
          <cell r="A470" t="str">
            <v>067F/R31B5D</v>
          </cell>
          <cell r="B470" t="str">
            <v>PG LC</v>
          </cell>
          <cell r="C470" t="str">
            <v>Änderungen lfd. Serie</v>
          </cell>
          <cell r="D470" t="str">
            <v>Ettischer</v>
          </cell>
        </row>
        <row r="471">
          <cell r="A471" t="str">
            <v>067F/R31B6#</v>
          </cell>
          <cell r="B471" t="str">
            <v>PG LC</v>
          </cell>
          <cell r="C471" t="str">
            <v>Änderungen lfd. Serie</v>
          </cell>
          <cell r="D471" t="str">
            <v>Ettischer</v>
          </cell>
        </row>
        <row r="472">
          <cell r="A472" t="str">
            <v>067F/R31B6D</v>
          </cell>
          <cell r="B472" t="str">
            <v>PG LC</v>
          </cell>
          <cell r="C472" t="str">
            <v>Änderungen lfd. Serie</v>
          </cell>
          <cell r="D472" t="str">
            <v>Ettischer</v>
          </cell>
        </row>
        <row r="473">
          <cell r="A473" t="str">
            <v>067F/R31B7#</v>
          </cell>
          <cell r="B473" t="str">
            <v>PG LC</v>
          </cell>
          <cell r="C473" t="str">
            <v>Änderungen lfd. Serie</v>
          </cell>
          <cell r="D473" t="str">
            <v>Ettischer</v>
          </cell>
        </row>
        <row r="474">
          <cell r="A474" t="str">
            <v>067F/R31B7D</v>
          </cell>
          <cell r="B474" t="str">
            <v>PG LC</v>
          </cell>
          <cell r="C474" t="str">
            <v>Änderungen lfd. Serie</v>
          </cell>
          <cell r="D474" t="str">
            <v>Ettischer</v>
          </cell>
        </row>
        <row r="475">
          <cell r="A475" t="str">
            <v>067F/R31B8#</v>
          </cell>
          <cell r="B475" t="str">
            <v>PG LC</v>
          </cell>
          <cell r="C475" t="str">
            <v>Änderungen lfd. Serie</v>
          </cell>
          <cell r="D475" t="str">
            <v>Ettischer</v>
          </cell>
        </row>
        <row r="476">
          <cell r="A476" t="str">
            <v>067F/R31BN#</v>
          </cell>
          <cell r="B476" t="str">
            <v>PG LC</v>
          </cell>
          <cell r="C476" t="str">
            <v>Änderungen lfd. Serie</v>
          </cell>
          <cell r="D476" t="str">
            <v>Ettischer</v>
          </cell>
        </row>
        <row r="477">
          <cell r="A477" t="str">
            <v>067F/R31M1D</v>
          </cell>
          <cell r="B477" t="str">
            <v>PG LC</v>
          </cell>
          <cell r="C477" t="str">
            <v>MOPFen</v>
          </cell>
          <cell r="D477" t="str">
            <v>Ettischer</v>
          </cell>
        </row>
        <row r="478">
          <cell r="A478" t="str">
            <v>067F/R31MH#</v>
          </cell>
          <cell r="B478" t="str">
            <v>PG LC</v>
          </cell>
          <cell r="C478" t="str">
            <v>MOPFen</v>
          </cell>
          <cell r="D478" t="str">
            <v>Ettischer</v>
          </cell>
        </row>
        <row r="479">
          <cell r="A479" t="str">
            <v>067F/R71B1#</v>
          </cell>
          <cell r="B479" t="str">
            <v>PG LC</v>
          </cell>
          <cell r="C479" t="str">
            <v>Änderungen lfd. Serie</v>
          </cell>
          <cell r="D479" t="str">
            <v>Ettischer</v>
          </cell>
        </row>
        <row r="480">
          <cell r="A480" t="str">
            <v>067F/R71I1L</v>
          </cell>
          <cell r="B480" t="str">
            <v>Insolvenz</v>
          </cell>
          <cell r="C480" t="str">
            <v>Insolvenz</v>
          </cell>
          <cell r="D480" t="str">
            <v>tbd.</v>
          </cell>
        </row>
        <row r="481">
          <cell r="A481" t="str">
            <v>067F/R72A2#</v>
          </cell>
          <cell r="B481" t="str">
            <v>PG LC</v>
          </cell>
          <cell r="C481" t="str">
            <v>Änderungsjahre</v>
          </cell>
          <cell r="D481" t="str">
            <v>Ettischer</v>
          </cell>
        </row>
        <row r="482">
          <cell r="A482" t="str">
            <v>067F/R72A3#</v>
          </cell>
          <cell r="B482" t="str">
            <v>PG LC</v>
          </cell>
          <cell r="C482" t="str">
            <v>Änderungsjahre</v>
          </cell>
          <cell r="D482" t="str">
            <v>Ettischer</v>
          </cell>
        </row>
        <row r="483">
          <cell r="A483" t="str">
            <v>067F/R72A4#</v>
          </cell>
          <cell r="B483" t="str">
            <v>PG LC</v>
          </cell>
          <cell r="C483" t="str">
            <v>Änderungsjahre</v>
          </cell>
          <cell r="D483" t="str">
            <v>Ettischer</v>
          </cell>
        </row>
        <row r="484">
          <cell r="A484" t="str">
            <v>067F/R72A5#</v>
          </cell>
          <cell r="B484" t="str">
            <v>PG LC</v>
          </cell>
          <cell r="C484" t="str">
            <v>Änderungsjahre</v>
          </cell>
          <cell r="D484" t="str">
            <v>Ettischer</v>
          </cell>
        </row>
        <row r="485">
          <cell r="A485" t="str">
            <v>067F/R72A6D</v>
          </cell>
          <cell r="B485" t="str">
            <v>PG LC</v>
          </cell>
          <cell r="C485" t="str">
            <v>Änderungsjahre</v>
          </cell>
          <cell r="D485" t="str">
            <v>Ettischer</v>
          </cell>
        </row>
        <row r="486">
          <cell r="A486" t="str">
            <v>067F/R72A7#</v>
          </cell>
          <cell r="B486" t="str">
            <v>PG LC</v>
          </cell>
          <cell r="C486" t="str">
            <v>Änderungsjahre</v>
          </cell>
          <cell r="D486" t="str">
            <v>Ettischer</v>
          </cell>
        </row>
        <row r="487">
          <cell r="A487" t="str">
            <v>067F/R72B#D</v>
          </cell>
          <cell r="B487" t="str">
            <v>PG LC</v>
          </cell>
          <cell r="C487" t="str">
            <v>Änderungen lfd. Serie</v>
          </cell>
          <cell r="D487" t="str">
            <v>Ettischer</v>
          </cell>
        </row>
        <row r="488">
          <cell r="A488" t="str">
            <v>067F/R72B1#</v>
          </cell>
          <cell r="B488" t="str">
            <v>PG LC</v>
          </cell>
          <cell r="C488" t="str">
            <v>Änderungen lfd. Serie</v>
          </cell>
          <cell r="D488" t="str">
            <v>Ettischer</v>
          </cell>
        </row>
        <row r="489">
          <cell r="A489" t="str">
            <v>067F/R72B1D</v>
          </cell>
          <cell r="B489" t="str">
            <v>PG LC</v>
          </cell>
          <cell r="C489" t="str">
            <v>Änderungen lfd. Serie</v>
          </cell>
          <cell r="D489" t="str">
            <v>Ettischer</v>
          </cell>
        </row>
        <row r="490">
          <cell r="A490" t="str">
            <v>067F/R72B2#</v>
          </cell>
          <cell r="B490" t="str">
            <v>PG LC</v>
          </cell>
          <cell r="C490" t="str">
            <v>Änderungen lfd. Serie</v>
          </cell>
          <cell r="D490" t="str">
            <v>Ettischer</v>
          </cell>
        </row>
        <row r="491">
          <cell r="A491" t="str">
            <v>067F/R72B2D</v>
          </cell>
          <cell r="B491" t="str">
            <v>PG LC</v>
          </cell>
          <cell r="C491" t="str">
            <v>Änderungen lfd. Serie</v>
          </cell>
          <cell r="D491" t="str">
            <v>Ettischer</v>
          </cell>
        </row>
        <row r="492">
          <cell r="A492" t="str">
            <v>067F/R72B3#</v>
          </cell>
          <cell r="B492" t="str">
            <v>PG LC</v>
          </cell>
          <cell r="C492" t="str">
            <v>Änderungen lfd. Serie</v>
          </cell>
          <cell r="D492" t="str">
            <v>Ettischer</v>
          </cell>
        </row>
        <row r="493">
          <cell r="A493" t="str">
            <v>067F/R72B4D</v>
          </cell>
          <cell r="B493" t="str">
            <v>PG LC</v>
          </cell>
          <cell r="C493" t="str">
            <v>Änderungen lfd. Serie</v>
          </cell>
          <cell r="D493" t="str">
            <v>Ettischer</v>
          </cell>
        </row>
        <row r="494">
          <cell r="A494" t="str">
            <v>067F/R72B5D</v>
          </cell>
          <cell r="B494" t="str">
            <v>PG LC</v>
          </cell>
          <cell r="C494" t="str">
            <v>Änderungen lfd. Serie</v>
          </cell>
          <cell r="D494" t="str">
            <v>Ettischer</v>
          </cell>
        </row>
        <row r="495">
          <cell r="A495" t="str">
            <v>067F/R72B6D</v>
          </cell>
          <cell r="B495" t="str">
            <v>PG LC</v>
          </cell>
          <cell r="C495" t="str">
            <v>Änderungen lfd. Serie</v>
          </cell>
          <cell r="D495" t="str">
            <v>Ettischer</v>
          </cell>
        </row>
        <row r="496">
          <cell r="A496" t="str">
            <v>067F/R72B7D</v>
          </cell>
          <cell r="B496" t="str">
            <v>PG LC</v>
          </cell>
          <cell r="C496" t="str">
            <v>Änderungen lfd. Serie</v>
          </cell>
          <cell r="D496" t="str">
            <v>Ettischer</v>
          </cell>
        </row>
        <row r="497">
          <cell r="A497" t="str">
            <v>067F/R72M1#</v>
          </cell>
          <cell r="B497" t="str">
            <v>PG LC</v>
          </cell>
          <cell r="C497" t="str">
            <v>MOPFen</v>
          </cell>
          <cell r="D497" t="str">
            <v>Ettischer</v>
          </cell>
        </row>
        <row r="498">
          <cell r="A498" t="str">
            <v>067F/S04B0#</v>
          </cell>
          <cell r="B498" t="str">
            <v>PG MC</v>
          </cell>
          <cell r="C498" t="str">
            <v>Änderungen lfd. Serie</v>
          </cell>
          <cell r="D498" t="str">
            <v>Nicolai</v>
          </cell>
        </row>
        <row r="499">
          <cell r="A499" t="str">
            <v>067F/S04B9D</v>
          </cell>
          <cell r="B499" t="str">
            <v>PG MC</v>
          </cell>
          <cell r="C499" t="str">
            <v>Änderungen lfd. Serie</v>
          </cell>
          <cell r="D499" t="str">
            <v>Nicolai</v>
          </cell>
        </row>
        <row r="500">
          <cell r="A500" t="str">
            <v>067F/S05BN#</v>
          </cell>
          <cell r="B500" t="str">
            <v>PG MC</v>
          </cell>
          <cell r="C500" t="str">
            <v>Änderungen lfd. Serie</v>
          </cell>
          <cell r="D500" t="str">
            <v>Nicolai</v>
          </cell>
        </row>
        <row r="501">
          <cell r="A501" t="str">
            <v>067F/S05BND</v>
          </cell>
          <cell r="B501" t="str">
            <v>PG MC</v>
          </cell>
          <cell r="C501" t="str">
            <v>Änderungen lfd. Serie</v>
          </cell>
          <cell r="D501" t="str">
            <v>Nicolai</v>
          </cell>
        </row>
        <row r="502">
          <cell r="A502" t="str">
            <v>067F/S205##</v>
          </cell>
          <cell r="B502" t="str">
            <v>PG MC</v>
          </cell>
          <cell r="C502" t="str">
            <v>i.W. Planungsleistung W175</v>
          </cell>
          <cell r="D502" t="str">
            <v>Nicolai</v>
          </cell>
        </row>
        <row r="503">
          <cell r="A503" t="str">
            <v>067F/S205#L</v>
          </cell>
          <cell r="B503" t="str">
            <v>PG MC</v>
          </cell>
          <cell r="C503" t="str">
            <v>i.W. Planungsleistung W175</v>
          </cell>
          <cell r="D503" t="str">
            <v>Nicolai</v>
          </cell>
        </row>
        <row r="504">
          <cell r="A504" t="str">
            <v>067F/S205N#</v>
          </cell>
          <cell r="B504" t="str">
            <v>PG MC</v>
          </cell>
          <cell r="C504" t="str">
            <v>Nachfolgeprj. Neutyp</v>
          </cell>
          <cell r="D504" t="str">
            <v>Nicolai</v>
          </cell>
        </row>
        <row r="505">
          <cell r="A505" t="str">
            <v>067F/S205ND</v>
          </cell>
          <cell r="B505" t="str">
            <v>PG MC</v>
          </cell>
          <cell r="C505" t="str">
            <v>Nachfolgeprj. Neutyp</v>
          </cell>
          <cell r="D505" t="str">
            <v>Nicolai</v>
          </cell>
        </row>
        <row r="506">
          <cell r="A506" t="str">
            <v>067F/W04A0#</v>
          </cell>
          <cell r="B506" t="str">
            <v>PG MC</v>
          </cell>
          <cell r="C506" t="str">
            <v>Änderungsjahre</v>
          </cell>
          <cell r="D506" t="str">
            <v>Nicolai</v>
          </cell>
        </row>
        <row r="507">
          <cell r="A507" t="str">
            <v>067F/W04A2#</v>
          </cell>
          <cell r="B507" t="str">
            <v>PG MC</v>
          </cell>
          <cell r="C507" t="str">
            <v>Änderungsjahre</v>
          </cell>
          <cell r="D507" t="str">
            <v>Nicolai</v>
          </cell>
        </row>
        <row r="508">
          <cell r="A508" t="str">
            <v>067F/W04A3#</v>
          </cell>
          <cell r="B508" t="str">
            <v>PG MC</v>
          </cell>
          <cell r="C508" t="str">
            <v>Änderungsjahre</v>
          </cell>
          <cell r="D508" t="str">
            <v>Nicolai</v>
          </cell>
        </row>
        <row r="509">
          <cell r="A509" t="str">
            <v>067F/W04B0#</v>
          </cell>
          <cell r="B509" t="str">
            <v>PG MC</v>
          </cell>
          <cell r="C509" t="str">
            <v>Änderungen lfd. Serie</v>
          </cell>
          <cell r="D509" t="str">
            <v>Nicolai</v>
          </cell>
        </row>
        <row r="510">
          <cell r="A510" t="str">
            <v>067F/W04B1#</v>
          </cell>
          <cell r="B510" t="str">
            <v>PG MC</v>
          </cell>
          <cell r="C510" t="str">
            <v>Änderungen lfd. Serie</v>
          </cell>
          <cell r="D510" t="str">
            <v>Nicolai</v>
          </cell>
        </row>
        <row r="511">
          <cell r="A511" t="str">
            <v>067F/W04B2#</v>
          </cell>
          <cell r="B511" t="str">
            <v>PG MC</v>
          </cell>
          <cell r="C511" t="str">
            <v>Änderungen lfd. Serie</v>
          </cell>
          <cell r="D511" t="str">
            <v>Nicolai</v>
          </cell>
        </row>
        <row r="512">
          <cell r="A512" t="str">
            <v>067F/W04B3#</v>
          </cell>
          <cell r="B512" t="str">
            <v>PG MC</v>
          </cell>
          <cell r="C512" t="str">
            <v>Änderungen lfd. Serie</v>
          </cell>
          <cell r="D512" t="str">
            <v>Nicolai</v>
          </cell>
        </row>
        <row r="513">
          <cell r="A513" t="str">
            <v>067F/W05A##</v>
          </cell>
          <cell r="B513" t="str">
            <v>PG MC</v>
          </cell>
          <cell r="C513" t="str">
            <v>Änderungsjahre</v>
          </cell>
          <cell r="D513" t="str">
            <v>Nicolai</v>
          </cell>
        </row>
        <row r="514">
          <cell r="A514" t="str">
            <v>067F/W05B##</v>
          </cell>
          <cell r="B514" t="str">
            <v>PG MC</v>
          </cell>
          <cell r="C514" t="str">
            <v>Änderungen lfd. Serie</v>
          </cell>
          <cell r="D514" t="str">
            <v>Nicolai</v>
          </cell>
        </row>
        <row r="515">
          <cell r="A515" t="str">
            <v>067F/W05BN#</v>
          </cell>
          <cell r="B515" t="str">
            <v>PG MC</v>
          </cell>
          <cell r="C515" t="str">
            <v>Änderungen lfd. Serie</v>
          </cell>
          <cell r="D515" t="str">
            <v>Nicolai</v>
          </cell>
        </row>
        <row r="516">
          <cell r="A516" t="str">
            <v>067F/W05BND</v>
          </cell>
          <cell r="B516" t="str">
            <v>PG MC</v>
          </cell>
          <cell r="C516" t="str">
            <v>Änderungen lfd. Serie</v>
          </cell>
          <cell r="D516" t="str">
            <v>Nicolai</v>
          </cell>
        </row>
        <row r="517">
          <cell r="A517" t="str">
            <v>067F/W05M1#</v>
          </cell>
          <cell r="B517" t="str">
            <v>PG MC</v>
          </cell>
          <cell r="C517" t="str">
            <v>MOPFen</v>
          </cell>
          <cell r="D517" t="str">
            <v>Nicolai</v>
          </cell>
        </row>
        <row r="518">
          <cell r="A518" t="str">
            <v>067F/W205##</v>
          </cell>
          <cell r="B518" t="str">
            <v>PG MC</v>
          </cell>
          <cell r="C518" t="str">
            <v>i.W. Planungsleistung W175</v>
          </cell>
          <cell r="D518" t="str">
            <v>Nicolai</v>
          </cell>
        </row>
        <row r="519">
          <cell r="A519" t="str">
            <v>067F/W205N#</v>
          </cell>
          <cell r="B519" t="str">
            <v>PG MC</v>
          </cell>
          <cell r="C519" t="str">
            <v>Nachfolgeprj. Neutyp</v>
          </cell>
          <cell r="D519" t="str">
            <v>Nicolai</v>
          </cell>
        </row>
        <row r="520">
          <cell r="A520" t="str">
            <v>067F/W205ND</v>
          </cell>
          <cell r="B520" t="str">
            <v>PG MC</v>
          </cell>
          <cell r="C520" t="str">
            <v>Nachfolgeprj. Neutyp</v>
          </cell>
          <cell r="D520" t="str">
            <v>Nicolai</v>
          </cell>
        </row>
        <row r="521">
          <cell r="A521" t="str">
            <v>067F/X04A0#</v>
          </cell>
          <cell r="B521" t="str">
            <v>PG MC</v>
          </cell>
          <cell r="C521" t="str">
            <v>Änderungsjahre</v>
          </cell>
          <cell r="D521" t="str">
            <v>Nicolai</v>
          </cell>
        </row>
        <row r="522">
          <cell r="A522" t="str">
            <v>067F/X04A1#</v>
          </cell>
          <cell r="B522" t="str">
            <v>PG MC</v>
          </cell>
          <cell r="C522" t="str">
            <v>Änderungsjahre</v>
          </cell>
          <cell r="D522" t="str">
            <v>Nicolai</v>
          </cell>
        </row>
        <row r="523">
          <cell r="A523" t="str">
            <v>067F/X04A1D</v>
          </cell>
          <cell r="B523" t="str">
            <v>PG MC</v>
          </cell>
          <cell r="C523" t="str">
            <v>Änderungsjahre</v>
          </cell>
          <cell r="D523" t="str">
            <v>Nicolai</v>
          </cell>
        </row>
        <row r="524">
          <cell r="A524" t="str">
            <v>067F/X04A3#</v>
          </cell>
          <cell r="B524" t="str">
            <v>PG MC</v>
          </cell>
          <cell r="C524" t="str">
            <v>Änderungsjahre</v>
          </cell>
          <cell r="D524" t="str">
            <v>Nicolai</v>
          </cell>
        </row>
        <row r="525">
          <cell r="A525" t="str">
            <v>067F/X04A4#</v>
          </cell>
          <cell r="B525" t="str">
            <v>PG MC</v>
          </cell>
          <cell r="C525" t="str">
            <v>Änderungsjahre</v>
          </cell>
          <cell r="D525" t="str">
            <v>Nicolai</v>
          </cell>
        </row>
        <row r="526">
          <cell r="A526" t="str">
            <v>067F/X04A9#</v>
          </cell>
          <cell r="B526" t="str">
            <v>PG MC</v>
          </cell>
          <cell r="C526" t="str">
            <v>Änderungsjahre</v>
          </cell>
          <cell r="D526" t="str">
            <v>Nicolai</v>
          </cell>
        </row>
        <row r="527">
          <cell r="A527" t="str">
            <v>067F/X04B#D</v>
          </cell>
          <cell r="B527" t="str">
            <v>PG MC</v>
          </cell>
          <cell r="C527" t="str">
            <v>Änderungen lfd. Serie</v>
          </cell>
          <cell r="D527" t="str">
            <v>Nicolai</v>
          </cell>
        </row>
        <row r="528">
          <cell r="A528" t="str">
            <v>067F/X04B0#</v>
          </cell>
          <cell r="B528" t="str">
            <v>PG MC</v>
          </cell>
          <cell r="C528" t="str">
            <v>Änderungen lfd. Serie</v>
          </cell>
          <cell r="D528" t="str">
            <v>Nicolai</v>
          </cell>
        </row>
        <row r="529">
          <cell r="A529" t="str">
            <v>067F/X04B0D</v>
          </cell>
          <cell r="B529" t="str">
            <v>PG MC</v>
          </cell>
          <cell r="C529" t="str">
            <v>Änderungen lfd. Serie</v>
          </cell>
          <cell r="D529" t="str">
            <v>Nicolai</v>
          </cell>
        </row>
        <row r="530">
          <cell r="A530" t="str">
            <v>067F/X04B1#</v>
          </cell>
          <cell r="B530" t="str">
            <v>PG MC</v>
          </cell>
          <cell r="C530" t="str">
            <v>Änderungen lfd. Serie</v>
          </cell>
          <cell r="D530" t="str">
            <v>Nicolai</v>
          </cell>
        </row>
        <row r="531">
          <cell r="A531" t="str">
            <v>067F/X04B1D</v>
          </cell>
          <cell r="B531" t="str">
            <v>PG MC</v>
          </cell>
          <cell r="C531" t="str">
            <v>Änderungen lfd. Serie</v>
          </cell>
          <cell r="D531" t="str">
            <v>Nicolai</v>
          </cell>
        </row>
        <row r="532">
          <cell r="A532" t="str">
            <v>067F/X04B2#</v>
          </cell>
          <cell r="B532" t="str">
            <v>PG MC</v>
          </cell>
          <cell r="C532" t="str">
            <v>Änderungen lfd. Serie</v>
          </cell>
          <cell r="D532" t="str">
            <v>Nicolai</v>
          </cell>
        </row>
        <row r="533">
          <cell r="A533" t="str">
            <v>067F/X04B3#</v>
          </cell>
          <cell r="B533" t="str">
            <v>PG MC</v>
          </cell>
          <cell r="C533" t="str">
            <v>Änderungen lfd. Serie</v>
          </cell>
          <cell r="D533" t="str">
            <v>Nicolai</v>
          </cell>
        </row>
        <row r="534">
          <cell r="A534" t="str">
            <v>067F/X04B4#</v>
          </cell>
          <cell r="B534" t="str">
            <v>PG MC</v>
          </cell>
          <cell r="C534" t="str">
            <v>Änderungen lfd. Serie</v>
          </cell>
          <cell r="D534" t="str">
            <v>Nicolai</v>
          </cell>
        </row>
        <row r="535">
          <cell r="A535" t="str">
            <v>067F/X04B5#</v>
          </cell>
          <cell r="B535" t="str">
            <v>PG MC</v>
          </cell>
          <cell r="C535" t="str">
            <v>Änderungen lfd. Serie</v>
          </cell>
          <cell r="D535" t="str">
            <v>Nicolai</v>
          </cell>
        </row>
        <row r="536">
          <cell r="A536" t="str">
            <v>067F/X04B9#</v>
          </cell>
          <cell r="B536" t="str">
            <v>PG MC</v>
          </cell>
          <cell r="C536" t="str">
            <v>Änderungen lfd. Serie</v>
          </cell>
          <cell r="D536" t="str">
            <v>Nicolai</v>
          </cell>
        </row>
        <row r="537">
          <cell r="A537" t="str">
            <v>067F/X05A##</v>
          </cell>
          <cell r="B537" t="str">
            <v>PG MC</v>
          </cell>
          <cell r="C537" t="str">
            <v>Änderungsjahre</v>
          </cell>
          <cell r="D537" t="str">
            <v>Nicolai</v>
          </cell>
        </row>
        <row r="538">
          <cell r="A538" t="str">
            <v>067F/X05L##</v>
          </cell>
          <cell r="B538" t="str">
            <v>PG MC</v>
          </cell>
          <cell r="C538" t="str">
            <v>Änderungen lfd. Serie</v>
          </cell>
          <cell r="D538" t="str">
            <v>Nicolai</v>
          </cell>
        </row>
        <row r="539">
          <cell r="A539" t="str">
            <v>067F/X05M1#</v>
          </cell>
          <cell r="B539" t="str">
            <v>PG MC</v>
          </cell>
          <cell r="C539" t="str">
            <v>MOPFen</v>
          </cell>
          <cell r="D539" t="str">
            <v>Nicolai</v>
          </cell>
        </row>
        <row r="540">
          <cell r="A540" t="str">
            <v>067F/X204#D</v>
          </cell>
          <cell r="B540" t="str">
            <v>PG MC</v>
          </cell>
          <cell r="C540" t="str">
            <v>i.W. Planungsleistung W175</v>
          </cell>
          <cell r="D540" t="str">
            <v>Nicolai</v>
          </cell>
        </row>
        <row r="541">
          <cell r="A541" t="str">
            <v>067F/X204#L</v>
          </cell>
          <cell r="B541" t="str">
            <v>PG MC</v>
          </cell>
          <cell r="C541" t="str">
            <v>i.W. Planungsleistung W175</v>
          </cell>
          <cell r="D541" t="str">
            <v>Nicolai</v>
          </cell>
        </row>
        <row r="542">
          <cell r="A542" t="str">
            <v>067F/X205##</v>
          </cell>
          <cell r="B542" t="str">
            <v>PG MC</v>
          </cell>
          <cell r="C542" t="str">
            <v>i.W. Planungsleistung W175</v>
          </cell>
          <cell r="D542" t="str">
            <v>Nicolai</v>
          </cell>
        </row>
        <row r="543">
          <cell r="A543" t="str">
            <v>067K/172B2P</v>
          </cell>
          <cell r="B543" t="str">
            <v>PG LC</v>
          </cell>
          <cell r="C543" t="str">
            <v>Änderungen lfd. Serie</v>
          </cell>
          <cell r="D543" t="str">
            <v>Ettischer</v>
          </cell>
        </row>
        <row r="544">
          <cell r="A544" t="str">
            <v>067K/204L1P</v>
          </cell>
          <cell r="B544" t="str">
            <v>PG MC</v>
          </cell>
          <cell r="C544" t="str">
            <v>Änderungen lfd. Serie</v>
          </cell>
          <cell r="D544" t="str">
            <v>Nicolai</v>
          </cell>
        </row>
        <row r="545">
          <cell r="A545" t="str">
            <v>067K/204L3P</v>
          </cell>
          <cell r="B545" t="str">
            <v>PG MC</v>
          </cell>
          <cell r="C545" t="str">
            <v>Änderungen lfd. Serie</v>
          </cell>
          <cell r="D545" t="str">
            <v>Nicolai</v>
          </cell>
        </row>
        <row r="546">
          <cell r="A546" t="str">
            <v>067K/207L3P</v>
          </cell>
          <cell r="B546" t="str">
            <v>PG MC</v>
          </cell>
          <cell r="C546" t="str">
            <v>Änderungen lfd. Serie</v>
          </cell>
          <cell r="D546" t="str">
            <v>Nicolai</v>
          </cell>
        </row>
        <row r="547">
          <cell r="A547" t="str">
            <v>067K/212L1P</v>
          </cell>
          <cell r="B547" t="str">
            <v>PG MC</v>
          </cell>
          <cell r="C547" t="str">
            <v>Änderungen lfd. Serie</v>
          </cell>
          <cell r="D547" t="str">
            <v>Nicolai</v>
          </cell>
        </row>
        <row r="548">
          <cell r="A548" t="str">
            <v>067K/A07L1P</v>
          </cell>
          <cell r="B548" t="str">
            <v>PG MC</v>
          </cell>
          <cell r="C548" t="str">
            <v>Änderungen lfd. Serie</v>
          </cell>
          <cell r="D548" t="str">
            <v>Nicolai</v>
          </cell>
        </row>
        <row r="549">
          <cell r="A549" t="str">
            <v>067K/C05A#P</v>
          </cell>
          <cell r="B549" t="str">
            <v>PG MC</v>
          </cell>
          <cell r="C549" t="str">
            <v>Änderungsjahre</v>
          </cell>
          <cell r="D549" t="str">
            <v>Nicolai</v>
          </cell>
        </row>
        <row r="550">
          <cell r="A550" t="str">
            <v>067K/C05L#P</v>
          </cell>
          <cell r="B550" t="str">
            <v>PG MC</v>
          </cell>
          <cell r="C550" t="str">
            <v>Änderungen lfd. Serie</v>
          </cell>
          <cell r="D550" t="str">
            <v>Nicolai</v>
          </cell>
        </row>
        <row r="551">
          <cell r="A551" t="str">
            <v>067K/C07L0P</v>
          </cell>
          <cell r="B551" t="str">
            <v>PG MC</v>
          </cell>
          <cell r="C551" t="str">
            <v>Änderungen lfd. Serie</v>
          </cell>
          <cell r="D551" t="str">
            <v>Nicolai</v>
          </cell>
        </row>
        <row r="552">
          <cell r="A552" t="str">
            <v>067K/C07L1P</v>
          </cell>
          <cell r="B552" t="str">
            <v>PG MC</v>
          </cell>
          <cell r="C552" t="str">
            <v>Änderungen lfd. Serie</v>
          </cell>
          <cell r="D552" t="str">
            <v>Nicolai</v>
          </cell>
        </row>
        <row r="553">
          <cell r="A553" t="str">
            <v>067K/C07L3P</v>
          </cell>
          <cell r="B553" t="str">
            <v>PG MC</v>
          </cell>
          <cell r="C553" t="str">
            <v>Änderungen lfd. Serie</v>
          </cell>
          <cell r="D553" t="str">
            <v>Nicolai</v>
          </cell>
        </row>
        <row r="554">
          <cell r="A554" t="str">
            <v>067K/C07L9P</v>
          </cell>
          <cell r="B554" t="str">
            <v>PG MC</v>
          </cell>
          <cell r="C554" t="str">
            <v>Änderungen lfd. Serie</v>
          </cell>
          <cell r="D554" t="str">
            <v>Nicolai</v>
          </cell>
        </row>
        <row r="555">
          <cell r="A555" t="str">
            <v>067K/C38A#P</v>
          </cell>
          <cell r="B555" t="str">
            <v>PG MC</v>
          </cell>
          <cell r="C555" t="str">
            <v>Änderungsjahre</v>
          </cell>
          <cell r="D555" t="str">
            <v>Nicolai</v>
          </cell>
        </row>
        <row r="556">
          <cell r="A556" t="str">
            <v>067K/C38L#P</v>
          </cell>
          <cell r="B556" t="str">
            <v>PG MC</v>
          </cell>
          <cell r="C556" t="str">
            <v>Änderungen lfd. Serie</v>
          </cell>
          <cell r="D556" t="str">
            <v>Nicolai</v>
          </cell>
        </row>
        <row r="557">
          <cell r="A557" t="str">
            <v>067K/N172AP</v>
          </cell>
          <cell r="B557" t="str">
            <v>PG LC</v>
          </cell>
          <cell r="C557" t="str">
            <v>Änderungsjahre</v>
          </cell>
          <cell r="D557" t="str">
            <v>Ettischer</v>
          </cell>
        </row>
        <row r="558">
          <cell r="A558" t="str">
            <v>067K/N172LP</v>
          </cell>
          <cell r="B558" t="str">
            <v>PG LC</v>
          </cell>
          <cell r="C558" t="str">
            <v>Änderungen lfd. Serie</v>
          </cell>
          <cell r="D558" t="str">
            <v>Ettischer</v>
          </cell>
        </row>
        <row r="559">
          <cell r="A559" t="str">
            <v>067K/R72L1P</v>
          </cell>
          <cell r="B559" t="str">
            <v>PG LC</v>
          </cell>
          <cell r="C559" t="str">
            <v>Änderungen lfd. Serie</v>
          </cell>
          <cell r="D559" t="str">
            <v>Ettischer</v>
          </cell>
        </row>
        <row r="560">
          <cell r="A560" t="str">
            <v>067K/X04A0P</v>
          </cell>
          <cell r="B560" t="str">
            <v>PG MC</v>
          </cell>
          <cell r="C560" t="str">
            <v>Änderungsjahre</v>
          </cell>
          <cell r="D560" t="str">
            <v>Nicolai</v>
          </cell>
        </row>
        <row r="561">
          <cell r="A561" t="str">
            <v>067K/X04L9P</v>
          </cell>
          <cell r="B561" t="str">
            <v>PG MC</v>
          </cell>
          <cell r="C561" t="str">
            <v>Änderungen lfd. Serie</v>
          </cell>
          <cell r="D561" t="str">
            <v>Nicolai</v>
          </cell>
        </row>
        <row r="562">
          <cell r="A562" t="str">
            <v>067K/X05A#P</v>
          </cell>
          <cell r="B562" t="str">
            <v>PG MC</v>
          </cell>
          <cell r="C562" t="str">
            <v>Änderungsjahre</v>
          </cell>
          <cell r="D562" t="str">
            <v>Nicolai</v>
          </cell>
        </row>
        <row r="563">
          <cell r="A563" t="str">
            <v>067K/X05L#P</v>
          </cell>
          <cell r="B563" t="str">
            <v>PG MC</v>
          </cell>
          <cell r="C563" t="str">
            <v>Änderungen lfd. Serie</v>
          </cell>
          <cell r="D563" t="str">
            <v>Nicolai</v>
          </cell>
        </row>
        <row r="564">
          <cell r="A564" t="str">
            <v>068A/172RAC</v>
          </cell>
          <cell r="B564" t="str">
            <v>Achsen/Komponenten</v>
          </cell>
          <cell r="C564" t="str">
            <v>Werklieferteile Werk 068</v>
          </cell>
          <cell r="D564" t="str">
            <v>tbd.</v>
          </cell>
        </row>
        <row r="565">
          <cell r="A565" t="str">
            <v>068A/205WHA</v>
          </cell>
          <cell r="B565" t="str">
            <v>Achsen/Komponenten</v>
          </cell>
          <cell r="C565" t="str">
            <v>Werklieferteile Werk 068</v>
          </cell>
          <cell r="D565" t="str">
            <v>tbd.</v>
          </cell>
        </row>
        <row r="566">
          <cell r="A566" t="str">
            <v>068B/166WPA</v>
          </cell>
          <cell r="B566" t="str">
            <v>Achsen/Komponenten</v>
          </cell>
          <cell r="C566" t="str">
            <v>Werklieferteile Werk 068</v>
          </cell>
          <cell r="D566" t="str">
            <v>tbd.</v>
          </cell>
        </row>
        <row r="567">
          <cell r="A567" t="str">
            <v>068B/205WPA</v>
          </cell>
          <cell r="B567" t="str">
            <v>Achsen/Komponenten</v>
          </cell>
          <cell r="C567" t="str">
            <v>Werklieferteile Werk 068</v>
          </cell>
          <cell r="D567" t="str">
            <v>tbd.</v>
          </cell>
        </row>
        <row r="568">
          <cell r="A568" t="str">
            <v>068B/213#PA</v>
          </cell>
          <cell r="B568" t="str">
            <v>Achsen/Komponenten</v>
          </cell>
          <cell r="C568" t="str">
            <v>Werklieferteile Werk 068</v>
          </cell>
          <cell r="D568" t="str">
            <v>tbd.</v>
          </cell>
        </row>
        <row r="569">
          <cell r="A569" t="str">
            <v>068B/222WPA</v>
          </cell>
          <cell r="B569" t="str">
            <v>Achsen/Komponenten</v>
          </cell>
          <cell r="C569" t="str">
            <v>Werklieferteile Werk 068</v>
          </cell>
          <cell r="D569" t="str">
            <v>tbd.</v>
          </cell>
        </row>
        <row r="570">
          <cell r="A570" t="str">
            <v>068B/231RPA</v>
          </cell>
          <cell r="B570" t="str">
            <v>Achsen/Komponenten</v>
          </cell>
          <cell r="C570" t="str">
            <v>Werklieferteile Werk 068</v>
          </cell>
          <cell r="D570" t="str">
            <v>tbd.</v>
          </cell>
        </row>
        <row r="571">
          <cell r="A571" t="str">
            <v>068B/MFA#PA</v>
          </cell>
          <cell r="B571" t="str">
            <v>Achsen/Komponenten</v>
          </cell>
          <cell r="C571" t="str">
            <v>Werklieferteile Werk 068</v>
          </cell>
          <cell r="D571" t="str">
            <v>tbd.</v>
          </cell>
        </row>
        <row r="572">
          <cell r="A572" t="str">
            <v>068E/270LAG</v>
          </cell>
          <cell r="B572" t="str">
            <v>Powertrain</v>
          </cell>
          <cell r="C572" t="str">
            <v>Powertrain</v>
          </cell>
          <cell r="D572" t="str">
            <v>tbd.</v>
          </cell>
        </row>
        <row r="573">
          <cell r="A573" t="str">
            <v>068E/270TAG</v>
          </cell>
          <cell r="B573" t="str">
            <v>Powertrain</v>
          </cell>
          <cell r="C573" t="str">
            <v>Powertrain</v>
          </cell>
          <cell r="D573" t="str">
            <v>tbd.</v>
          </cell>
        </row>
        <row r="574">
          <cell r="A574" t="str">
            <v>068E/271NAG</v>
          </cell>
          <cell r="B574" t="str">
            <v>Powertrain</v>
          </cell>
          <cell r="C574" t="str">
            <v>Powertrain</v>
          </cell>
          <cell r="D574" t="str">
            <v>tbd.</v>
          </cell>
        </row>
        <row r="575">
          <cell r="A575" t="str">
            <v>068E/272MAG</v>
          </cell>
          <cell r="B575" t="str">
            <v>Powertrain</v>
          </cell>
          <cell r="C575" t="str">
            <v>Powertrain</v>
          </cell>
          <cell r="D575" t="str">
            <v>tbd.</v>
          </cell>
        </row>
        <row r="576">
          <cell r="A576" t="str">
            <v>068E/273EAG</v>
          </cell>
          <cell r="B576" t="str">
            <v>Powertrain</v>
          </cell>
          <cell r="C576" t="str">
            <v>Powertrain</v>
          </cell>
          <cell r="D576" t="str">
            <v>tbd.</v>
          </cell>
        </row>
        <row r="577">
          <cell r="A577" t="str">
            <v>068E/274#13</v>
          </cell>
          <cell r="B577" t="str">
            <v>Powertrain</v>
          </cell>
          <cell r="C577" t="str">
            <v>Powertrain</v>
          </cell>
          <cell r="D577" t="str">
            <v>tbd.</v>
          </cell>
        </row>
        <row r="578">
          <cell r="A578" t="str">
            <v>068E/276MAG</v>
          </cell>
          <cell r="B578" t="str">
            <v>Powertrain</v>
          </cell>
          <cell r="C578" t="str">
            <v>Powertrain</v>
          </cell>
          <cell r="D578" t="str">
            <v>tbd.</v>
          </cell>
        </row>
        <row r="579">
          <cell r="A579" t="str">
            <v>068E/642OMG</v>
          </cell>
          <cell r="B579" t="str">
            <v>Powertrain</v>
          </cell>
          <cell r="C579" t="str">
            <v>Powertrain</v>
          </cell>
          <cell r="D579" t="str">
            <v>tbd.</v>
          </cell>
        </row>
        <row r="580">
          <cell r="A580" t="str">
            <v>068E/645OAG</v>
          </cell>
          <cell r="B580" t="str">
            <v>Powertrain</v>
          </cell>
          <cell r="C580" t="str">
            <v>Powertrain</v>
          </cell>
          <cell r="D580" t="str">
            <v>tbd.</v>
          </cell>
        </row>
        <row r="581">
          <cell r="A581" t="str">
            <v>068E/651OAG</v>
          </cell>
          <cell r="B581" t="str">
            <v>Powertrain</v>
          </cell>
          <cell r="C581" t="str">
            <v>Powertrain</v>
          </cell>
          <cell r="D581" t="str">
            <v>tbd.</v>
          </cell>
        </row>
        <row r="582">
          <cell r="A582" t="str">
            <v>068K/172RQT</v>
          </cell>
          <cell r="B582" t="str">
            <v>Achsen/Komponenten</v>
          </cell>
          <cell r="C582" t="str">
            <v>Werklieferteile Werk 068</v>
          </cell>
          <cell r="D582" t="str">
            <v>tbd.</v>
          </cell>
        </row>
        <row r="583">
          <cell r="A583" t="str">
            <v>068K/205WFE</v>
          </cell>
          <cell r="B583" t="str">
            <v>Achsen/Komponenten</v>
          </cell>
          <cell r="C583" t="str">
            <v>Werklieferteile Werk 068</v>
          </cell>
          <cell r="D583" t="str">
            <v>tbd.</v>
          </cell>
        </row>
        <row r="584">
          <cell r="A584" t="str">
            <v>068K/207CFM</v>
          </cell>
          <cell r="B584" t="str">
            <v>Achsen/Komponenten</v>
          </cell>
          <cell r="C584" t="str">
            <v>Werklieferteile Werk 068</v>
          </cell>
          <cell r="D584" t="str">
            <v>tbd.</v>
          </cell>
        </row>
        <row r="585">
          <cell r="A585" t="str">
            <v>068K/218CFM</v>
          </cell>
          <cell r="B585" t="str">
            <v>Achsen/Komponenten</v>
          </cell>
          <cell r="C585" t="str">
            <v>Werklieferteile Werk 068</v>
          </cell>
          <cell r="D585" t="str">
            <v>tbd.</v>
          </cell>
        </row>
        <row r="586">
          <cell r="A586" t="str">
            <v>068K/MFA#QT</v>
          </cell>
          <cell r="B586" t="str">
            <v>Achsen/Komponenten</v>
          </cell>
          <cell r="C586" t="str">
            <v>Werklieferteile Werk 068</v>
          </cell>
          <cell r="D586" t="str">
            <v>tbd.</v>
          </cell>
        </row>
        <row r="587">
          <cell r="A587" t="str">
            <v>068U/204U11</v>
          </cell>
          <cell r="B587" t="str">
            <v>PG MC</v>
          </cell>
          <cell r="C587" t="str">
            <v>Änderungen lfd. Serie</v>
          </cell>
          <cell r="D587" t="str">
            <v>Nicolai</v>
          </cell>
        </row>
        <row r="588">
          <cell r="A588" t="str">
            <v>068U/204WJ8</v>
          </cell>
          <cell r="B588" t="str">
            <v>PG MC</v>
          </cell>
          <cell r="C588" t="str">
            <v>Änderungen lfd. Serie</v>
          </cell>
          <cell r="D588" t="str">
            <v>Nicolai</v>
          </cell>
        </row>
        <row r="589">
          <cell r="A589" t="str">
            <v>068U/204WJ9</v>
          </cell>
          <cell r="B589" t="str">
            <v>PG MC</v>
          </cell>
          <cell r="C589" t="str">
            <v>Änderungen lfd. Serie</v>
          </cell>
          <cell r="D589" t="str">
            <v>Nicolai</v>
          </cell>
        </row>
        <row r="590">
          <cell r="A590" t="str">
            <v>068U/212U11</v>
          </cell>
          <cell r="B590" t="str">
            <v>PG MC</v>
          </cell>
          <cell r="C590" t="str">
            <v>Änderungen lfd. Serie</v>
          </cell>
          <cell r="D590" t="str">
            <v>Nicolai</v>
          </cell>
        </row>
        <row r="591">
          <cell r="A591" t="str">
            <v>068U/212U12</v>
          </cell>
          <cell r="B591" t="str">
            <v>PG MC</v>
          </cell>
          <cell r="C591" t="str">
            <v>Änderungen lfd. Serie</v>
          </cell>
          <cell r="D591" t="str">
            <v>Nicolai</v>
          </cell>
        </row>
        <row r="592">
          <cell r="A592" t="str">
            <v>068U/218CQT</v>
          </cell>
          <cell r="B592" t="str">
            <v>Achsen/Komponenten</v>
          </cell>
          <cell r="C592" t="str">
            <v>Werklieferteile Werk 068</v>
          </cell>
          <cell r="D592" t="str">
            <v>tbd.</v>
          </cell>
        </row>
        <row r="593">
          <cell r="A593" t="str">
            <v>068U/221WJ8</v>
          </cell>
          <cell r="B593" t="str">
            <v>PG LC</v>
          </cell>
          <cell r="C593" t="str">
            <v>Änderungen lfd. Serie</v>
          </cell>
          <cell r="D593" t="str">
            <v>Ettischer</v>
          </cell>
        </row>
        <row r="594">
          <cell r="A594" t="str">
            <v>068U/221WJ9</v>
          </cell>
          <cell r="B594" t="str">
            <v>PG LC</v>
          </cell>
          <cell r="C594" t="str">
            <v>Änderungen lfd. Serie</v>
          </cell>
          <cell r="D594" t="str">
            <v>Ettischer</v>
          </cell>
        </row>
        <row r="595">
          <cell r="A595" t="str">
            <v>068U/231RHU</v>
          </cell>
          <cell r="B595" t="str">
            <v>Achsen/Komponenten</v>
          </cell>
          <cell r="C595" t="str">
            <v>Werklieferteile Werk 068</v>
          </cell>
          <cell r="D595" t="str">
            <v>tbd.</v>
          </cell>
        </row>
        <row r="596">
          <cell r="A596" t="str">
            <v>068U/246U12</v>
          </cell>
          <cell r="B596" t="str">
            <v>PG CC</v>
          </cell>
          <cell r="C596" t="str">
            <v>Änderungen lfd. Serie</v>
          </cell>
          <cell r="D596" t="str">
            <v>Krupinski</v>
          </cell>
        </row>
        <row r="597">
          <cell r="A597" t="str">
            <v>068U/273ELR</v>
          </cell>
          <cell r="B597" t="str">
            <v>Powertrain</v>
          </cell>
          <cell r="C597" t="str">
            <v>Powertrain</v>
          </cell>
          <cell r="D597" t="str">
            <v>tbd.</v>
          </cell>
        </row>
        <row r="598">
          <cell r="A598" t="str">
            <v>117P/451E2M</v>
          </cell>
          <cell r="B598" t="str">
            <v>SMART</v>
          </cell>
          <cell r="C598" t="str">
            <v>SMART</v>
          </cell>
          <cell r="D598" t="str">
            <v>Smart</v>
          </cell>
        </row>
        <row r="599">
          <cell r="A599" t="str">
            <v>117P/451E2S</v>
          </cell>
          <cell r="B599" t="str">
            <v>SMART</v>
          </cell>
          <cell r="C599" t="str">
            <v>SMART</v>
          </cell>
          <cell r="D599" t="str">
            <v>Smart</v>
          </cell>
        </row>
        <row r="600">
          <cell r="A600" t="str">
            <v>117P/451E3L</v>
          </cell>
          <cell r="B600" t="str">
            <v>SMART</v>
          </cell>
          <cell r="C600" t="str">
            <v>SMART</v>
          </cell>
          <cell r="D600" t="str">
            <v>Smart</v>
          </cell>
        </row>
        <row r="601">
          <cell r="A601" t="str">
            <v>117P/451E3M</v>
          </cell>
          <cell r="B601" t="str">
            <v>SMART</v>
          </cell>
          <cell r="C601" t="str">
            <v>SMART</v>
          </cell>
          <cell r="D601" t="str">
            <v>Smart</v>
          </cell>
        </row>
        <row r="602">
          <cell r="A602" t="str">
            <v>117P/451E3O</v>
          </cell>
          <cell r="B602" t="str">
            <v>SMART</v>
          </cell>
          <cell r="C602" t="str">
            <v>SMART</v>
          </cell>
          <cell r="D602" t="str">
            <v>Smart</v>
          </cell>
        </row>
        <row r="603">
          <cell r="A603" t="str">
            <v>117P/451E3Q</v>
          </cell>
          <cell r="B603" t="str">
            <v>SMART</v>
          </cell>
          <cell r="C603" t="str">
            <v>SMART</v>
          </cell>
          <cell r="D603" t="str">
            <v>Smart</v>
          </cell>
        </row>
        <row r="604">
          <cell r="A604" t="str">
            <v>117P/451E3R</v>
          </cell>
          <cell r="B604" t="str">
            <v>SMART</v>
          </cell>
          <cell r="C604" t="str">
            <v>SMART</v>
          </cell>
          <cell r="D604" t="str">
            <v>Smart</v>
          </cell>
        </row>
        <row r="605">
          <cell r="A605" t="str">
            <v>117P/451E3S</v>
          </cell>
          <cell r="B605" t="str">
            <v>SMART</v>
          </cell>
          <cell r="C605" t="str">
            <v>SMART</v>
          </cell>
          <cell r="D605" t="str">
            <v>Smart</v>
          </cell>
        </row>
        <row r="606">
          <cell r="A606" t="str">
            <v>117P/451E3W</v>
          </cell>
          <cell r="B606" t="str">
            <v>SMART</v>
          </cell>
          <cell r="C606" t="str">
            <v>SMART</v>
          </cell>
          <cell r="D606" t="str">
            <v>Smart</v>
          </cell>
        </row>
        <row r="607">
          <cell r="A607" t="str">
            <v>117P/451L##</v>
          </cell>
          <cell r="B607" t="str">
            <v>SMART</v>
          </cell>
          <cell r="C607" t="str">
            <v>SMART</v>
          </cell>
          <cell r="D607" t="str">
            <v>Smart</v>
          </cell>
        </row>
        <row r="608">
          <cell r="A608" t="str">
            <v>117P/451L0M</v>
          </cell>
          <cell r="B608" t="str">
            <v>SMART</v>
          </cell>
          <cell r="C608" t="str">
            <v>SMART</v>
          </cell>
          <cell r="D608" t="str">
            <v>Smart</v>
          </cell>
        </row>
        <row r="609">
          <cell r="A609" t="str">
            <v>117P/451L0S</v>
          </cell>
          <cell r="B609" t="str">
            <v>SMART</v>
          </cell>
          <cell r="C609" t="str">
            <v>SMART</v>
          </cell>
          <cell r="D609" t="str">
            <v>Smart</v>
          </cell>
        </row>
        <row r="610">
          <cell r="A610" t="str">
            <v>117P/451L1M</v>
          </cell>
          <cell r="B610" t="str">
            <v>SMART</v>
          </cell>
          <cell r="C610" t="str">
            <v>SMART</v>
          </cell>
          <cell r="D610" t="str">
            <v>Smart</v>
          </cell>
        </row>
        <row r="611">
          <cell r="A611" t="str">
            <v>117P/451L1O</v>
          </cell>
          <cell r="B611" t="str">
            <v>SMART</v>
          </cell>
          <cell r="C611" t="str">
            <v>SMART</v>
          </cell>
          <cell r="D611" t="str">
            <v>Smart</v>
          </cell>
        </row>
        <row r="612">
          <cell r="A612" t="str">
            <v>117P/451L1S</v>
          </cell>
          <cell r="B612" t="str">
            <v>SMART</v>
          </cell>
          <cell r="C612" t="str">
            <v>SMART</v>
          </cell>
          <cell r="D612" t="str">
            <v>Smart</v>
          </cell>
        </row>
        <row r="613">
          <cell r="A613" t="str">
            <v>117P/451L2M</v>
          </cell>
          <cell r="B613" t="str">
            <v>SMART</v>
          </cell>
          <cell r="C613" t="str">
            <v>SMART</v>
          </cell>
          <cell r="D613" t="str">
            <v>Smart</v>
          </cell>
        </row>
        <row r="614">
          <cell r="A614" t="str">
            <v>117P/451L2S</v>
          </cell>
          <cell r="B614" t="str">
            <v>SMART</v>
          </cell>
          <cell r="C614" t="str">
            <v>SMART</v>
          </cell>
          <cell r="D614" t="str">
            <v>Smart</v>
          </cell>
        </row>
        <row r="615">
          <cell r="A615" t="str">
            <v>117P/451L3M</v>
          </cell>
          <cell r="B615" t="str">
            <v>SMART</v>
          </cell>
          <cell r="C615" t="str">
            <v>SMART</v>
          </cell>
          <cell r="D615" t="str">
            <v>Smart</v>
          </cell>
        </row>
        <row r="616">
          <cell r="A616" t="str">
            <v>117P/451L3O</v>
          </cell>
          <cell r="B616" t="str">
            <v>SMART</v>
          </cell>
          <cell r="C616" t="str">
            <v>SMART</v>
          </cell>
          <cell r="D616" t="str">
            <v>Smart</v>
          </cell>
        </row>
        <row r="617">
          <cell r="A617" t="str">
            <v>117P/451L3R</v>
          </cell>
          <cell r="B617" t="str">
            <v>SMART</v>
          </cell>
          <cell r="C617" t="str">
            <v>SMART</v>
          </cell>
          <cell r="D617" t="str">
            <v>Smart</v>
          </cell>
        </row>
        <row r="618">
          <cell r="A618" t="str">
            <v>117P/451L3S</v>
          </cell>
          <cell r="B618" t="str">
            <v>SMART</v>
          </cell>
          <cell r="C618" t="str">
            <v>SMART</v>
          </cell>
          <cell r="D618" t="str">
            <v>Smart</v>
          </cell>
        </row>
        <row r="619">
          <cell r="A619" t="str">
            <v>117P/451L3W</v>
          </cell>
          <cell r="B619" t="str">
            <v>SMART</v>
          </cell>
          <cell r="C619" t="str">
            <v>SMART</v>
          </cell>
          <cell r="D619" t="str">
            <v>Smart</v>
          </cell>
        </row>
        <row r="620">
          <cell r="A620" t="str">
            <v>117P/451L4O</v>
          </cell>
          <cell r="B620" t="str">
            <v>SMART</v>
          </cell>
          <cell r="C620" t="str">
            <v>SMART</v>
          </cell>
          <cell r="D620" t="str">
            <v>Smart</v>
          </cell>
        </row>
        <row r="621">
          <cell r="A621" t="str">
            <v>117P/451L4S</v>
          </cell>
          <cell r="B621" t="str">
            <v>SMART</v>
          </cell>
          <cell r="C621" t="str">
            <v>SMART</v>
          </cell>
          <cell r="D621" t="str">
            <v>Smart</v>
          </cell>
        </row>
        <row r="622">
          <cell r="A622" t="str">
            <v>117P/451LE#</v>
          </cell>
          <cell r="B622" t="str">
            <v>SMART</v>
          </cell>
          <cell r="C622" t="str">
            <v>SMART</v>
          </cell>
          <cell r="D622" t="str">
            <v>Smart</v>
          </cell>
        </row>
        <row r="623">
          <cell r="A623" t="str">
            <v>117P/451LP#</v>
          </cell>
          <cell r="B623" t="str">
            <v>SMART</v>
          </cell>
          <cell r="C623" t="str">
            <v>SMART</v>
          </cell>
          <cell r="D623" t="str">
            <v>Smart</v>
          </cell>
        </row>
        <row r="624">
          <cell r="A624" t="str">
            <v>117P/451M1M</v>
          </cell>
          <cell r="B624" t="str">
            <v>SMART</v>
          </cell>
          <cell r="C624" t="str">
            <v>SMART</v>
          </cell>
          <cell r="D624" t="str">
            <v>Smart</v>
          </cell>
        </row>
        <row r="625">
          <cell r="A625" t="str">
            <v>117P/451M1S</v>
          </cell>
          <cell r="B625" t="str">
            <v>SMART</v>
          </cell>
          <cell r="C625" t="str">
            <v>SMART</v>
          </cell>
          <cell r="D625" t="str">
            <v>Smart</v>
          </cell>
        </row>
        <row r="626">
          <cell r="A626" t="str">
            <v>117P/451M2#</v>
          </cell>
          <cell r="B626" t="str">
            <v>SMART</v>
          </cell>
          <cell r="C626" t="str">
            <v>SMART</v>
          </cell>
          <cell r="D626" t="str">
            <v>Smart</v>
          </cell>
        </row>
        <row r="627">
          <cell r="A627" t="str">
            <v>117P/451M2S</v>
          </cell>
          <cell r="B627" t="str">
            <v>SMART</v>
          </cell>
          <cell r="C627" t="str">
            <v>SMART</v>
          </cell>
          <cell r="D627" t="str">
            <v>Smart</v>
          </cell>
        </row>
        <row r="628">
          <cell r="A628" t="str">
            <v>117P/453A##</v>
          </cell>
          <cell r="B628" t="str">
            <v>SMART</v>
          </cell>
          <cell r="C628" t="str">
            <v>SMART</v>
          </cell>
          <cell r="D628" t="str">
            <v>Smart</v>
          </cell>
        </row>
        <row r="629">
          <cell r="A629" t="str">
            <v>117P/453L##</v>
          </cell>
          <cell r="B629" t="str">
            <v>SMART</v>
          </cell>
          <cell r="C629" t="str">
            <v>SMART</v>
          </cell>
          <cell r="D629" t="str">
            <v>Smart</v>
          </cell>
        </row>
        <row r="630">
          <cell r="A630" t="str">
            <v>117P/453M##</v>
          </cell>
          <cell r="B630" t="str">
            <v>SMART</v>
          </cell>
          <cell r="C630" t="str">
            <v>SMART</v>
          </cell>
          <cell r="D630" t="str">
            <v>Smart</v>
          </cell>
        </row>
        <row r="631">
          <cell r="A631" t="str">
            <v>117P/453M2#</v>
          </cell>
          <cell r="B631" t="str">
            <v>SMART</v>
          </cell>
          <cell r="C631" t="str">
            <v>SMART</v>
          </cell>
          <cell r="D631" t="str">
            <v>Smart</v>
          </cell>
        </row>
        <row r="632">
          <cell r="A632" t="str">
            <v>117P/453NL#</v>
          </cell>
          <cell r="B632" t="str">
            <v>SMART</v>
          </cell>
          <cell r="C632" t="str">
            <v>SMART</v>
          </cell>
          <cell r="D632" t="str">
            <v>Smart</v>
          </cell>
        </row>
        <row r="633">
          <cell r="A633" t="str">
            <v>117P/453S##</v>
          </cell>
          <cell r="B633" t="str">
            <v>SMART</v>
          </cell>
          <cell r="C633" t="str">
            <v>SMART</v>
          </cell>
          <cell r="D633" t="str">
            <v>Smart</v>
          </cell>
        </row>
        <row r="634">
          <cell r="A634" t="str">
            <v>117P/453S#L</v>
          </cell>
          <cell r="B634" t="str">
            <v>SMART</v>
          </cell>
          <cell r="C634" t="str">
            <v>SMART</v>
          </cell>
          <cell r="D634" t="str">
            <v>Smart</v>
          </cell>
        </row>
        <row r="635">
          <cell r="A635" t="str">
            <v>117P/453S#M</v>
          </cell>
          <cell r="B635" t="str">
            <v>SMART</v>
          </cell>
          <cell r="C635" t="str">
            <v>SMART</v>
          </cell>
          <cell r="D635" t="str">
            <v>Smart</v>
          </cell>
        </row>
        <row r="636">
          <cell r="A636" t="str">
            <v>117P/453S#O</v>
          </cell>
          <cell r="B636" t="str">
            <v>SMART</v>
          </cell>
          <cell r="C636" t="str">
            <v>SMART</v>
          </cell>
          <cell r="D636" t="str">
            <v>Smart</v>
          </cell>
        </row>
        <row r="637">
          <cell r="A637" t="str">
            <v>117P/453S#R</v>
          </cell>
          <cell r="B637" t="str">
            <v>SMART</v>
          </cell>
          <cell r="C637" t="str">
            <v>SMART</v>
          </cell>
          <cell r="D637" t="str">
            <v>Smart</v>
          </cell>
        </row>
        <row r="638">
          <cell r="A638" t="str">
            <v>117P/453S#S</v>
          </cell>
          <cell r="B638" t="str">
            <v>SMART</v>
          </cell>
          <cell r="C638" t="str">
            <v>SMART</v>
          </cell>
          <cell r="D638" t="str">
            <v>Smart</v>
          </cell>
        </row>
        <row r="639">
          <cell r="A639" t="str">
            <v>117P/453S#W</v>
          </cell>
          <cell r="B639" t="str">
            <v>SMART</v>
          </cell>
          <cell r="C639" t="str">
            <v>SMART</v>
          </cell>
          <cell r="D639" t="str">
            <v>Smart</v>
          </cell>
        </row>
        <row r="640">
          <cell r="A640" t="str">
            <v>117P/BHKW#W</v>
          </cell>
          <cell r="B640" t="str">
            <v>SMART</v>
          </cell>
          <cell r="C640" t="str">
            <v>SMART</v>
          </cell>
          <cell r="D640" t="str">
            <v>Smart</v>
          </cell>
        </row>
        <row r="641">
          <cell r="A641" t="str">
            <v>117P/C453##</v>
          </cell>
          <cell r="B641" t="str">
            <v>SMART</v>
          </cell>
          <cell r="C641" t="str">
            <v>SMART</v>
          </cell>
          <cell r="D641" t="str">
            <v>Smart</v>
          </cell>
        </row>
        <row r="642">
          <cell r="A642" t="str">
            <v>117P/C453#I</v>
          </cell>
          <cell r="B642" t="str">
            <v>SMART</v>
          </cell>
          <cell r="C642" t="str">
            <v>SMART</v>
          </cell>
          <cell r="D642" t="str">
            <v>Smart</v>
          </cell>
        </row>
        <row r="643">
          <cell r="A643" t="str">
            <v>117P/C453#M</v>
          </cell>
          <cell r="B643" t="str">
            <v>SMART</v>
          </cell>
          <cell r="C643" t="str">
            <v>SMART</v>
          </cell>
          <cell r="D643" t="str">
            <v>Smart</v>
          </cell>
        </row>
        <row r="644">
          <cell r="A644" t="str">
            <v>117P/C453#O</v>
          </cell>
          <cell r="B644" t="str">
            <v>SMART</v>
          </cell>
          <cell r="C644" t="str">
            <v>SMART</v>
          </cell>
          <cell r="D644" t="str">
            <v>Smart</v>
          </cell>
        </row>
        <row r="645">
          <cell r="A645" t="str">
            <v>117P/C453#R</v>
          </cell>
          <cell r="B645" t="str">
            <v>SMART</v>
          </cell>
          <cell r="C645" t="str">
            <v>SMART</v>
          </cell>
          <cell r="D645" t="str">
            <v>Smart</v>
          </cell>
        </row>
        <row r="646">
          <cell r="A646" t="str">
            <v>117P/C453#S</v>
          </cell>
          <cell r="B646" t="str">
            <v>SMART</v>
          </cell>
          <cell r="C646" t="str">
            <v>SMART</v>
          </cell>
          <cell r="D646" t="str">
            <v>Smart</v>
          </cell>
        </row>
        <row r="647">
          <cell r="A647" t="str">
            <v>117P/C453C#</v>
          </cell>
          <cell r="B647" t="str">
            <v>SMART</v>
          </cell>
          <cell r="C647" t="str">
            <v>SMART</v>
          </cell>
          <cell r="D647" t="str">
            <v>Smart</v>
          </cell>
        </row>
        <row r="648">
          <cell r="A648" t="str">
            <v>117P/C453E#</v>
          </cell>
          <cell r="B648" t="str">
            <v>SMART</v>
          </cell>
          <cell r="C648" t="str">
            <v>SMART</v>
          </cell>
          <cell r="D648" t="str">
            <v>Smart</v>
          </cell>
        </row>
        <row r="649">
          <cell r="A649" t="str">
            <v>117P/C453N#</v>
          </cell>
          <cell r="B649" t="str">
            <v>SMART</v>
          </cell>
          <cell r="C649" t="str">
            <v>SMART</v>
          </cell>
          <cell r="D649" t="str">
            <v>Smart</v>
          </cell>
        </row>
        <row r="650">
          <cell r="A650" t="str">
            <v>117P/NASS#O</v>
          </cell>
          <cell r="B650" t="str">
            <v>SMART</v>
          </cell>
          <cell r="C650" t="str">
            <v>SMART</v>
          </cell>
          <cell r="D650" t="str">
            <v>Smart</v>
          </cell>
        </row>
        <row r="651">
          <cell r="A651" t="str">
            <v>117P/ROBO#S</v>
          </cell>
          <cell r="B651" t="str">
            <v>SMART</v>
          </cell>
          <cell r="C651" t="str">
            <v>SMART</v>
          </cell>
          <cell r="D651" t="str">
            <v>Smart</v>
          </cell>
        </row>
        <row r="652">
          <cell r="A652" t="str">
            <v>117P/S1####</v>
          </cell>
          <cell r="B652" t="str">
            <v>SMART</v>
          </cell>
          <cell r="C652" t="str">
            <v>SMART</v>
          </cell>
          <cell r="D652" t="str">
            <v>Smart</v>
          </cell>
        </row>
        <row r="653">
          <cell r="A653" t="str">
            <v>117Z/451L0S</v>
          </cell>
          <cell r="B653" t="str">
            <v>SMART</v>
          </cell>
          <cell r="C653" t="str">
            <v>SMART</v>
          </cell>
          <cell r="D653" t="str">
            <v>Smart</v>
          </cell>
        </row>
        <row r="654">
          <cell r="A654" t="str">
            <v>138K/251A9T</v>
          </cell>
          <cell r="B654" t="str">
            <v>PG LC</v>
          </cell>
          <cell r="C654" t="str">
            <v>Änderungsjahre</v>
          </cell>
          <cell r="D654" t="str">
            <v>Ettischer</v>
          </cell>
        </row>
        <row r="655">
          <cell r="A655" t="str">
            <v>138K/251L#T</v>
          </cell>
          <cell r="B655" t="str">
            <v>PG LC</v>
          </cell>
          <cell r="C655" t="str">
            <v>Änderungen lfd. Serie</v>
          </cell>
          <cell r="D655" t="str">
            <v>Ettischer</v>
          </cell>
        </row>
        <row r="656">
          <cell r="A656" t="str">
            <v>138K/RE2007</v>
          </cell>
          <cell r="B656" t="str">
            <v>PG LC</v>
          </cell>
          <cell r="C656" t="str">
            <v>Änderungen lfd. Serie</v>
          </cell>
          <cell r="D656" t="str">
            <v>Ettischer</v>
          </cell>
        </row>
        <row r="657">
          <cell r="A657" t="str">
            <v>138K/W64L#T</v>
          </cell>
          <cell r="B657" t="str">
            <v>PG LC</v>
          </cell>
          <cell r="C657" t="str">
            <v>Änderungen lfd. Serie</v>
          </cell>
          <cell r="D657" t="str">
            <v>Ettischer</v>
          </cell>
        </row>
        <row r="658">
          <cell r="A658" t="str">
            <v>138K/X64A0T</v>
          </cell>
          <cell r="B658" t="str">
            <v>PG LC</v>
          </cell>
          <cell r="C658" t="str">
            <v>Änderungsjahre</v>
          </cell>
          <cell r="D658" t="str">
            <v>Ettischer</v>
          </cell>
        </row>
        <row r="659">
          <cell r="A659" t="str">
            <v>138P/166NS#</v>
          </cell>
          <cell r="B659" t="str">
            <v>PG LC</v>
          </cell>
          <cell r="C659" t="str">
            <v>Nachfolgeprj. Neutyp</v>
          </cell>
          <cell r="D659" t="str">
            <v>Ettischer</v>
          </cell>
        </row>
        <row r="660">
          <cell r="A660" t="str">
            <v>138P/205NL#</v>
          </cell>
          <cell r="B660" t="str">
            <v>PG MC</v>
          </cell>
          <cell r="C660" t="str">
            <v>Änderungen lfd. Serie</v>
          </cell>
          <cell r="D660" t="str">
            <v>Nicolai</v>
          </cell>
        </row>
        <row r="661">
          <cell r="A661" t="str">
            <v>138P/205NLT</v>
          </cell>
          <cell r="B661" t="str">
            <v>PG MC</v>
          </cell>
          <cell r="C661" t="str">
            <v>Änderungen lfd. Serie</v>
          </cell>
          <cell r="D661" t="str">
            <v>Nicolai</v>
          </cell>
        </row>
        <row r="662">
          <cell r="A662" t="str">
            <v>138P/205S2E</v>
          </cell>
          <cell r="B662" t="str">
            <v>PG MC</v>
          </cell>
          <cell r="C662" t="str">
            <v>i.W. Planungsleistung W175</v>
          </cell>
          <cell r="D662" t="str">
            <v>Nicolai</v>
          </cell>
        </row>
        <row r="663">
          <cell r="A663" t="str">
            <v>138P/205S2L</v>
          </cell>
          <cell r="B663" t="str">
            <v>PCC2</v>
          </cell>
          <cell r="C663" t="str">
            <v>PCC2</v>
          </cell>
          <cell r="D663" t="str">
            <v>tbd.</v>
          </cell>
        </row>
        <row r="664">
          <cell r="A664" t="str">
            <v>138P/251A0Q</v>
          </cell>
          <cell r="B664" t="str">
            <v>PG LC</v>
          </cell>
          <cell r="C664" t="str">
            <v>Änderungsjahre</v>
          </cell>
          <cell r="D664" t="str">
            <v>Ettischer</v>
          </cell>
        </row>
        <row r="665">
          <cell r="A665" t="str">
            <v>138P/251A1A</v>
          </cell>
          <cell r="B665" t="str">
            <v>PG LC</v>
          </cell>
          <cell r="C665" t="str">
            <v>Änderungsjahre</v>
          </cell>
          <cell r="D665" t="str">
            <v>Ettischer</v>
          </cell>
        </row>
        <row r="666">
          <cell r="A666" t="str">
            <v>138P/251A1L</v>
          </cell>
          <cell r="B666" t="str">
            <v>PG LC</v>
          </cell>
          <cell r="C666" t="str">
            <v>Änderungsjahre</v>
          </cell>
          <cell r="D666" t="str">
            <v>Ettischer</v>
          </cell>
        </row>
        <row r="667">
          <cell r="A667" t="str">
            <v>138P/251A1O</v>
          </cell>
          <cell r="B667" t="str">
            <v>PG LC</v>
          </cell>
          <cell r="C667" t="str">
            <v>Änderungsjahre</v>
          </cell>
          <cell r="D667" t="str">
            <v>Ettischer</v>
          </cell>
        </row>
        <row r="668">
          <cell r="A668" t="str">
            <v>138P/251A1Q</v>
          </cell>
          <cell r="B668" t="str">
            <v>PG LC</v>
          </cell>
          <cell r="C668" t="str">
            <v>Änderungsjahre</v>
          </cell>
          <cell r="D668" t="str">
            <v>Ettischer</v>
          </cell>
        </row>
        <row r="669">
          <cell r="A669" t="str">
            <v>138P/251A2#</v>
          </cell>
          <cell r="B669" t="str">
            <v>PG LC</v>
          </cell>
          <cell r="C669" t="str">
            <v>Änderungsjahre</v>
          </cell>
          <cell r="D669" t="str">
            <v>Ettischer</v>
          </cell>
        </row>
        <row r="670">
          <cell r="A670" t="str">
            <v>138P/251A2L</v>
          </cell>
          <cell r="B670" t="str">
            <v>PG LC</v>
          </cell>
          <cell r="C670" t="str">
            <v>Änderungsjahre</v>
          </cell>
          <cell r="D670" t="str">
            <v>Ettischer</v>
          </cell>
        </row>
        <row r="671">
          <cell r="A671" t="str">
            <v>138P/251A2O</v>
          </cell>
          <cell r="B671" t="str">
            <v>PG LC</v>
          </cell>
          <cell r="C671" t="str">
            <v>Änderungsjahre</v>
          </cell>
          <cell r="D671" t="str">
            <v>Ettischer</v>
          </cell>
        </row>
        <row r="672">
          <cell r="A672" t="str">
            <v>138P/251A2Q</v>
          </cell>
          <cell r="B672" t="str">
            <v>PG LC</v>
          </cell>
          <cell r="C672" t="str">
            <v>Änderungsjahre</v>
          </cell>
          <cell r="D672" t="str">
            <v>Ettischer</v>
          </cell>
        </row>
        <row r="673">
          <cell r="A673" t="str">
            <v>138P/251A3#</v>
          </cell>
          <cell r="B673" t="str">
            <v>PG LC</v>
          </cell>
          <cell r="C673" t="str">
            <v>Änderungsjahre</v>
          </cell>
          <cell r="D673" t="str">
            <v>Ettischer</v>
          </cell>
        </row>
        <row r="674">
          <cell r="A674" t="str">
            <v>138P/251A3B</v>
          </cell>
          <cell r="B674" t="str">
            <v>PG LC</v>
          </cell>
          <cell r="C674" t="str">
            <v>Änderungsjahre</v>
          </cell>
          <cell r="D674" t="str">
            <v>Ettischer</v>
          </cell>
        </row>
        <row r="675">
          <cell r="A675" t="str">
            <v>138P/251A3L</v>
          </cell>
          <cell r="B675" t="str">
            <v>PG LC</v>
          </cell>
          <cell r="C675" t="str">
            <v>Änderungsjahre</v>
          </cell>
          <cell r="D675" t="str">
            <v>Ettischer</v>
          </cell>
        </row>
        <row r="676">
          <cell r="A676" t="str">
            <v>138P/251A3O</v>
          </cell>
          <cell r="B676" t="str">
            <v>PG LC</v>
          </cell>
          <cell r="C676" t="str">
            <v>Änderungsjahre</v>
          </cell>
          <cell r="D676" t="str">
            <v>Ettischer</v>
          </cell>
        </row>
        <row r="677">
          <cell r="A677" t="str">
            <v>138P/251A4#</v>
          </cell>
          <cell r="B677" t="str">
            <v>PG LC</v>
          </cell>
          <cell r="C677" t="str">
            <v>Änderungsjahre</v>
          </cell>
          <cell r="D677" t="str">
            <v>Ettischer</v>
          </cell>
        </row>
        <row r="678">
          <cell r="A678" t="str">
            <v>138P/251L##</v>
          </cell>
          <cell r="B678" t="str">
            <v>PG LC</v>
          </cell>
          <cell r="C678" t="str">
            <v>Änderungen lfd. Serie</v>
          </cell>
          <cell r="D678" t="str">
            <v>Ettischer</v>
          </cell>
        </row>
        <row r="679">
          <cell r="A679" t="str">
            <v>138P/251L1A</v>
          </cell>
          <cell r="B679" t="str">
            <v>PG LC</v>
          </cell>
          <cell r="C679" t="str">
            <v>Änderungen lfd. Serie</v>
          </cell>
          <cell r="D679" t="str">
            <v>Ettischer</v>
          </cell>
        </row>
        <row r="680">
          <cell r="A680" t="str">
            <v>138P/251M1A</v>
          </cell>
          <cell r="B680" t="str">
            <v>PG LC</v>
          </cell>
          <cell r="C680" t="str">
            <v>MOPFen</v>
          </cell>
          <cell r="D680" t="str">
            <v>Ettischer</v>
          </cell>
        </row>
        <row r="681">
          <cell r="A681" t="str">
            <v>138P/251M1B</v>
          </cell>
          <cell r="B681" t="str">
            <v>PG LC</v>
          </cell>
          <cell r="C681" t="str">
            <v>MOPFen</v>
          </cell>
          <cell r="D681" t="str">
            <v>Ettischer</v>
          </cell>
        </row>
        <row r="682">
          <cell r="A682" t="str">
            <v>138P/251M1L</v>
          </cell>
          <cell r="B682" t="str">
            <v>PG LC</v>
          </cell>
          <cell r="C682" t="str">
            <v>MOPFen</v>
          </cell>
          <cell r="D682" t="str">
            <v>Ettischer</v>
          </cell>
        </row>
        <row r="683">
          <cell r="A683" t="str">
            <v>138P/251M1O</v>
          </cell>
          <cell r="B683" t="str">
            <v>PG LC</v>
          </cell>
          <cell r="C683" t="str">
            <v>MOPFen</v>
          </cell>
          <cell r="D683" t="str">
            <v>Ettischer</v>
          </cell>
        </row>
        <row r="684">
          <cell r="A684" t="str">
            <v>138P/251M1P</v>
          </cell>
          <cell r="B684" t="str">
            <v>PG LC</v>
          </cell>
          <cell r="C684" t="str">
            <v>MOPFen</v>
          </cell>
          <cell r="D684" t="str">
            <v>Ettischer</v>
          </cell>
        </row>
        <row r="685">
          <cell r="A685" t="str">
            <v>138P/251M1Q</v>
          </cell>
          <cell r="B685" t="str">
            <v>PG LC</v>
          </cell>
          <cell r="C685" t="str">
            <v>MOPFen</v>
          </cell>
          <cell r="D685" t="str">
            <v>Ettischer</v>
          </cell>
        </row>
        <row r="686">
          <cell r="A686" t="str">
            <v>138P/292NA#</v>
          </cell>
          <cell r="B686" t="str">
            <v>PG LC</v>
          </cell>
          <cell r="C686" t="str">
            <v>Änderungsjahre</v>
          </cell>
          <cell r="D686" t="str">
            <v>Ettischer</v>
          </cell>
        </row>
        <row r="687">
          <cell r="A687" t="str">
            <v>138P/292NL#</v>
          </cell>
          <cell r="B687" t="str">
            <v>PG LC</v>
          </cell>
          <cell r="C687" t="str">
            <v>Änderungen lfd. Serie</v>
          </cell>
          <cell r="D687" t="str">
            <v>Ettischer</v>
          </cell>
        </row>
        <row r="688">
          <cell r="A688" t="str">
            <v>138P/292NLT</v>
          </cell>
          <cell r="B688" t="str">
            <v>PG LC</v>
          </cell>
          <cell r="C688" t="str">
            <v>Änderungen lfd. Serie</v>
          </cell>
          <cell r="D688" t="str">
            <v>Ettischer</v>
          </cell>
        </row>
        <row r="689">
          <cell r="A689" t="str">
            <v>138P/292NM#</v>
          </cell>
          <cell r="B689" t="str">
            <v>PG LC</v>
          </cell>
          <cell r="C689" t="str">
            <v>MOPFen</v>
          </cell>
          <cell r="D689" t="str">
            <v>Ettischer</v>
          </cell>
        </row>
        <row r="690">
          <cell r="A690" t="str">
            <v>138P/292NMT</v>
          </cell>
          <cell r="B690" t="str">
            <v>PG LC</v>
          </cell>
          <cell r="C690" t="str">
            <v>MOPFen</v>
          </cell>
          <cell r="D690" t="str">
            <v>Ettischer</v>
          </cell>
        </row>
        <row r="691">
          <cell r="A691" t="str">
            <v>138P/C166N#</v>
          </cell>
          <cell r="B691" t="str">
            <v>PG LC</v>
          </cell>
          <cell r="C691" t="str">
            <v>Nachfolgeprj. Neutyp</v>
          </cell>
          <cell r="D691" t="str">
            <v>Ettischer</v>
          </cell>
        </row>
        <row r="692">
          <cell r="A692" t="str">
            <v>138P/C292##</v>
          </cell>
          <cell r="B692" t="str">
            <v>PG LC</v>
          </cell>
          <cell r="C692" t="str">
            <v>Pauschalanpassung LC</v>
          </cell>
          <cell r="D692" t="str">
            <v>Ettischer</v>
          </cell>
        </row>
        <row r="693">
          <cell r="A693" t="str">
            <v>138P/C292#F</v>
          </cell>
          <cell r="B693" t="str">
            <v>PG LC</v>
          </cell>
          <cell r="C693" t="str">
            <v>Pauschalanpassung LC</v>
          </cell>
          <cell r="D693" t="str">
            <v>Ettischer</v>
          </cell>
        </row>
        <row r="694">
          <cell r="A694" t="str">
            <v>138P/C292#O</v>
          </cell>
          <cell r="B694" t="str">
            <v>PG LC</v>
          </cell>
          <cell r="C694" t="str">
            <v>Pauschalanpassung LC</v>
          </cell>
          <cell r="D694" t="str">
            <v>Ettischer</v>
          </cell>
        </row>
        <row r="695">
          <cell r="A695" t="str">
            <v>138P/NW66A#</v>
          </cell>
          <cell r="B695" t="str">
            <v>PG LC</v>
          </cell>
          <cell r="C695" t="str">
            <v>Änderungsjahre</v>
          </cell>
          <cell r="D695" t="str">
            <v>Ettischer</v>
          </cell>
        </row>
        <row r="696">
          <cell r="A696" t="str">
            <v>138P/NW66L#</v>
          </cell>
          <cell r="B696" t="str">
            <v>PG LC</v>
          </cell>
          <cell r="C696" t="str">
            <v>Änderungen lfd. Serie</v>
          </cell>
          <cell r="D696" t="str">
            <v>Ettischer</v>
          </cell>
        </row>
        <row r="697">
          <cell r="A697" t="str">
            <v>138P/NW66LT</v>
          </cell>
          <cell r="B697" t="str">
            <v>PG LC</v>
          </cell>
          <cell r="C697" t="str">
            <v>Änderungen lfd. Serie</v>
          </cell>
          <cell r="D697" t="str">
            <v>Ettischer</v>
          </cell>
        </row>
        <row r="698">
          <cell r="A698" t="str">
            <v>138P/NW66M#</v>
          </cell>
          <cell r="B698" t="str">
            <v>PG LC</v>
          </cell>
          <cell r="C698" t="str">
            <v>MOPFen</v>
          </cell>
          <cell r="D698" t="str">
            <v>Ettischer</v>
          </cell>
        </row>
        <row r="699">
          <cell r="A699" t="str">
            <v>138P/NX66A#</v>
          </cell>
          <cell r="B699" t="str">
            <v>PG LC</v>
          </cell>
          <cell r="C699" t="str">
            <v>Änderungsjahre</v>
          </cell>
          <cell r="D699" t="str">
            <v>Ettischer</v>
          </cell>
        </row>
        <row r="700">
          <cell r="A700" t="str">
            <v>138P/NX66L#</v>
          </cell>
          <cell r="B700" t="str">
            <v>PG LC</v>
          </cell>
          <cell r="C700" t="str">
            <v>Änderungen lfd. Serie</v>
          </cell>
          <cell r="D700" t="str">
            <v>Ettischer</v>
          </cell>
        </row>
        <row r="701">
          <cell r="A701" t="str">
            <v>138P/NX66LT</v>
          </cell>
          <cell r="B701" t="str">
            <v>PG LC</v>
          </cell>
          <cell r="C701" t="str">
            <v>Änderungen lfd. Serie</v>
          </cell>
          <cell r="D701" t="str">
            <v>Ettischer</v>
          </cell>
        </row>
        <row r="702">
          <cell r="A702" t="str">
            <v>138P/NX66M#</v>
          </cell>
          <cell r="B702" t="str">
            <v>PG LC</v>
          </cell>
          <cell r="C702" t="str">
            <v>MOPFen</v>
          </cell>
          <cell r="D702" t="str">
            <v>Ettischer</v>
          </cell>
        </row>
        <row r="703">
          <cell r="A703" t="str">
            <v>138P/P1P##L</v>
          </cell>
          <cell r="B703" t="str">
            <v>Commitment</v>
          </cell>
          <cell r="C703" t="str">
            <v>Commitment</v>
          </cell>
          <cell r="D703" t="str">
            <v>tbd.</v>
          </cell>
        </row>
        <row r="704">
          <cell r="A704" t="str">
            <v>138P/RE2007</v>
          </cell>
          <cell r="B704" t="str">
            <v>PG LC</v>
          </cell>
          <cell r="C704" t="str">
            <v>Änderungen lfd. Serie</v>
          </cell>
          <cell r="D704" t="str">
            <v>Ettischer</v>
          </cell>
        </row>
        <row r="705">
          <cell r="A705" t="str">
            <v>138P/S1####</v>
          </cell>
          <cell r="B705" t="str">
            <v>sonstige Struktur</v>
          </cell>
          <cell r="C705" t="str">
            <v>sonstige Struktur</v>
          </cell>
          <cell r="D705" t="str">
            <v>tbd.</v>
          </cell>
        </row>
        <row r="706">
          <cell r="A706" t="str">
            <v>138P/S1SIR#</v>
          </cell>
          <cell r="B706" t="str">
            <v>sonstige Struktur</v>
          </cell>
          <cell r="C706" t="str">
            <v>sonstige Struktur</v>
          </cell>
          <cell r="D706" t="str">
            <v>tbd.</v>
          </cell>
        </row>
        <row r="707">
          <cell r="A707" t="str">
            <v>138P/V51A3L</v>
          </cell>
          <cell r="B707" t="str">
            <v>PG LC</v>
          </cell>
          <cell r="C707" t="str">
            <v>Änderungsjahre</v>
          </cell>
          <cell r="D707" t="str">
            <v>Ettischer</v>
          </cell>
        </row>
        <row r="708">
          <cell r="A708" t="str">
            <v>138P/V51A8T</v>
          </cell>
          <cell r="B708" t="str">
            <v>PG LC</v>
          </cell>
          <cell r="C708" t="str">
            <v>Änderungsjahre</v>
          </cell>
          <cell r="D708" t="str">
            <v>Ettischer</v>
          </cell>
        </row>
        <row r="709">
          <cell r="A709" t="str">
            <v>138P/V51A9T</v>
          </cell>
          <cell r="B709" t="str">
            <v>PG LC</v>
          </cell>
          <cell r="C709" t="str">
            <v>Änderungsjahre</v>
          </cell>
          <cell r="D709" t="str">
            <v>Ettischer</v>
          </cell>
        </row>
        <row r="710">
          <cell r="A710" t="str">
            <v>138P/V51L0T</v>
          </cell>
          <cell r="B710" t="str">
            <v>PG LC</v>
          </cell>
          <cell r="C710" t="str">
            <v>Änderungen lfd. Serie</v>
          </cell>
          <cell r="D710" t="str">
            <v>Ettischer</v>
          </cell>
        </row>
        <row r="711">
          <cell r="A711" t="str">
            <v>138P/V51L2T</v>
          </cell>
          <cell r="B711" t="str">
            <v>PG LC</v>
          </cell>
          <cell r="C711" t="str">
            <v>Änderungen lfd. Serie</v>
          </cell>
          <cell r="D711" t="str">
            <v>Ettischer</v>
          </cell>
        </row>
        <row r="712">
          <cell r="A712" t="str">
            <v>138P/V51L3#</v>
          </cell>
          <cell r="B712" t="str">
            <v>PG LC</v>
          </cell>
          <cell r="C712" t="str">
            <v>Änderungen lfd. Serie</v>
          </cell>
          <cell r="D712" t="str">
            <v>Ettischer</v>
          </cell>
        </row>
        <row r="713">
          <cell r="A713" t="str">
            <v>138P/V51L8T</v>
          </cell>
          <cell r="B713" t="str">
            <v>PG LC</v>
          </cell>
          <cell r="C713" t="str">
            <v>Änderungen lfd. Serie</v>
          </cell>
          <cell r="D713" t="str">
            <v>Ettischer</v>
          </cell>
        </row>
        <row r="714">
          <cell r="A714" t="str">
            <v>138P/W05A##</v>
          </cell>
          <cell r="B714" t="str">
            <v>PG MC</v>
          </cell>
          <cell r="C714" t="str">
            <v>Änderungsjahre</v>
          </cell>
          <cell r="D714" t="str">
            <v>Nicolai</v>
          </cell>
        </row>
        <row r="715">
          <cell r="A715" t="str">
            <v>138P/W05A5#</v>
          </cell>
          <cell r="B715" t="str">
            <v>PG MC</v>
          </cell>
          <cell r="C715" t="str">
            <v>Änderungsjahre</v>
          </cell>
          <cell r="D715" t="str">
            <v>Nicolai</v>
          </cell>
        </row>
        <row r="716">
          <cell r="A716" t="str">
            <v>138P/W05L##</v>
          </cell>
          <cell r="B716" t="str">
            <v>PG MC</v>
          </cell>
          <cell r="C716" t="str">
            <v>Änderungen lfd. Serie</v>
          </cell>
          <cell r="D716" t="str">
            <v>Nicolai</v>
          </cell>
        </row>
        <row r="717">
          <cell r="A717" t="str">
            <v>138P/W05S##</v>
          </cell>
          <cell r="B717" t="str">
            <v>PG MC</v>
          </cell>
          <cell r="C717" t="str">
            <v>i.W. Planungsleistung W175</v>
          </cell>
          <cell r="D717" t="str">
            <v>Nicolai</v>
          </cell>
        </row>
        <row r="718">
          <cell r="A718" t="str">
            <v>138P/W164HA</v>
          </cell>
          <cell r="B718" t="str">
            <v>PG LC</v>
          </cell>
          <cell r="C718" t="str">
            <v>Pauschalanpassung LC</v>
          </cell>
          <cell r="D718" t="str">
            <v>Ettischer</v>
          </cell>
        </row>
        <row r="719">
          <cell r="A719" t="str">
            <v>138P/W164HB</v>
          </cell>
          <cell r="B719" t="str">
            <v>PG LC</v>
          </cell>
          <cell r="C719" t="str">
            <v>Pauschalanpassung LC</v>
          </cell>
          <cell r="D719" t="str">
            <v>Ettischer</v>
          </cell>
        </row>
        <row r="720">
          <cell r="A720" t="str">
            <v>138P/W164HL</v>
          </cell>
          <cell r="B720" t="str">
            <v>PG LC</v>
          </cell>
          <cell r="C720" t="str">
            <v>Pauschalanpassung LC</v>
          </cell>
          <cell r="D720" t="str">
            <v>Ettischer</v>
          </cell>
        </row>
        <row r="721">
          <cell r="A721" t="str">
            <v>138P/W164HO</v>
          </cell>
          <cell r="B721" t="str">
            <v>PG LC</v>
          </cell>
          <cell r="C721" t="str">
            <v>Pauschalanpassung LC</v>
          </cell>
          <cell r="D721" t="str">
            <v>Ettischer</v>
          </cell>
        </row>
        <row r="722">
          <cell r="A722" t="str">
            <v>138P/W164HQ</v>
          </cell>
          <cell r="B722" t="str">
            <v>PG LC</v>
          </cell>
          <cell r="C722" t="str">
            <v>Pauschalanpassung LC</v>
          </cell>
          <cell r="D722" t="str">
            <v>Ettischer</v>
          </cell>
        </row>
        <row r="723">
          <cell r="A723" t="str">
            <v>138P/W166#E</v>
          </cell>
          <cell r="B723" t="str">
            <v>PG LC</v>
          </cell>
          <cell r="C723" t="str">
            <v>Pauschalanpassung LC</v>
          </cell>
          <cell r="D723" t="str">
            <v>Ettischer</v>
          </cell>
        </row>
        <row r="724">
          <cell r="A724" t="str">
            <v>138P/W166#F</v>
          </cell>
          <cell r="B724" t="str">
            <v>PG LC</v>
          </cell>
          <cell r="C724" t="str">
            <v>Pauschalanpassung LC</v>
          </cell>
          <cell r="D724" t="str">
            <v>Ettischer</v>
          </cell>
        </row>
        <row r="725">
          <cell r="A725" t="str">
            <v>138P/W166#H</v>
          </cell>
          <cell r="B725" t="str">
            <v>PG LC</v>
          </cell>
          <cell r="C725" t="str">
            <v>Pauschalanpassung LC</v>
          </cell>
          <cell r="D725" t="str">
            <v>Ettischer</v>
          </cell>
        </row>
        <row r="726">
          <cell r="A726" t="str">
            <v>138P/W166#L</v>
          </cell>
          <cell r="B726" t="str">
            <v>PG LC</v>
          </cell>
          <cell r="C726" t="str">
            <v>Pauschalanpassung LC</v>
          </cell>
          <cell r="D726" t="str">
            <v>Ettischer</v>
          </cell>
        </row>
        <row r="727">
          <cell r="A727" t="str">
            <v>138P/W166#O</v>
          </cell>
          <cell r="B727" t="str">
            <v>PG LC</v>
          </cell>
          <cell r="C727" t="str">
            <v>Pauschalanpassung LC</v>
          </cell>
          <cell r="D727" t="str">
            <v>Ettischer</v>
          </cell>
        </row>
        <row r="728">
          <cell r="A728" t="str">
            <v>138P/W166N#</v>
          </cell>
          <cell r="B728" t="str">
            <v>PG LC</v>
          </cell>
          <cell r="C728" t="str">
            <v>Nachfolgeprj. Neutyp</v>
          </cell>
          <cell r="D728" t="str">
            <v>Ettischer</v>
          </cell>
        </row>
        <row r="729">
          <cell r="A729" t="str">
            <v>138P/W205##</v>
          </cell>
          <cell r="B729" t="str">
            <v>PG MC</v>
          </cell>
          <cell r="C729" t="str">
            <v>i.W. Planungsleistung W175</v>
          </cell>
          <cell r="D729" t="str">
            <v>Nicolai</v>
          </cell>
        </row>
        <row r="730">
          <cell r="A730" t="str">
            <v>138P/W205#E</v>
          </cell>
          <cell r="B730" t="str">
            <v>PG MC</v>
          </cell>
          <cell r="C730" t="str">
            <v>i.W. Planungsleistung W175</v>
          </cell>
          <cell r="D730" t="str">
            <v>Nicolai</v>
          </cell>
        </row>
        <row r="731">
          <cell r="A731" t="str">
            <v>138P/W205#L</v>
          </cell>
          <cell r="B731" t="str">
            <v>PG MC</v>
          </cell>
          <cell r="C731" t="str">
            <v>i.W. Planungsleistung W175</v>
          </cell>
          <cell r="D731" t="str">
            <v>Nicolai</v>
          </cell>
        </row>
        <row r="732">
          <cell r="A732" t="str">
            <v>138P/W205#O</v>
          </cell>
          <cell r="B732" t="str">
            <v>PG MC</v>
          </cell>
          <cell r="C732" t="str">
            <v>i.W. Planungsleistung W175</v>
          </cell>
          <cell r="D732" t="str">
            <v>Nicolai</v>
          </cell>
        </row>
        <row r="733">
          <cell r="A733" t="str">
            <v>138P/W205N#</v>
          </cell>
          <cell r="B733" t="str">
            <v>PG MC</v>
          </cell>
          <cell r="C733" t="str">
            <v>Nachfolgeprj. Neutyp</v>
          </cell>
          <cell r="D733" t="str">
            <v>Nicolai</v>
          </cell>
        </row>
        <row r="734">
          <cell r="A734" t="str">
            <v>138P/W64A0B</v>
          </cell>
          <cell r="B734" t="str">
            <v>PG LC</v>
          </cell>
          <cell r="C734" t="str">
            <v>Änderungsjahre</v>
          </cell>
          <cell r="D734" t="str">
            <v>Ettischer</v>
          </cell>
        </row>
        <row r="735">
          <cell r="A735" t="str">
            <v>138P/W64A0L</v>
          </cell>
          <cell r="B735" t="str">
            <v>PG LC</v>
          </cell>
          <cell r="C735" t="str">
            <v>Änderungsjahre</v>
          </cell>
          <cell r="D735" t="str">
            <v>Ettischer</v>
          </cell>
        </row>
        <row r="736">
          <cell r="A736" t="str">
            <v>138P/W64A0O</v>
          </cell>
          <cell r="B736" t="str">
            <v>PG LC</v>
          </cell>
          <cell r="C736" t="str">
            <v>Änderungsjahre</v>
          </cell>
          <cell r="D736" t="str">
            <v>Ettischer</v>
          </cell>
        </row>
        <row r="737">
          <cell r="A737" t="str">
            <v>138P/W64A0P</v>
          </cell>
          <cell r="B737" t="str">
            <v>PG LC</v>
          </cell>
          <cell r="C737" t="str">
            <v>Änderungsjahre</v>
          </cell>
          <cell r="D737" t="str">
            <v>Ettischer</v>
          </cell>
        </row>
        <row r="738">
          <cell r="A738" t="str">
            <v>138P/W64A0Q</v>
          </cell>
          <cell r="B738" t="str">
            <v>PG LC</v>
          </cell>
          <cell r="C738" t="str">
            <v>Änderungsjahre</v>
          </cell>
          <cell r="D738" t="str">
            <v>Ettischer</v>
          </cell>
        </row>
        <row r="739">
          <cell r="A739" t="str">
            <v>138P/W64L#A</v>
          </cell>
          <cell r="B739" t="str">
            <v>PG LC</v>
          </cell>
          <cell r="C739" t="str">
            <v>Änderungen lfd. Serie</v>
          </cell>
          <cell r="D739" t="str">
            <v>Ettischer</v>
          </cell>
        </row>
        <row r="740">
          <cell r="A740" t="str">
            <v>138P/W64L0A</v>
          </cell>
          <cell r="B740" t="str">
            <v>PG LC</v>
          </cell>
          <cell r="C740" t="str">
            <v>Änderungen lfd. Serie</v>
          </cell>
          <cell r="D740" t="str">
            <v>Ettischer</v>
          </cell>
        </row>
        <row r="741">
          <cell r="A741" t="str">
            <v>138P/W64L0T</v>
          </cell>
          <cell r="B741" t="str">
            <v>PG LC</v>
          </cell>
          <cell r="C741" t="str">
            <v>Änderungen lfd. Serie</v>
          </cell>
          <cell r="D741" t="str">
            <v>Ettischer</v>
          </cell>
        </row>
        <row r="742">
          <cell r="A742" t="str">
            <v>138P/W64L1A</v>
          </cell>
          <cell r="B742" t="str">
            <v>PG LC</v>
          </cell>
          <cell r="C742" t="str">
            <v>Änderungen lfd. Serie</v>
          </cell>
          <cell r="D742" t="str">
            <v>Ettischer</v>
          </cell>
        </row>
        <row r="743">
          <cell r="A743" t="str">
            <v>138P/W64L1T</v>
          </cell>
          <cell r="B743" t="str">
            <v>PG LC</v>
          </cell>
          <cell r="C743" t="str">
            <v>Änderungen lfd. Serie</v>
          </cell>
          <cell r="D743" t="str">
            <v>Ettischer</v>
          </cell>
        </row>
        <row r="744">
          <cell r="A744" t="str">
            <v>138P/W64L8T</v>
          </cell>
          <cell r="B744" t="str">
            <v>PG LC</v>
          </cell>
          <cell r="C744" t="str">
            <v>Änderungen lfd. Serie</v>
          </cell>
          <cell r="D744" t="str">
            <v>Ettischer</v>
          </cell>
        </row>
        <row r="745">
          <cell r="A745" t="str">
            <v>138P/W64L9Q</v>
          </cell>
          <cell r="B745" t="str">
            <v>PG LC</v>
          </cell>
          <cell r="C745" t="str">
            <v>Änderungen lfd. Serie</v>
          </cell>
          <cell r="D745" t="str">
            <v>Ettischer</v>
          </cell>
        </row>
        <row r="746">
          <cell r="A746" t="str">
            <v>138P/W64L9T</v>
          </cell>
          <cell r="B746" t="str">
            <v>PG LC</v>
          </cell>
          <cell r="C746" t="str">
            <v>Änderungen lfd. Serie</v>
          </cell>
          <cell r="D746" t="str">
            <v>Ettischer</v>
          </cell>
        </row>
        <row r="747">
          <cell r="A747" t="str">
            <v>138P/W64M1L</v>
          </cell>
          <cell r="B747" t="str">
            <v>PG LC</v>
          </cell>
          <cell r="C747" t="str">
            <v>MOPFen</v>
          </cell>
          <cell r="D747" t="str">
            <v>Ettischer</v>
          </cell>
        </row>
        <row r="748">
          <cell r="A748" t="str">
            <v>138P/W66A2#</v>
          </cell>
          <cell r="B748" t="str">
            <v>PG LC</v>
          </cell>
          <cell r="C748" t="str">
            <v>Änderungsjahre</v>
          </cell>
          <cell r="D748" t="str">
            <v>Ettischer</v>
          </cell>
        </row>
        <row r="749">
          <cell r="A749" t="str">
            <v>138P/W66A2A</v>
          </cell>
          <cell r="B749" t="str">
            <v>PG LC</v>
          </cell>
          <cell r="C749" t="str">
            <v>Änderungsjahre</v>
          </cell>
          <cell r="D749" t="str">
            <v>Ettischer</v>
          </cell>
        </row>
        <row r="750">
          <cell r="A750" t="str">
            <v>138P/W66A2B</v>
          </cell>
          <cell r="B750" t="str">
            <v>PG LC</v>
          </cell>
          <cell r="C750" t="str">
            <v>Änderungsjahre</v>
          </cell>
          <cell r="D750" t="str">
            <v>Ettischer</v>
          </cell>
        </row>
        <row r="751">
          <cell r="A751" t="str">
            <v>138P/W66A2L</v>
          </cell>
          <cell r="B751" t="str">
            <v>PG LC</v>
          </cell>
          <cell r="C751" t="str">
            <v>Änderungsjahre</v>
          </cell>
          <cell r="D751" t="str">
            <v>Ettischer</v>
          </cell>
        </row>
        <row r="752">
          <cell r="A752" t="str">
            <v>138P/W66A2Q</v>
          </cell>
          <cell r="B752" t="str">
            <v>PG LC</v>
          </cell>
          <cell r="C752" t="str">
            <v>Änderungsjahre</v>
          </cell>
          <cell r="D752" t="str">
            <v>Ettischer</v>
          </cell>
        </row>
        <row r="753">
          <cell r="A753" t="str">
            <v>138P/W66A3#</v>
          </cell>
          <cell r="B753" t="str">
            <v>PG LC</v>
          </cell>
          <cell r="C753" t="str">
            <v>Änderungsjahre</v>
          </cell>
          <cell r="D753" t="str">
            <v>Ettischer</v>
          </cell>
        </row>
        <row r="754">
          <cell r="A754" t="str">
            <v>138P/W66A3A</v>
          </cell>
          <cell r="B754" t="str">
            <v>PG LC</v>
          </cell>
          <cell r="C754" t="str">
            <v>Änderungsjahre</v>
          </cell>
          <cell r="D754" t="str">
            <v>Ettischer</v>
          </cell>
        </row>
        <row r="755">
          <cell r="A755" t="str">
            <v>138P/W66A3B</v>
          </cell>
          <cell r="B755" t="str">
            <v>PG LC</v>
          </cell>
          <cell r="C755" t="str">
            <v>Änderungsjahre</v>
          </cell>
          <cell r="D755" t="str">
            <v>Ettischer</v>
          </cell>
        </row>
        <row r="756">
          <cell r="A756" t="str">
            <v>138P/W66A3L</v>
          </cell>
          <cell r="B756" t="str">
            <v>PG LC</v>
          </cell>
          <cell r="C756" t="str">
            <v>Änderungsjahre</v>
          </cell>
          <cell r="D756" t="str">
            <v>Ettischer</v>
          </cell>
        </row>
        <row r="757">
          <cell r="A757" t="str">
            <v>138P/W66A3Q</v>
          </cell>
          <cell r="B757" t="str">
            <v>PG LC</v>
          </cell>
          <cell r="C757" t="str">
            <v>Änderungsjahre</v>
          </cell>
          <cell r="D757" t="str">
            <v>Ettischer</v>
          </cell>
        </row>
        <row r="758">
          <cell r="A758" t="str">
            <v>138P/W66A4#</v>
          </cell>
          <cell r="B758" t="str">
            <v>PG LC</v>
          </cell>
          <cell r="C758" t="str">
            <v>Änderungsjahre</v>
          </cell>
          <cell r="D758" t="str">
            <v>Ettischer</v>
          </cell>
        </row>
        <row r="759">
          <cell r="A759" t="str">
            <v>138P/W66A4T</v>
          </cell>
          <cell r="B759" t="str">
            <v>PG LC</v>
          </cell>
          <cell r="C759" t="str">
            <v>Änderungsjahre</v>
          </cell>
          <cell r="D759" t="str">
            <v>Ettischer</v>
          </cell>
        </row>
        <row r="760">
          <cell r="A760" t="str">
            <v>138P/W66K4L</v>
          </cell>
          <cell r="B760" t="str">
            <v>PG LC</v>
          </cell>
          <cell r="C760" t="str">
            <v>Kapazitätsanpassungen</v>
          </cell>
          <cell r="D760" t="str">
            <v>Ettischer</v>
          </cell>
        </row>
        <row r="761">
          <cell r="A761" t="str">
            <v>138P/W66K6#</v>
          </cell>
          <cell r="B761" t="str">
            <v>PG LC</v>
          </cell>
          <cell r="C761" t="str">
            <v>Kapazitätsanpassungen</v>
          </cell>
          <cell r="D761" t="str">
            <v>Ettischer</v>
          </cell>
        </row>
        <row r="762">
          <cell r="A762" t="str">
            <v>138P/W66L1P</v>
          </cell>
          <cell r="B762" t="str">
            <v>PG LC</v>
          </cell>
          <cell r="C762" t="str">
            <v>Änderungen lfd. Serie</v>
          </cell>
          <cell r="D762" t="str">
            <v>Ettischer</v>
          </cell>
        </row>
        <row r="763">
          <cell r="A763" t="str">
            <v>138P/W66L2#</v>
          </cell>
          <cell r="B763" t="str">
            <v>PG LC</v>
          </cell>
          <cell r="C763" t="str">
            <v>Änderungen lfd. Serie</v>
          </cell>
          <cell r="D763" t="str">
            <v>Ettischer</v>
          </cell>
        </row>
        <row r="764">
          <cell r="A764" t="str">
            <v>138P/W66L2A</v>
          </cell>
          <cell r="B764" t="str">
            <v>PG LC</v>
          </cell>
          <cell r="C764" t="str">
            <v>Änderungen lfd. Serie</v>
          </cell>
          <cell r="D764" t="str">
            <v>Ettischer</v>
          </cell>
        </row>
        <row r="765">
          <cell r="A765" t="str">
            <v>138P/W66L2B</v>
          </cell>
          <cell r="B765" t="str">
            <v>PG LC</v>
          </cell>
          <cell r="C765" t="str">
            <v>Änderungen lfd. Serie</v>
          </cell>
          <cell r="D765" t="str">
            <v>Ettischer</v>
          </cell>
        </row>
        <row r="766">
          <cell r="A766" t="str">
            <v>138P/W66L2T</v>
          </cell>
          <cell r="B766" t="str">
            <v>PG LC</v>
          </cell>
          <cell r="C766" t="str">
            <v>Änderungen lfd. Serie</v>
          </cell>
          <cell r="D766" t="str">
            <v>Ettischer</v>
          </cell>
        </row>
        <row r="767">
          <cell r="A767" t="str">
            <v>138P/W66L3#</v>
          </cell>
          <cell r="B767" t="str">
            <v>PG LC</v>
          </cell>
          <cell r="C767" t="str">
            <v>Änderungen lfd. Serie</v>
          </cell>
          <cell r="D767" t="str">
            <v>Ettischer</v>
          </cell>
        </row>
        <row r="768">
          <cell r="A768" t="str">
            <v>138P/W66L3A</v>
          </cell>
          <cell r="B768" t="str">
            <v>PG LC</v>
          </cell>
          <cell r="C768" t="str">
            <v>Änderungen lfd. Serie</v>
          </cell>
          <cell r="D768" t="str">
            <v>Ettischer</v>
          </cell>
        </row>
        <row r="769">
          <cell r="A769" t="str">
            <v>138P/W66L3T</v>
          </cell>
          <cell r="B769" t="str">
            <v>PG LC</v>
          </cell>
          <cell r="C769" t="str">
            <v>Änderungen lfd. Serie</v>
          </cell>
          <cell r="D769" t="str">
            <v>Ettischer</v>
          </cell>
        </row>
        <row r="770">
          <cell r="A770" t="str">
            <v>138P/W66L4#</v>
          </cell>
          <cell r="B770" t="str">
            <v>PG LC</v>
          </cell>
          <cell r="C770" t="str">
            <v>Änderungen lfd. Serie</v>
          </cell>
          <cell r="D770" t="str">
            <v>Ettischer</v>
          </cell>
        </row>
        <row r="771">
          <cell r="A771" t="str">
            <v>138P/W66LLP</v>
          </cell>
          <cell r="B771" t="str">
            <v>PG LC</v>
          </cell>
          <cell r="C771" t="str">
            <v>Änderungen lfd. Serie</v>
          </cell>
          <cell r="D771" t="str">
            <v>Ettischer</v>
          </cell>
        </row>
        <row r="772">
          <cell r="A772" t="str">
            <v>138P/X166N#</v>
          </cell>
          <cell r="B772" t="str">
            <v>PG LC</v>
          </cell>
          <cell r="C772" t="str">
            <v>Nachfolgeprj. Neutyp</v>
          </cell>
          <cell r="D772" t="str">
            <v>Ettischer</v>
          </cell>
        </row>
        <row r="773">
          <cell r="A773" t="str">
            <v>138P/X64A0T</v>
          </cell>
          <cell r="B773" t="str">
            <v>PG LC</v>
          </cell>
          <cell r="C773" t="str">
            <v>Änderungsjahre</v>
          </cell>
          <cell r="D773" t="str">
            <v>Ettischer</v>
          </cell>
        </row>
        <row r="774">
          <cell r="A774" t="str">
            <v>138P/X64A1#</v>
          </cell>
          <cell r="B774" t="str">
            <v>PG LC</v>
          </cell>
          <cell r="C774" t="str">
            <v>Änderungsjahre</v>
          </cell>
          <cell r="D774" t="str">
            <v>Ettischer</v>
          </cell>
        </row>
        <row r="775">
          <cell r="A775" t="str">
            <v>138P/X64A1Q</v>
          </cell>
          <cell r="B775" t="str">
            <v>PG LC</v>
          </cell>
          <cell r="C775" t="str">
            <v>Änderungsjahre</v>
          </cell>
          <cell r="D775" t="str">
            <v>Ettischer</v>
          </cell>
        </row>
        <row r="776">
          <cell r="A776" t="str">
            <v>138P/X64M1#</v>
          </cell>
          <cell r="B776" t="str">
            <v>PG LC</v>
          </cell>
          <cell r="C776" t="str">
            <v>MOPFen</v>
          </cell>
          <cell r="D776" t="str">
            <v>Ettischer</v>
          </cell>
        </row>
        <row r="777">
          <cell r="A777" t="str">
            <v>138P/X64M1A</v>
          </cell>
          <cell r="B777" t="str">
            <v>PG LC</v>
          </cell>
          <cell r="C777" t="str">
            <v>MOPFen</v>
          </cell>
          <cell r="D777" t="str">
            <v>Ettischer</v>
          </cell>
        </row>
        <row r="778">
          <cell r="A778" t="str">
            <v>138P/X64M1L</v>
          </cell>
          <cell r="B778" t="str">
            <v>PG LC</v>
          </cell>
          <cell r="C778" t="str">
            <v>MOPFen</v>
          </cell>
          <cell r="D778" t="str">
            <v>Ettischer</v>
          </cell>
        </row>
        <row r="779">
          <cell r="A779" t="str">
            <v>138P/X64M1O</v>
          </cell>
          <cell r="B779" t="str">
            <v>PG LC</v>
          </cell>
          <cell r="C779" t="str">
            <v>MOPFen</v>
          </cell>
          <cell r="D779" t="str">
            <v>Ettischer</v>
          </cell>
        </row>
        <row r="780">
          <cell r="A780" t="str">
            <v>138P/X64M1P</v>
          </cell>
          <cell r="B780" t="str">
            <v>PG LC</v>
          </cell>
          <cell r="C780" t="str">
            <v>MOPFen</v>
          </cell>
          <cell r="D780" t="str">
            <v>Ettischer</v>
          </cell>
        </row>
        <row r="781">
          <cell r="A781" t="str">
            <v>138P/X64M1Q</v>
          </cell>
          <cell r="B781" t="str">
            <v>PG LC</v>
          </cell>
          <cell r="C781" t="str">
            <v>MOPFen</v>
          </cell>
          <cell r="D781" t="str">
            <v>Ettischer</v>
          </cell>
        </row>
        <row r="782">
          <cell r="A782" t="str">
            <v>138P/X66A#T</v>
          </cell>
          <cell r="B782" t="str">
            <v>PG LC</v>
          </cell>
          <cell r="C782" t="str">
            <v>Änderungsjahre</v>
          </cell>
          <cell r="D782" t="str">
            <v>Ettischer</v>
          </cell>
        </row>
        <row r="783">
          <cell r="A783" t="str">
            <v>138P/X66A3#</v>
          </cell>
          <cell r="B783" t="str">
            <v>PG LC</v>
          </cell>
          <cell r="C783" t="str">
            <v>Änderungsjahre</v>
          </cell>
          <cell r="D783" t="str">
            <v>Ettischer</v>
          </cell>
        </row>
        <row r="784">
          <cell r="A784" t="str">
            <v>138P/X66A3A</v>
          </cell>
          <cell r="B784" t="str">
            <v>PG LC</v>
          </cell>
          <cell r="C784" t="str">
            <v>Änderungsjahre</v>
          </cell>
          <cell r="D784" t="str">
            <v>Ettischer</v>
          </cell>
        </row>
        <row r="785">
          <cell r="A785" t="str">
            <v>138P/X66A3L</v>
          </cell>
          <cell r="B785" t="str">
            <v>PG LC</v>
          </cell>
          <cell r="C785" t="str">
            <v>Änderungsjahre</v>
          </cell>
          <cell r="D785" t="str">
            <v>Ettischer</v>
          </cell>
        </row>
        <row r="786">
          <cell r="A786" t="str">
            <v>138P/X66A3Q</v>
          </cell>
          <cell r="B786" t="str">
            <v>PG LC</v>
          </cell>
          <cell r="C786" t="str">
            <v>Änderungsjahre</v>
          </cell>
          <cell r="D786" t="str">
            <v>Ettischer</v>
          </cell>
        </row>
        <row r="787">
          <cell r="A787" t="str">
            <v>138P/X66A4#</v>
          </cell>
          <cell r="B787" t="str">
            <v>PG LC</v>
          </cell>
          <cell r="C787" t="str">
            <v>Änderungsjahre</v>
          </cell>
          <cell r="D787" t="str">
            <v>Ettischer</v>
          </cell>
        </row>
        <row r="788">
          <cell r="A788" t="str">
            <v>138P/X66A4T</v>
          </cell>
          <cell r="B788" t="str">
            <v>PG LC</v>
          </cell>
          <cell r="C788" t="str">
            <v>Änderungsjahre</v>
          </cell>
          <cell r="D788" t="str">
            <v>Ettischer</v>
          </cell>
        </row>
        <row r="789">
          <cell r="A789" t="str">
            <v>138P/X66L3#</v>
          </cell>
          <cell r="B789" t="str">
            <v>PG LC</v>
          </cell>
          <cell r="C789" t="str">
            <v>Änderungen lfd. Serie</v>
          </cell>
          <cell r="D789" t="str">
            <v>Ettischer</v>
          </cell>
        </row>
        <row r="790">
          <cell r="A790" t="str">
            <v>138P/X66L3T</v>
          </cell>
          <cell r="B790" t="str">
            <v>PG LC</v>
          </cell>
          <cell r="C790" t="str">
            <v>Änderungen lfd. Serie</v>
          </cell>
          <cell r="D790" t="str">
            <v>Ettischer</v>
          </cell>
        </row>
        <row r="791">
          <cell r="A791" t="str">
            <v>138P/X66L4#</v>
          </cell>
          <cell r="B791" t="str">
            <v>PG LC</v>
          </cell>
          <cell r="C791" t="str">
            <v>Änderungen lfd. Serie</v>
          </cell>
          <cell r="D791" t="str">
            <v>Ettischer</v>
          </cell>
        </row>
        <row r="792">
          <cell r="A792" t="str">
            <v>138P/X66M1#</v>
          </cell>
          <cell r="B792" t="str">
            <v>PG LC</v>
          </cell>
          <cell r="C792" t="str">
            <v>MOPFen</v>
          </cell>
          <cell r="D792" t="str">
            <v>Ettischer</v>
          </cell>
        </row>
        <row r="793">
          <cell r="A793" t="str">
            <v>138Z/205S2L</v>
          </cell>
          <cell r="B793" t="str">
            <v>PCC2</v>
          </cell>
          <cell r="C793" t="str">
            <v>PCC2</v>
          </cell>
          <cell r="D793" t="str">
            <v>tbd.</v>
          </cell>
        </row>
        <row r="794">
          <cell r="A794" t="str">
            <v>175F/204A#Y</v>
          </cell>
          <cell r="B794" t="str">
            <v>PG MC</v>
          </cell>
          <cell r="C794" t="str">
            <v>Änderungsjahre</v>
          </cell>
          <cell r="D794" t="str">
            <v>Nicolai</v>
          </cell>
        </row>
        <row r="795">
          <cell r="A795" t="str">
            <v>175F/204A1A</v>
          </cell>
          <cell r="B795" t="str">
            <v>PG MC</v>
          </cell>
          <cell r="C795" t="str">
            <v>Änderungsjahre</v>
          </cell>
          <cell r="D795" t="str">
            <v>Nicolai</v>
          </cell>
        </row>
        <row r="796">
          <cell r="A796" t="str">
            <v>175F/204A2A</v>
          </cell>
          <cell r="B796" t="str">
            <v>PG MC</v>
          </cell>
          <cell r="C796" t="str">
            <v>Änderungsjahre</v>
          </cell>
          <cell r="D796" t="str">
            <v>Nicolai</v>
          </cell>
        </row>
        <row r="797">
          <cell r="A797" t="str">
            <v>175F/204A2L</v>
          </cell>
          <cell r="B797" t="str">
            <v>PG MC</v>
          </cell>
          <cell r="C797" t="str">
            <v>Änderungsjahre</v>
          </cell>
          <cell r="D797" t="str">
            <v>Nicolai</v>
          </cell>
        </row>
        <row r="798">
          <cell r="A798" t="str">
            <v>175F/204A2P</v>
          </cell>
          <cell r="B798" t="str">
            <v>PG MC</v>
          </cell>
          <cell r="C798" t="str">
            <v>Änderungsjahre</v>
          </cell>
          <cell r="D798" t="str">
            <v>Nicolai</v>
          </cell>
        </row>
        <row r="799">
          <cell r="A799" t="str">
            <v>175F/204A2Q</v>
          </cell>
          <cell r="B799" t="str">
            <v>PG MC</v>
          </cell>
          <cell r="C799" t="str">
            <v>Änderungsjahre</v>
          </cell>
          <cell r="D799" t="str">
            <v>Nicolai</v>
          </cell>
        </row>
        <row r="800">
          <cell r="A800" t="str">
            <v>175F/204A3A</v>
          </cell>
          <cell r="B800" t="str">
            <v>PG MC</v>
          </cell>
          <cell r="C800" t="str">
            <v>Änderungsjahre</v>
          </cell>
          <cell r="D800" t="str">
            <v>Nicolai</v>
          </cell>
        </row>
        <row r="801">
          <cell r="A801" t="str">
            <v>175F/204A3L</v>
          </cell>
          <cell r="B801" t="str">
            <v>PG MC</v>
          </cell>
          <cell r="C801" t="str">
            <v>Änderungsjahre</v>
          </cell>
          <cell r="D801" t="str">
            <v>Nicolai</v>
          </cell>
        </row>
        <row r="802">
          <cell r="A802" t="str">
            <v>175F/204A3Q</v>
          </cell>
          <cell r="B802" t="str">
            <v>PG MC</v>
          </cell>
          <cell r="C802" t="str">
            <v>Änderungsjahre</v>
          </cell>
          <cell r="D802" t="str">
            <v>Nicolai</v>
          </cell>
        </row>
        <row r="803">
          <cell r="A803" t="str">
            <v>175F/204K1M</v>
          </cell>
          <cell r="B803" t="str">
            <v>PG MC</v>
          </cell>
          <cell r="C803" t="str">
            <v>Kapazitätsanpassungen</v>
          </cell>
          <cell r="D803" t="str">
            <v>Nicolai</v>
          </cell>
        </row>
        <row r="804">
          <cell r="A804" t="str">
            <v>175F/204K1O</v>
          </cell>
          <cell r="B804" t="str">
            <v>PG MC</v>
          </cell>
          <cell r="C804" t="str">
            <v>Kapazitätsanpassungen</v>
          </cell>
          <cell r="D804" t="str">
            <v>Nicolai</v>
          </cell>
        </row>
        <row r="805">
          <cell r="A805" t="str">
            <v>175F/204K1Y</v>
          </cell>
          <cell r="B805" t="str">
            <v>PG MC</v>
          </cell>
          <cell r="C805" t="str">
            <v>i.W. Planungsleistung W175</v>
          </cell>
          <cell r="D805" t="str">
            <v>Nicolai</v>
          </cell>
        </row>
        <row r="806">
          <cell r="A806" t="str">
            <v>175F/204L#O</v>
          </cell>
          <cell r="B806" t="str">
            <v>PG MC</v>
          </cell>
          <cell r="C806" t="str">
            <v>Änderungen lfd. Serie</v>
          </cell>
          <cell r="D806" t="str">
            <v>Nicolai</v>
          </cell>
        </row>
        <row r="807">
          <cell r="A807" t="str">
            <v>175F/204L0L</v>
          </cell>
          <cell r="B807" t="str">
            <v>PG MC</v>
          </cell>
          <cell r="C807" t="str">
            <v>Änderungen lfd. Serie</v>
          </cell>
          <cell r="D807" t="str">
            <v>Nicolai</v>
          </cell>
        </row>
        <row r="808">
          <cell r="A808" t="str">
            <v>175F/204L1A</v>
          </cell>
          <cell r="B808" t="str">
            <v>PG MC</v>
          </cell>
          <cell r="C808" t="str">
            <v>Änderungen lfd. Serie</v>
          </cell>
          <cell r="D808" t="str">
            <v>Nicolai</v>
          </cell>
        </row>
        <row r="809">
          <cell r="A809" t="str">
            <v>175F/204L1B</v>
          </cell>
          <cell r="B809" t="str">
            <v>PG MC</v>
          </cell>
          <cell r="C809" t="str">
            <v>Änderungen lfd. Serie</v>
          </cell>
          <cell r="D809" t="str">
            <v>Nicolai</v>
          </cell>
        </row>
        <row r="810">
          <cell r="A810" t="str">
            <v>175F/204L2A</v>
          </cell>
          <cell r="B810" t="str">
            <v>PG MC</v>
          </cell>
          <cell r="C810" t="str">
            <v>Änderungen lfd. Serie</v>
          </cell>
          <cell r="D810" t="str">
            <v>Nicolai</v>
          </cell>
        </row>
        <row r="811">
          <cell r="A811" t="str">
            <v>175F/204L2O</v>
          </cell>
          <cell r="B811" t="str">
            <v>PG MC</v>
          </cell>
          <cell r="C811" t="str">
            <v>Änderungen lfd. Serie</v>
          </cell>
          <cell r="D811" t="str">
            <v>Nicolai</v>
          </cell>
        </row>
        <row r="812">
          <cell r="A812" t="str">
            <v>175F/204M1O</v>
          </cell>
          <cell r="B812" t="str">
            <v>PG MC</v>
          </cell>
          <cell r="C812" t="str">
            <v>MOPFen</v>
          </cell>
          <cell r="D812" t="str">
            <v>Nicolai</v>
          </cell>
        </row>
        <row r="813">
          <cell r="A813" t="str">
            <v>175F/205A##</v>
          </cell>
          <cell r="B813" t="str">
            <v>PG MC</v>
          </cell>
          <cell r="C813" t="str">
            <v>Änderungsjahre</v>
          </cell>
          <cell r="D813" t="str">
            <v>Nicolai</v>
          </cell>
        </row>
        <row r="814">
          <cell r="A814" t="str">
            <v>175F/205LN#</v>
          </cell>
          <cell r="B814" t="str">
            <v>PG MC</v>
          </cell>
          <cell r="C814" t="str">
            <v>Änderungen lfd. Serie</v>
          </cell>
          <cell r="D814" t="str">
            <v>Nicolai</v>
          </cell>
        </row>
        <row r="815">
          <cell r="A815" t="str">
            <v>175F/205S##</v>
          </cell>
          <cell r="B815" t="str">
            <v>PG MC</v>
          </cell>
          <cell r="C815" t="str">
            <v>i.W. Planungsleistung W175</v>
          </cell>
          <cell r="D815" t="str">
            <v>Nicolai</v>
          </cell>
        </row>
        <row r="816">
          <cell r="A816" t="str">
            <v>175F/205SN#</v>
          </cell>
          <cell r="B816" t="str">
            <v>PG MC</v>
          </cell>
          <cell r="C816" t="str">
            <v>Nachfolgeprj. Neutyp</v>
          </cell>
          <cell r="D816" t="str">
            <v>Nicolai</v>
          </cell>
        </row>
        <row r="817">
          <cell r="A817" t="str">
            <v>175F/FPSIR#</v>
          </cell>
          <cell r="B817" t="str">
            <v>sonstige Struktur</v>
          </cell>
          <cell r="C817" t="str">
            <v>sonstige Struktur</v>
          </cell>
          <cell r="D817" t="str">
            <v>tbd.</v>
          </cell>
        </row>
        <row r="818">
          <cell r="A818" t="str">
            <v>175F/PGM1V#</v>
          </cell>
          <cell r="B818" t="str">
            <v>Commitment</v>
          </cell>
          <cell r="C818" t="str">
            <v>Commitment</v>
          </cell>
          <cell r="D818" t="str">
            <v>tbd.</v>
          </cell>
        </row>
        <row r="819">
          <cell r="A819" t="str">
            <v>175F/S1###Y</v>
          </cell>
          <cell r="B819" t="str">
            <v>sonstige Struktur</v>
          </cell>
          <cell r="C819" t="str">
            <v>sonstige Struktur</v>
          </cell>
          <cell r="D819" t="str">
            <v>tbd.</v>
          </cell>
        </row>
        <row r="820">
          <cell r="A820" t="str">
            <v>175F/S1204Y</v>
          </cell>
          <cell r="B820" t="str">
            <v>sonstige Struktur</v>
          </cell>
          <cell r="C820" t="str">
            <v>sonstige Struktur</v>
          </cell>
          <cell r="D820" t="str">
            <v>tbd.</v>
          </cell>
        </row>
        <row r="821">
          <cell r="A821" t="str">
            <v>175F/S2SIR#</v>
          </cell>
          <cell r="B821" t="str">
            <v>sonstige Struktur</v>
          </cell>
          <cell r="C821" t="str">
            <v>sonstige Struktur</v>
          </cell>
          <cell r="D821" t="str">
            <v>tbd.</v>
          </cell>
        </row>
        <row r="822">
          <cell r="A822" t="str">
            <v>175F/W205#O</v>
          </cell>
          <cell r="B822" t="str">
            <v>PG MC</v>
          </cell>
          <cell r="C822" t="str">
            <v>i.W. Planungsleistung W175</v>
          </cell>
          <cell r="D822" t="str">
            <v>Nicolai</v>
          </cell>
        </row>
        <row r="823">
          <cell r="A823" t="str">
            <v>175F/W205#X</v>
          </cell>
          <cell r="B823" t="str">
            <v>Achsen/Komponenten</v>
          </cell>
          <cell r="C823" t="str">
            <v>Achsen Werk 175</v>
          </cell>
          <cell r="D823" t="str">
            <v>tbd.</v>
          </cell>
        </row>
        <row r="824">
          <cell r="A824" t="str">
            <v>175F/W205N#</v>
          </cell>
          <cell r="B824" t="str">
            <v>PG MC</v>
          </cell>
          <cell r="C824" t="str">
            <v>Nachfolgeprj. Neutyp</v>
          </cell>
          <cell r="D824" t="str">
            <v>Nicolai</v>
          </cell>
        </row>
        <row r="825">
          <cell r="A825" t="str">
            <v>185X/117A##</v>
          </cell>
          <cell r="B825" t="str">
            <v>Indien</v>
          </cell>
          <cell r="C825" t="str">
            <v>Indien</v>
          </cell>
          <cell r="D825" t="str">
            <v>Mungenast</v>
          </cell>
        </row>
        <row r="826">
          <cell r="A826" t="str">
            <v>185X/117L##</v>
          </cell>
          <cell r="B826" t="str">
            <v>Indien</v>
          </cell>
          <cell r="C826" t="str">
            <v>Indien</v>
          </cell>
          <cell r="D826" t="str">
            <v>Mungenast</v>
          </cell>
        </row>
        <row r="827">
          <cell r="A827" t="str">
            <v>185X/117M1#</v>
          </cell>
          <cell r="B827" t="str">
            <v>Indien</v>
          </cell>
          <cell r="C827" t="str">
            <v>Indien</v>
          </cell>
          <cell r="D827" t="str">
            <v>Mungenast</v>
          </cell>
        </row>
        <row r="828">
          <cell r="A828" t="str">
            <v>185X/156A##</v>
          </cell>
          <cell r="B828" t="str">
            <v>Indien</v>
          </cell>
          <cell r="C828" t="str">
            <v>Indien</v>
          </cell>
          <cell r="D828" t="str">
            <v>Mungenast</v>
          </cell>
        </row>
        <row r="829">
          <cell r="A829" t="str">
            <v>185X/156L##</v>
          </cell>
          <cell r="B829" t="str">
            <v>Indien</v>
          </cell>
          <cell r="C829" t="str">
            <v>Indien</v>
          </cell>
          <cell r="D829" t="str">
            <v>Mungenast</v>
          </cell>
        </row>
        <row r="830">
          <cell r="A830" t="str">
            <v>185X/156M1#</v>
          </cell>
          <cell r="B830" t="str">
            <v>Indien</v>
          </cell>
          <cell r="C830" t="str">
            <v>Indien</v>
          </cell>
          <cell r="D830" t="str">
            <v>Mungenast</v>
          </cell>
        </row>
        <row r="831">
          <cell r="A831" t="str">
            <v>185X/157A##</v>
          </cell>
          <cell r="B831" t="str">
            <v>Indien</v>
          </cell>
          <cell r="C831" t="str">
            <v>Indien</v>
          </cell>
          <cell r="D831" t="str">
            <v>Mungenast</v>
          </cell>
        </row>
        <row r="832">
          <cell r="A832" t="str">
            <v>185X/157L##</v>
          </cell>
          <cell r="B832" t="str">
            <v>Indien</v>
          </cell>
          <cell r="C832" t="str">
            <v>Indien</v>
          </cell>
          <cell r="D832" t="str">
            <v>Mungenast</v>
          </cell>
        </row>
        <row r="833">
          <cell r="A833" t="str">
            <v>185X/177A##</v>
          </cell>
          <cell r="B833" t="str">
            <v>Indien</v>
          </cell>
          <cell r="C833" t="str">
            <v>Indien</v>
          </cell>
          <cell r="D833" t="str">
            <v>Mungenast</v>
          </cell>
        </row>
        <row r="834">
          <cell r="A834" t="str">
            <v>185X/177L##</v>
          </cell>
          <cell r="B834" t="str">
            <v>Indien</v>
          </cell>
          <cell r="C834" t="str">
            <v>Indien</v>
          </cell>
          <cell r="D834" t="str">
            <v>Mungenast</v>
          </cell>
        </row>
        <row r="835">
          <cell r="A835" t="str">
            <v>185X/177M1#</v>
          </cell>
          <cell r="B835" t="str">
            <v>Indien</v>
          </cell>
          <cell r="C835" t="str">
            <v>Indien</v>
          </cell>
          <cell r="D835" t="str">
            <v>Mungenast</v>
          </cell>
        </row>
        <row r="836">
          <cell r="A836" t="str">
            <v>185X/204A##</v>
          </cell>
          <cell r="B836" t="str">
            <v>Indien</v>
          </cell>
          <cell r="C836" t="str">
            <v>Indien</v>
          </cell>
          <cell r="D836" t="str">
            <v>Mungenast</v>
          </cell>
        </row>
        <row r="837">
          <cell r="A837" t="str">
            <v>185X/205A##</v>
          </cell>
          <cell r="B837" t="str">
            <v>Indien</v>
          </cell>
          <cell r="C837" t="str">
            <v>Indien</v>
          </cell>
          <cell r="D837" t="str">
            <v>Mungenast</v>
          </cell>
        </row>
        <row r="838">
          <cell r="A838" t="str">
            <v>185X/205AN#</v>
          </cell>
          <cell r="B838" t="str">
            <v>Indien</v>
          </cell>
          <cell r="C838" t="str">
            <v>Indien</v>
          </cell>
          <cell r="D838" t="str">
            <v>Mungenast</v>
          </cell>
        </row>
        <row r="839">
          <cell r="A839" t="str">
            <v>185X/205L##</v>
          </cell>
          <cell r="B839" t="str">
            <v>Indien</v>
          </cell>
          <cell r="C839" t="str">
            <v>Indien</v>
          </cell>
          <cell r="D839" t="str">
            <v>Mungenast</v>
          </cell>
        </row>
        <row r="840">
          <cell r="A840" t="str">
            <v>185X/205LN#</v>
          </cell>
          <cell r="B840" t="str">
            <v>Indien</v>
          </cell>
          <cell r="C840" t="str">
            <v>Indien</v>
          </cell>
          <cell r="D840" t="str">
            <v>Mungenast</v>
          </cell>
        </row>
        <row r="841">
          <cell r="A841" t="str">
            <v>185X/205M1#</v>
          </cell>
          <cell r="B841" t="str">
            <v>Indien</v>
          </cell>
          <cell r="C841" t="str">
            <v>Indien</v>
          </cell>
          <cell r="D841" t="str">
            <v>Mungenast</v>
          </cell>
        </row>
        <row r="842">
          <cell r="A842" t="str">
            <v>185X/205S1#</v>
          </cell>
          <cell r="B842" t="str">
            <v>Indien</v>
          </cell>
          <cell r="C842" t="str">
            <v>Indien</v>
          </cell>
          <cell r="D842" t="str">
            <v>Mungenast</v>
          </cell>
        </row>
        <row r="843">
          <cell r="A843" t="str">
            <v>185X/212A##</v>
          </cell>
          <cell r="B843" t="str">
            <v>Indien</v>
          </cell>
          <cell r="C843" t="str">
            <v>Indien</v>
          </cell>
          <cell r="D843" t="str">
            <v>Mungenast</v>
          </cell>
        </row>
        <row r="844">
          <cell r="A844" t="str">
            <v>185X/212M1#</v>
          </cell>
          <cell r="B844" t="str">
            <v>Indien</v>
          </cell>
          <cell r="C844" t="str">
            <v>Indien</v>
          </cell>
          <cell r="D844" t="str">
            <v>Mungenast</v>
          </cell>
        </row>
        <row r="845">
          <cell r="A845" t="str">
            <v>185X/213A##</v>
          </cell>
          <cell r="B845" t="str">
            <v>Indien</v>
          </cell>
          <cell r="C845" t="str">
            <v>Indien</v>
          </cell>
          <cell r="D845" t="str">
            <v>Mungenast</v>
          </cell>
        </row>
        <row r="846">
          <cell r="A846" t="str">
            <v>185X/213L##</v>
          </cell>
          <cell r="B846" t="str">
            <v>Indien</v>
          </cell>
          <cell r="C846" t="str">
            <v>Indien</v>
          </cell>
          <cell r="D846" t="str">
            <v>Mungenast</v>
          </cell>
        </row>
        <row r="847">
          <cell r="A847" t="str">
            <v>185X/213M1#</v>
          </cell>
          <cell r="B847" t="str">
            <v>Indien</v>
          </cell>
          <cell r="C847" t="str">
            <v>Indien</v>
          </cell>
          <cell r="D847" t="str">
            <v>Mungenast</v>
          </cell>
        </row>
        <row r="848">
          <cell r="A848" t="str">
            <v>185X/221A##</v>
          </cell>
          <cell r="B848" t="str">
            <v>Indien</v>
          </cell>
          <cell r="C848" t="str">
            <v>Indien</v>
          </cell>
          <cell r="D848" t="str">
            <v>Mungenast</v>
          </cell>
        </row>
        <row r="849">
          <cell r="A849" t="str">
            <v>185X/247A##</v>
          </cell>
          <cell r="B849" t="str">
            <v>Indien</v>
          </cell>
          <cell r="C849" t="str">
            <v>Indien</v>
          </cell>
          <cell r="D849" t="str">
            <v>Mungenast</v>
          </cell>
        </row>
        <row r="850">
          <cell r="A850" t="str">
            <v>185X/247L##</v>
          </cell>
          <cell r="B850" t="str">
            <v>Indien</v>
          </cell>
          <cell r="C850" t="str">
            <v>Indien</v>
          </cell>
          <cell r="D850" t="str">
            <v>Mungenast</v>
          </cell>
        </row>
        <row r="851">
          <cell r="A851" t="str">
            <v>185X/247M1#</v>
          </cell>
          <cell r="B851" t="str">
            <v>Indien</v>
          </cell>
          <cell r="C851" t="str">
            <v>Indien</v>
          </cell>
          <cell r="D851" t="str">
            <v>Mungenast</v>
          </cell>
        </row>
        <row r="852">
          <cell r="A852" t="str">
            <v>185X/253A##</v>
          </cell>
          <cell r="B852" t="str">
            <v>Indien</v>
          </cell>
          <cell r="C852" t="str">
            <v>Indien</v>
          </cell>
          <cell r="D852" t="str">
            <v>Mungenast</v>
          </cell>
        </row>
        <row r="853">
          <cell r="A853" t="str">
            <v>185X/253L##</v>
          </cell>
          <cell r="B853" t="str">
            <v>Indien</v>
          </cell>
          <cell r="C853" t="str">
            <v>Indien</v>
          </cell>
          <cell r="D853" t="str">
            <v>Mungenast</v>
          </cell>
        </row>
        <row r="854">
          <cell r="A854" t="str">
            <v>185X/253M1#</v>
          </cell>
          <cell r="B854" t="str">
            <v>Indien</v>
          </cell>
          <cell r="C854" t="str">
            <v>Indien</v>
          </cell>
          <cell r="D854" t="str">
            <v>Mungenast</v>
          </cell>
        </row>
        <row r="855">
          <cell r="A855" t="str">
            <v>185X/C117##</v>
          </cell>
          <cell r="B855" t="str">
            <v>Indien</v>
          </cell>
          <cell r="C855" t="str">
            <v>Indien</v>
          </cell>
          <cell r="D855" t="str">
            <v>Mungenast</v>
          </cell>
        </row>
        <row r="856">
          <cell r="A856" t="str">
            <v>185X/S1####</v>
          </cell>
          <cell r="B856" t="str">
            <v>Indien</v>
          </cell>
          <cell r="C856" t="str">
            <v>Indien</v>
          </cell>
          <cell r="D856" t="str">
            <v>Mungenast</v>
          </cell>
        </row>
        <row r="857">
          <cell r="A857" t="str">
            <v>185X/V13A##</v>
          </cell>
          <cell r="B857" t="str">
            <v>Indien</v>
          </cell>
          <cell r="C857" t="str">
            <v>Indien</v>
          </cell>
          <cell r="D857" t="str">
            <v>Mungenast</v>
          </cell>
        </row>
        <row r="858">
          <cell r="A858" t="str">
            <v>185X/V13L##</v>
          </cell>
          <cell r="B858" t="str">
            <v>Indien</v>
          </cell>
          <cell r="C858" t="str">
            <v>Indien</v>
          </cell>
          <cell r="D858" t="str">
            <v>Mungenast</v>
          </cell>
        </row>
        <row r="859">
          <cell r="A859" t="str">
            <v>185X/V13M1#</v>
          </cell>
          <cell r="B859" t="str">
            <v>Indien</v>
          </cell>
          <cell r="C859" t="str">
            <v>Indien</v>
          </cell>
          <cell r="D859" t="str">
            <v>Mungenast</v>
          </cell>
        </row>
        <row r="860">
          <cell r="A860" t="str">
            <v>185X/V177##</v>
          </cell>
          <cell r="B860" t="str">
            <v>Indien</v>
          </cell>
          <cell r="C860" t="str">
            <v>Indien</v>
          </cell>
          <cell r="D860" t="str">
            <v>Mungenast</v>
          </cell>
        </row>
        <row r="861">
          <cell r="A861" t="str">
            <v>185X/V213##</v>
          </cell>
          <cell r="B861" t="str">
            <v>Indien</v>
          </cell>
          <cell r="C861" t="str">
            <v>Indien</v>
          </cell>
          <cell r="D861" t="str">
            <v>Mungenast</v>
          </cell>
        </row>
        <row r="862">
          <cell r="A862" t="str">
            <v>185X/V213N#</v>
          </cell>
          <cell r="B862" t="str">
            <v>Indien</v>
          </cell>
          <cell r="C862" t="str">
            <v>Indien</v>
          </cell>
          <cell r="D862" t="str">
            <v>Mungenast</v>
          </cell>
        </row>
        <row r="863">
          <cell r="A863" t="str">
            <v>185X/V222##</v>
          </cell>
          <cell r="B863" t="str">
            <v>Indien</v>
          </cell>
          <cell r="C863" t="str">
            <v>Indien</v>
          </cell>
          <cell r="D863" t="str">
            <v>Mungenast</v>
          </cell>
        </row>
        <row r="864">
          <cell r="A864" t="str">
            <v>185X/V222N#</v>
          </cell>
          <cell r="B864" t="str">
            <v>Indien</v>
          </cell>
          <cell r="C864" t="str">
            <v>Indien</v>
          </cell>
          <cell r="D864" t="str">
            <v>Mungenast</v>
          </cell>
        </row>
        <row r="865">
          <cell r="A865" t="str">
            <v>185X/V22A##</v>
          </cell>
          <cell r="B865" t="str">
            <v>Indien</v>
          </cell>
          <cell r="C865" t="str">
            <v>Indien</v>
          </cell>
          <cell r="D865" t="str">
            <v>Mungenast</v>
          </cell>
        </row>
        <row r="866">
          <cell r="A866" t="str">
            <v>185X/V22AN#</v>
          </cell>
          <cell r="B866" t="str">
            <v>Indien</v>
          </cell>
          <cell r="C866" t="str">
            <v>Indien</v>
          </cell>
          <cell r="D866" t="str">
            <v>Mungenast</v>
          </cell>
        </row>
        <row r="867">
          <cell r="A867" t="str">
            <v>185X/V22L##</v>
          </cell>
          <cell r="B867" t="str">
            <v>Indien</v>
          </cell>
          <cell r="C867" t="str">
            <v>Indien</v>
          </cell>
          <cell r="D867" t="str">
            <v>Mungenast</v>
          </cell>
        </row>
        <row r="868">
          <cell r="A868" t="str">
            <v>185X/V22LN#</v>
          </cell>
          <cell r="B868" t="str">
            <v>Indien</v>
          </cell>
          <cell r="C868" t="str">
            <v>Indien</v>
          </cell>
          <cell r="D868" t="str">
            <v>Mungenast</v>
          </cell>
        </row>
        <row r="869">
          <cell r="A869" t="str">
            <v>185X/V22M1#</v>
          </cell>
          <cell r="B869" t="str">
            <v>Indien</v>
          </cell>
          <cell r="C869" t="str">
            <v>Indien</v>
          </cell>
          <cell r="D869" t="str">
            <v>Mungenast</v>
          </cell>
        </row>
        <row r="870">
          <cell r="A870" t="str">
            <v>185X/V77A##</v>
          </cell>
          <cell r="B870" t="str">
            <v>Indien</v>
          </cell>
          <cell r="C870" t="str">
            <v>Indien</v>
          </cell>
          <cell r="D870" t="str">
            <v>Mungenast</v>
          </cell>
        </row>
        <row r="871">
          <cell r="A871" t="str">
            <v>185X/V77L##</v>
          </cell>
          <cell r="B871" t="str">
            <v>Indien</v>
          </cell>
          <cell r="C871" t="str">
            <v>Indien</v>
          </cell>
          <cell r="D871" t="str">
            <v>Mungenast</v>
          </cell>
        </row>
        <row r="872">
          <cell r="A872" t="str">
            <v>185X/V77M1#</v>
          </cell>
          <cell r="B872" t="str">
            <v>Indien</v>
          </cell>
          <cell r="C872" t="str">
            <v>Indien</v>
          </cell>
          <cell r="D872" t="str">
            <v>Mungenast</v>
          </cell>
        </row>
        <row r="873">
          <cell r="A873" t="str">
            <v>185X/W166N#</v>
          </cell>
          <cell r="B873" t="str">
            <v>Indien</v>
          </cell>
          <cell r="C873" t="str">
            <v>Indien</v>
          </cell>
          <cell r="D873" t="str">
            <v>Mungenast</v>
          </cell>
        </row>
        <row r="874">
          <cell r="A874" t="str">
            <v>185X/W176##</v>
          </cell>
          <cell r="B874" t="str">
            <v>Indien</v>
          </cell>
          <cell r="C874" t="str">
            <v>Indien</v>
          </cell>
          <cell r="D874" t="str">
            <v>Mungenast</v>
          </cell>
        </row>
        <row r="875">
          <cell r="A875" t="str">
            <v>185X/W177##</v>
          </cell>
          <cell r="B875" t="str">
            <v>Indien</v>
          </cell>
          <cell r="C875" t="str">
            <v>Indien</v>
          </cell>
          <cell r="D875" t="str">
            <v>Mungenast</v>
          </cell>
        </row>
        <row r="876">
          <cell r="A876" t="str">
            <v>185X/W205##</v>
          </cell>
          <cell r="B876" t="str">
            <v>Indien</v>
          </cell>
          <cell r="C876" t="str">
            <v>Indien</v>
          </cell>
          <cell r="D876" t="str">
            <v>Mungenast</v>
          </cell>
        </row>
        <row r="877">
          <cell r="A877" t="str">
            <v>185X/W205N#</v>
          </cell>
          <cell r="B877" t="str">
            <v>Indien</v>
          </cell>
          <cell r="C877" t="str">
            <v>Indien</v>
          </cell>
          <cell r="D877" t="str">
            <v>Mungenast</v>
          </cell>
        </row>
        <row r="878">
          <cell r="A878" t="str">
            <v>185X/W213##</v>
          </cell>
          <cell r="B878" t="str">
            <v>Indien</v>
          </cell>
          <cell r="C878" t="str">
            <v>Indien</v>
          </cell>
          <cell r="D878" t="str">
            <v>Mungenast</v>
          </cell>
        </row>
        <row r="879">
          <cell r="A879" t="str">
            <v>185X/W213N#</v>
          </cell>
          <cell r="B879" t="str">
            <v>Indien</v>
          </cell>
          <cell r="C879" t="str">
            <v>Indien</v>
          </cell>
          <cell r="D879" t="str">
            <v>Mungenast</v>
          </cell>
        </row>
        <row r="880">
          <cell r="A880" t="str">
            <v>185X/W246##</v>
          </cell>
          <cell r="B880" t="str">
            <v>Indien</v>
          </cell>
          <cell r="C880" t="str">
            <v>Indien</v>
          </cell>
          <cell r="D880" t="str">
            <v>Mungenast</v>
          </cell>
        </row>
        <row r="881">
          <cell r="A881" t="str">
            <v>185X/W247##</v>
          </cell>
          <cell r="B881" t="str">
            <v>Indien</v>
          </cell>
          <cell r="C881" t="str">
            <v>Indien</v>
          </cell>
          <cell r="D881" t="str">
            <v>Mungenast</v>
          </cell>
        </row>
        <row r="882">
          <cell r="A882" t="str">
            <v>185X/W247N#</v>
          </cell>
          <cell r="B882" t="str">
            <v>Indien</v>
          </cell>
          <cell r="C882" t="str">
            <v>Indien</v>
          </cell>
          <cell r="D882" t="str">
            <v>Mungenast</v>
          </cell>
        </row>
        <row r="883">
          <cell r="A883" t="str">
            <v>185X/W66A##</v>
          </cell>
          <cell r="B883" t="str">
            <v>Indien</v>
          </cell>
          <cell r="C883" t="str">
            <v>Indien</v>
          </cell>
          <cell r="D883" t="str">
            <v>Mungenast</v>
          </cell>
        </row>
        <row r="884">
          <cell r="A884" t="str">
            <v>185X/W66AN#</v>
          </cell>
          <cell r="B884" t="str">
            <v>Indien</v>
          </cell>
          <cell r="C884" t="str">
            <v>Indien</v>
          </cell>
          <cell r="D884" t="str">
            <v>Mungenast</v>
          </cell>
        </row>
        <row r="885">
          <cell r="A885" t="str">
            <v>185X/W66LN#</v>
          </cell>
          <cell r="B885" t="str">
            <v>Indien</v>
          </cell>
          <cell r="C885" t="str">
            <v>Indien</v>
          </cell>
          <cell r="D885" t="str">
            <v>Mungenast</v>
          </cell>
        </row>
        <row r="886">
          <cell r="A886" t="str">
            <v>185X/W66MN#</v>
          </cell>
          <cell r="B886" t="str">
            <v>Indien</v>
          </cell>
          <cell r="C886" t="str">
            <v>Indien</v>
          </cell>
          <cell r="D886" t="str">
            <v>Mungenast</v>
          </cell>
        </row>
        <row r="887">
          <cell r="A887" t="str">
            <v>185X/X156##</v>
          </cell>
          <cell r="B887" t="str">
            <v>Indien</v>
          </cell>
          <cell r="C887" t="str">
            <v>Indien</v>
          </cell>
          <cell r="D887" t="str">
            <v>Mungenast</v>
          </cell>
        </row>
        <row r="888">
          <cell r="A888" t="str">
            <v>185X/X157##</v>
          </cell>
          <cell r="B888" t="str">
            <v>Indien</v>
          </cell>
          <cell r="C888" t="str">
            <v>Indien</v>
          </cell>
          <cell r="D888" t="str">
            <v>Mungenast</v>
          </cell>
        </row>
        <row r="889">
          <cell r="A889" t="str">
            <v>185X/X166##</v>
          </cell>
          <cell r="B889" t="str">
            <v>Indien</v>
          </cell>
          <cell r="C889" t="str">
            <v>Indien</v>
          </cell>
          <cell r="D889" t="str">
            <v>Mungenast</v>
          </cell>
        </row>
        <row r="890">
          <cell r="A890" t="str">
            <v>185X/X166N#</v>
          </cell>
          <cell r="B890" t="str">
            <v>Indien</v>
          </cell>
          <cell r="C890" t="str">
            <v>Indien</v>
          </cell>
          <cell r="D890" t="str">
            <v>Mungenast</v>
          </cell>
        </row>
        <row r="891">
          <cell r="A891" t="str">
            <v>185X/X222##</v>
          </cell>
          <cell r="B891" t="str">
            <v>Indien</v>
          </cell>
          <cell r="C891" t="str">
            <v>Indien</v>
          </cell>
          <cell r="D891" t="str">
            <v>Mungenast</v>
          </cell>
        </row>
        <row r="892">
          <cell r="A892" t="str">
            <v>185X/X222N#</v>
          </cell>
          <cell r="B892" t="str">
            <v>Indien</v>
          </cell>
          <cell r="C892" t="str">
            <v>Indien</v>
          </cell>
          <cell r="D892" t="str">
            <v>Mungenast</v>
          </cell>
        </row>
        <row r="893">
          <cell r="A893" t="str">
            <v>185X/X22A##</v>
          </cell>
          <cell r="B893" t="str">
            <v>Indien</v>
          </cell>
          <cell r="C893" t="str">
            <v>Indien</v>
          </cell>
          <cell r="D893" t="str">
            <v>Mungenast</v>
          </cell>
        </row>
        <row r="894">
          <cell r="A894" t="str">
            <v>185X/X22AN#</v>
          </cell>
          <cell r="B894" t="str">
            <v>Indien</v>
          </cell>
          <cell r="C894" t="str">
            <v>Indien</v>
          </cell>
          <cell r="D894" t="str">
            <v>Mungenast</v>
          </cell>
        </row>
        <row r="895">
          <cell r="A895" t="str">
            <v>185X/X22L##</v>
          </cell>
          <cell r="B895" t="str">
            <v>Indien</v>
          </cell>
          <cell r="C895" t="str">
            <v>Indien</v>
          </cell>
          <cell r="D895" t="str">
            <v>Mungenast</v>
          </cell>
        </row>
        <row r="896">
          <cell r="A896" t="str">
            <v>185X/X22LN#</v>
          </cell>
          <cell r="B896" t="str">
            <v>Indien</v>
          </cell>
          <cell r="C896" t="str">
            <v>Indien</v>
          </cell>
          <cell r="D896" t="str">
            <v>Mungenast</v>
          </cell>
        </row>
        <row r="897">
          <cell r="A897" t="str">
            <v>185X/X22M1#</v>
          </cell>
          <cell r="B897" t="str">
            <v>Indien</v>
          </cell>
          <cell r="C897" t="str">
            <v>Indien</v>
          </cell>
          <cell r="D897" t="str">
            <v>Mungenast</v>
          </cell>
        </row>
        <row r="898">
          <cell r="A898" t="str">
            <v>185X/X247##</v>
          </cell>
          <cell r="B898" t="str">
            <v>Indien</v>
          </cell>
          <cell r="C898" t="str">
            <v>Indien</v>
          </cell>
          <cell r="D898" t="str">
            <v>Mungenast</v>
          </cell>
        </row>
        <row r="899">
          <cell r="A899" t="str">
            <v>185X/X253##</v>
          </cell>
          <cell r="B899" t="str">
            <v>Indien</v>
          </cell>
          <cell r="C899" t="str">
            <v>Indien</v>
          </cell>
          <cell r="D899" t="str">
            <v>Mungenast</v>
          </cell>
        </row>
        <row r="900">
          <cell r="A900" t="str">
            <v>185X/X253N#</v>
          </cell>
          <cell r="B900" t="str">
            <v>Indien</v>
          </cell>
          <cell r="C900" t="str">
            <v>Indien</v>
          </cell>
          <cell r="D900" t="str">
            <v>Mungenast</v>
          </cell>
        </row>
        <row r="901">
          <cell r="A901" t="str">
            <v>185X/X47A##</v>
          </cell>
          <cell r="B901" t="str">
            <v>Indien</v>
          </cell>
          <cell r="C901" t="str">
            <v>Indien</v>
          </cell>
          <cell r="D901" t="str">
            <v>Mungenast</v>
          </cell>
        </row>
        <row r="902">
          <cell r="A902" t="str">
            <v>185X/X47L##</v>
          </cell>
          <cell r="B902" t="str">
            <v>Indien</v>
          </cell>
          <cell r="C902" t="str">
            <v>Indien</v>
          </cell>
          <cell r="D902" t="str">
            <v>Mungenast</v>
          </cell>
        </row>
        <row r="903">
          <cell r="A903" t="str">
            <v>185X/X47M1#</v>
          </cell>
          <cell r="B903" t="str">
            <v>Indien</v>
          </cell>
          <cell r="C903" t="str">
            <v>Indien</v>
          </cell>
          <cell r="D903" t="str">
            <v>Mungenast</v>
          </cell>
        </row>
        <row r="904">
          <cell r="A904" t="str">
            <v>185X/X66A##</v>
          </cell>
          <cell r="B904" t="str">
            <v>Indien</v>
          </cell>
          <cell r="C904" t="str">
            <v>Indien</v>
          </cell>
          <cell r="D904" t="str">
            <v>Mungenast</v>
          </cell>
        </row>
        <row r="905">
          <cell r="A905" t="str">
            <v>185X/X66AN#</v>
          </cell>
          <cell r="B905" t="str">
            <v>Indien</v>
          </cell>
          <cell r="C905" t="str">
            <v>Indien</v>
          </cell>
          <cell r="D905" t="str">
            <v>Mungenast</v>
          </cell>
        </row>
        <row r="906">
          <cell r="A906" t="str">
            <v>185X/X66L##</v>
          </cell>
          <cell r="B906" t="str">
            <v>Indien</v>
          </cell>
          <cell r="C906" t="str">
            <v>Indien</v>
          </cell>
          <cell r="D906" t="str">
            <v>Mungenast</v>
          </cell>
        </row>
        <row r="907">
          <cell r="A907" t="str">
            <v>185X/X66LN#</v>
          </cell>
          <cell r="B907" t="str">
            <v>Indien</v>
          </cell>
          <cell r="C907" t="str">
            <v>Indien</v>
          </cell>
          <cell r="D907" t="str">
            <v>Mungenast</v>
          </cell>
        </row>
        <row r="908">
          <cell r="A908" t="str">
            <v>185X/X66M1#</v>
          </cell>
          <cell r="B908" t="str">
            <v>Indien</v>
          </cell>
          <cell r="C908" t="str">
            <v>Indien</v>
          </cell>
          <cell r="D908" t="str">
            <v>Mungenast</v>
          </cell>
        </row>
        <row r="909">
          <cell r="A909" t="str">
            <v>371P/117A3#</v>
          </cell>
          <cell r="B909" t="str">
            <v>PG CC</v>
          </cell>
          <cell r="C909" t="str">
            <v>Änderungsjahre</v>
          </cell>
          <cell r="D909" t="str">
            <v>Krupinski</v>
          </cell>
        </row>
        <row r="910">
          <cell r="A910" t="str">
            <v>371P/117A4#</v>
          </cell>
          <cell r="B910" t="str">
            <v>PG CC</v>
          </cell>
          <cell r="C910" t="str">
            <v>Änderungsjahre</v>
          </cell>
          <cell r="D910" t="str">
            <v>Krupinski</v>
          </cell>
        </row>
        <row r="911">
          <cell r="A911" t="str">
            <v>371P/117L3#</v>
          </cell>
          <cell r="B911" t="str">
            <v>PG CC</v>
          </cell>
          <cell r="C911" t="str">
            <v>Änderungen lfd. Serie</v>
          </cell>
          <cell r="D911" t="str">
            <v>Krupinski</v>
          </cell>
        </row>
        <row r="912">
          <cell r="A912" t="str">
            <v>371P/246A2#</v>
          </cell>
          <cell r="B912" t="str">
            <v>PG CC</v>
          </cell>
          <cell r="C912" t="str">
            <v>Änderungsjahre</v>
          </cell>
          <cell r="D912" t="str">
            <v>Krupinski</v>
          </cell>
        </row>
        <row r="913">
          <cell r="A913" t="str">
            <v>371P/246A3#</v>
          </cell>
          <cell r="B913" t="str">
            <v>PG CC</v>
          </cell>
          <cell r="C913" t="str">
            <v>Änderungsjahre</v>
          </cell>
          <cell r="D913" t="str">
            <v>Krupinski</v>
          </cell>
        </row>
        <row r="914">
          <cell r="A914" t="str">
            <v>371P/246A4#</v>
          </cell>
          <cell r="B914" t="str">
            <v>PG CC</v>
          </cell>
          <cell r="C914" t="str">
            <v>Änderungsjahre</v>
          </cell>
          <cell r="D914" t="str">
            <v>Krupinski</v>
          </cell>
        </row>
        <row r="915">
          <cell r="A915" t="str">
            <v>371P/246AQM</v>
          </cell>
          <cell r="B915" t="str">
            <v>PG CC</v>
          </cell>
          <cell r="C915" t="str">
            <v>Änderungsjahre</v>
          </cell>
          <cell r="D915" t="str">
            <v>Krupinski</v>
          </cell>
        </row>
        <row r="916">
          <cell r="A916" t="str">
            <v>371P/246ASM</v>
          </cell>
          <cell r="B916" t="str">
            <v>PG CC</v>
          </cell>
          <cell r="C916" t="str">
            <v>Änderungsjahre</v>
          </cell>
          <cell r="D916" t="str">
            <v>Krupinski</v>
          </cell>
        </row>
        <row r="917">
          <cell r="A917" t="str">
            <v>371P/246ASQ</v>
          </cell>
          <cell r="B917" t="str">
            <v>PG CC</v>
          </cell>
          <cell r="C917" t="str">
            <v>Änderungsjahre</v>
          </cell>
          <cell r="D917" t="str">
            <v>Krupinski</v>
          </cell>
        </row>
        <row r="918">
          <cell r="A918" t="str">
            <v>371P/246L3#</v>
          </cell>
          <cell r="B918" t="str">
            <v>PG CC</v>
          </cell>
          <cell r="C918" t="str">
            <v>Änderungen lfd. Serie</v>
          </cell>
          <cell r="D918" t="str">
            <v>Krupinski</v>
          </cell>
        </row>
        <row r="919">
          <cell r="A919" t="str">
            <v>371P/246L3P</v>
          </cell>
          <cell r="B919" t="str">
            <v>PG CC</v>
          </cell>
          <cell r="C919" t="str">
            <v>Änderungen lfd. Serie</v>
          </cell>
          <cell r="D919" t="str">
            <v>Krupinski</v>
          </cell>
        </row>
        <row r="920">
          <cell r="A920" t="str">
            <v>371P/246M1X</v>
          </cell>
          <cell r="B920" t="str">
            <v>PG CC</v>
          </cell>
          <cell r="C920" t="str">
            <v>MOPFen</v>
          </cell>
          <cell r="D920" t="str">
            <v>Krupinski</v>
          </cell>
        </row>
        <row r="921">
          <cell r="A921" t="str">
            <v>371P/246NM#</v>
          </cell>
          <cell r="B921" t="str">
            <v>JC1</v>
          </cell>
          <cell r="C921" t="str">
            <v>JC1</v>
          </cell>
          <cell r="D921" t="str">
            <v>Krupinski</v>
          </cell>
        </row>
        <row r="922">
          <cell r="A922" t="str">
            <v>371P/C117##</v>
          </cell>
          <cell r="B922" t="str">
            <v>PG CC</v>
          </cell>
          <cell r="C922" t="str">
            <v>Pauschalanpassung LC</v>
          </cell>
          <cell r="D922" t="str">
            <v>Krupinski</v>
          </cell>
        </row>
        <row r="923">
          <cell r="A923" t="str">
            <v>371P/C117A#</v>
          </cell>
          <cell r="B923" t="str">
            <v>PG CC</v>
          </cell>
          <cell r="C923" t="str">
            <v>Änderungsjahre</v>
          </cell>
          <cell r="D923" t="str">
            <v>Krupinski</v>
          </cell>
        </row>
        <row r="924">
          <cell r="A924" t="str">
            <v>371P/C117L#</v>
          </cell>
          <cell r="B924" t="str">
            <v>PG CC</v>
          </cell>
          <cell r="C924" t="str">
            <v>Änderungen lfd. Serie</v>
          </cell>
          <cell r="D924" t="str">
            <v>Krupinski</v>
          </cell>
        </row>
        <row r="925">
          <cell r="A925" t="str">
            <v>371P/C117M#</v>
          </cell>
          <cell r="B925" t="str">
            <v>PG CC</v>
          </cell>
          <cell r="C925" t="str">
            <v>MOPFen</v>
          </cell>
          <cell r="D925" t="str">
            <v>Krupinski</v>
          </cell>
        </row>
        <row r="926">
          <cell r="A926" t="str">
            <v>371P/PGC1V#</v>
          </cell>
          <cell r="B926" t="str">
            <v>Commitment</v>
          </cell>
          <cell r="C926" t="str">
            <v>Commitment</v>
          </cell>
          <cell r="D926" t="str">
            <v>tbd.</v>
          </cell>
        </row>
        <row r="927">
          <cell r="A927" t="str">
            <v>371P/S1###T</v>
          </cell>
          <cell r="B927" t="str">
            <v>Commitment</v>
          </cell>
          <cell r="C927" t="str">
            <v>Commitment</v>
          </cell>
          <cell r="D927" t="str">
            <v>tbd.</v>
          </cell>
        </row>
        <row r="928">
          <cell r="A928" t="str">
            <v>371P/S75###</v>
          </cell>
          <cell r="B928" t="str">
            <v>JC1</v>
          </cell>
          <cell r="C928" t="str">
            <v>JC1</v>
          </cell>
          <cell r="D928" t="str">
            <v>Krupinski</v>
          </cell>
        </row>
        <row r="929">
          <cell r="A929" t="str">
            <v>371P/VERS1A</v>
          </cell>
          <cell r="B929" t="str">
            <v>IS371</v>
          </cell>
          <cell r="C929" t="str">
            <v>IS371</v>
          </cell>
          <cell r="D929" t="str">
            <v>Krupinski</v>
          </cell>
        </row>
        <row r="930">
          <cell r="A930" t="str">
            <v>371P/VERS2A</v>
          </cell>
          <cell r="B930" t="str">
            <v>IS371</v>
          </cell>
          <cell r="C930" t="str">
            <v>IS371</v>
          </cell>
          <cell r="D930" t="str">
            <v>Krupinski</v>
          </cell>
        </row>
        <row r="931">
          <cell r="A931" t="str">
            <v>371P/VERS3A</v>
          </cell>
          <cell r="B931" t="str">
            <v>IS371</v>
          </cell>
          <cell r="C931" t="str">
            <v>IS371</v>
          </cell>
          <cell r="D931" t="str">
            <v>Krupinski</v>
          </cell>
        </row>
        <row r="932">
          <cell r="A932" t="str">
            <v>371P/W247##</v>
          </cell>
          <cell r="B932" t="str">
            <v>JC1</v>
          </cell>
          <cell r="C932" t="str">
            <v>JC1</v>
          </cell>
          <cell r="D932" t="str">
            <v>Krupinski</v>
          </cell>
        </row>
        <row r="933">
          <cell r="A933" t="str">
            <v>371P/W247N#</v>
          </cell>
          <cell r="B933" t="str">
            <v>PG CC</v>
          </cell>
          <cell r="C933" t="str">
            <v>Nachfolgeprj. Neutyp</v>
          </cell>
          <cell r="D933" t="str">
            <v>Krupinski</v>
          </cell>
        </row>
        <row r="934">
          <cell r="A934" t="str">
            <v>371P/X117A#</v>
          </cell>
          <cell r="B934" t="str">
            <v>PG CC</v>
          </cell>
          <cell r="C934" t="str">
            <v>Änderungsjahre</v>
          </cell>
          <cell r="D934" t="str">
            <v>Krupinski</v>
          </cell>
        </row>
        <row r="935">
          <cell r="A935" t="str">
            <v>371P/X117M#</v>
          </cell>
          <cell r="B935" t="str">
            <v>PG CC</v>
          </cell>
          <cell r="C935" t="str">
            <v>MOPFen</v>
          </cell>
          <cell r="D935" t="str">
            <v>Krupinski</v>
          </cell>
        </row>
        <row r="936">
          <cell r="A936" t="str">
            <v>371P/X157##</v>
          </cell>
          <cell r="B936" t="str">
            <v>JC1</v>
          </cell>
          <cell r="C936" t="str">
            <v>JC1</v>
          </cell>
          <cell r="D936" t="str">
            <v>Krupinski</v>
          </cell>
        </row>
        <row r="937">
          <cell r="A937" t="str">
            <v>999X/C253N#</v>
          </cell>
          <cell r="B937" t="str">
            <v>PG MC</v>
          </cell>
          <cell r="C937" t="str">
            <v>Nachfolgeprj. Neutyp</v>
          </cell>
          <cell r="D937" t="str">
            <v>Nicolai</v>
          </cell>
        </row>
        <row r="938">
          <cell r="A938" t="str">
            <v>999X/C53LN#</v>
          </cell>
          <cell r="B938" t="str">
            <v>PG MC</v>
          </cell>
          <cell r="C938" t="str">
            <v>Änderungen lfd. Serie</v>
          </cell>
          <cell r="D938" t="str">
            <v>Nicolai</v>
          </cell>
        </row>
        <row r="939">
          <cell r="A939" t="str">
            <v>999X/C53M##</v>
          </cell>
          <cell r="B939" t="str">
            <v>PG MC</v>
          </cell>
          <cell r="C939" t="str">
            <v>MOPFen</v>
          </cell>
          <cell r="D939" t="str">
            <v>Nicolai</v>
          </cell>
        </row>
        <row r="940">
          <cell r="A940" t="str">
            <v>999X/PGM1E#</v>
          </cell>
          <cell r="B940" t="str">
            <v>Commitment</v>
          </cell>
          <cell r="C940" t="str">
            <v>Commitment</v>
          </cell>
          <cell r="D940" t="str">
            <v>tbd.</v>
          </cell>
        </row>
        <row r="941">
          <cell r="A941" t="str">
            <v>999X/PGS1V#</v>
          </cell>
          <cell r="B941" t="str">
            <v>Commitment</v>
          </cell>
          <cell r="C941" t="str">
            <v>Commitment</v>
          </cell>
          <cell r="D941" t="str">
            <v>tbd.</v>
          </cell>
        </row>
        <row r="942">
          <cell r="A942" t="str">
            <v>999X/PGS2V#</v>
          </cell>
          <cell r="B942" t="str">
            <v>Commitment</v>
          </cell>
          <cell r="C942" t="str">
            <v>Commitment</v>
          </cell>
          <cell r="D942" t="str">
            <v>tbd.</v>
          </cell>
        </row>
        <row r="943">
          <cell r="A943" t="str">
            <v>999X/PGS3V#</v>
          </cell>
          <cell r="B943" t="str">
            <v>Commitment</v>
          </cell>
          <cell r="C943" t="str">
            <v>Commitment</v>
          </cell>
          <cell r="D943" t="str">
            <v>tbd.</v>
          </cell>
        </row>
        <row r="944">
          <cell r="A944" t="str">
            <v>999X/X253N#</v>
          </cell>
          <cell r="B944" t="str">
            <v>PG MC</v>
          </cell>
          <cell r="C944" t="str">
            <v>Nachfolgeprj. Neutyp</v>
          </cell>
          <cell r="D944" t="str">
            <v>Nicolai</v>
          </cell>
        </row>
        <row r="945">
          <cell r="A945" t="str">
            <v>999X/X53LN#</v>
          </cell>
          <cell r="B945" t="str">
            <v>PG MC</v>
          </cell>
          <cell r="C945" t="str">
            <v>Änderungen lfd. Serie</v>
          </cell>
          <cell r="D945" t="str">
            <v>Nicolai</v>
          </cell>
        </row>
        <row r="946">
          <cell r="A946" t="str">
            <v>021P/EDL2#H</v>
          </cell>
          <cell r="B946" t="str">
            <v>EDL</v>
          </cell>
          <cell r="C946" t="str">
            <v>EDL</v>
          </cell>
          <cell r="D946" t="str">
            <v>Mungenast</v>
          </cell>
        </row>
        <row r="947">
          <cell r="A947" t="str">
            <v>021P/EDL1#H</v>
          </cell>
          <cell r="B947" t="str">
            <v>EDL</v>
          </cell>
          <cell r="C947" t="str">
            <v>EDL</v>
          </cell>
          <cell r="D947" t="str">
            <v>Mungenast</v>
          </cell>
        </row>
        <row r="948">
          <cell r="A948" t="str">
            <v>999X/PGC3V#</v>
          </cell>
          <cell r="B948" t="str">
            <v>PG CC</v>
          </cell>
          <cell r="C948" t="str">
            <v>Änderungsjahre</v>
          </cell>
          <cell r="D948" t="str">
            <v>Krupinski</v>
          </cell>
        </row>
        <row r="949">
          <cell r="A949" t="str">
            <v>371P/246ASO</v>
          </cell>
          <cell r="B949" t="str">
            <v>PG CC</v>
          </cell>
          <cell r="C949" t="str">
            <v>Änderungsjahre</v>
          </cell>
          <cell r="D949" t="str">
            <v>Krupinski</v>
          </cell>
        </row>
        <row r="950">
          <cell r="A950" t="str">
            <v>054P/176AT#</v>
          </cell>
          <cell r="B950" t="str">
            <v>PG CC</v>
          </cell>
          <cell r="C950" t="str">
            <v>Änderungsjahre</v>
          </cell>
          <cell r="D950" t="str">
            <v>Krupinski</v>
          </cell>
        </row>
        <row r="951">
          <cell r="A951" t="str">
            <v>054P/176AT#</v>
          </cell>
          <cell r="B951" t="str">
            <v>PG CC</v>
          </cell>
          <cell r="C951" t="str">
            <v>Änderungsjahre</v>
          </cell>
          <cell r="D951" t="str">
            <v>Krupinski</v>
          </cell>
        </row>
        <row r="952">
          <cell r="A952" t="str">
            <v>999X/PGL3V#</v>
          </cell>
          <cell r="B952" t="str">
            <v>PG LC</v>
          </cell>
          <cell r="C952" t="str">
            <v>Änderungsjahre</v>
          </cell>
          <cell r="D952" t="str">
            <v>Ettischer</v>
          </cell>
        </row>
        <row r="953">
          <cell r="A953" t="str">
            <v>999X/PGL3V#</v>
          </cell>
          <cell r="B953" t="str">
            <v>PG LC</v>
          </cell>
          <cell r="C953" t="str">
            <v>Änderungsjahre</v>
          </cell>
          <cell r="D953" t="str">
            <v>Ettischer</v>
          </cell>
        </row>
        <row r="954">
          <cell r="A954" t="str">
            <v>138P/W66M1#</v>
          </cell>
          <cell r="B954" t="str">
            <v>PG LC</v>
          </cell>
          <cell r="C954" t="str">
            <v>MOPFen</v>
          </cell>
          <cell r="D954" t="str">
            <v>Ettischer</v>
          </cell>
        </row>
        <row r="955">
          <cell r="A955" t="str">
            <v>138P/X166#O</v>
          </cell>
          <cell r="B955" t="str">
            <v>PG LC</v>
          </cell>
          <cell r="C955" t="str">
            <v>sonstige Struktur</v>
          </cell>
          <cell r="D955" t="str">
            <v>Ettischer</v>
          </cell>
        </row>
        <row r="956">
          <cell r="A956" t="str">
            <v>068U/172#FF</v>
          </cell>
          <cell r="B956" t="str">
            <v>PG LC</v>
          </cell>
          <cell r="C956" t="str">
            <v>Änderungen lfd. Serie</v>
          </cell>
          <cell r="D956" t="str">
            <v>Ettischer</v>
          </cell>
        </row>
        <row r="957">
          <cell r="A957" t="str">
            <v>999X/PGM4V#</v>
          </cell>
          <cell r="B957" t="str">
            <v>PG MC</v>
          </cell>
          <cell r="C957" t="str">
            <v>Änderungen lfd. Serie</v>
          </cell>
          <cell r="D957" t="str">
            <v>Nicolai</v>
          </cell>
        </row>
        <row r="958">
          <cell r="A958" t="str">
            <v>999X/PGM4V#</v>
          </cell>
          <cell r="B958" t="str">
            <v>PG MC</v>
          </cell>
          <cell r="C958" t="str">
            <v>Änderungen lfd. Serie</v>
          </cell>
          <cell r="D958" t="str">
            <v>Nicolai</v>
          </cell>
        </row>
        <row r="959">
          <cell r="A959" t="str">
            <v>999X/PGM3V#</v>
          </cell>
          <cell r="B959" t="str">
            <v>PG MC</v>
          </cell>
          <cell r="C959" t="str">
            <v>Änderungsjahre</v>
          </cell>
          <cell r="D959" t="str">
            <v>Nicolai</v>
          </cell>
        </row>
        <row r="960">
          <cell r="A960" t="str">
            <v>008P/EDL1#H</v>
          </cell>
          <cell r="B960" t="str">
            <v>EDL</v>
          </cell>
          <cell r="C960" t="str">
            <v>EDL</v>
          </cell>
          <cell r="D960" t="str">
            <v>Mungenast</v>
          </cell>
        </row>
        <row r="961">
          <cell r="A961" t="str">
            <v>008P/EDL2#H</v>
          </cell>
          <cell r="B961" t="str">
            <v>EDL</v>
          </cell>
          <cell r="C961" t="str">
            <v>EDL</v>
          </cell>
          <cell r="D961" t="str">
            <v>Mungenast</v>
          </cell>
        </row>
        <row r="962">
          <cell r="A962" t="str">
            <v>021P/PW243Z</v>
          </cell>
          <cell r="B962" t="str">
            <v>Strategischer Grunderwerb</v>
          </cell>
          <cell r="C962" t="str">
            <v>Kuppenheim</v>
          </cell>
          <cell r="D962" t="str">
            <v>tbd.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ERS-COST"/>
      <sheetName val="HEADCOUNT"/>
      <sheetName val="CALCULATION"/>
      <sheetName val="STANDARD"/>
      <sheetName val="2014"/>
      <sheetName val="EXPAT"/>
      <sheetName val="Saving_Fund"/>
      <sheetName val="Summary Headcount"/>
      <sheetName val="Pension-"/>
      <sheetName val="Canteen"/>
      <sheetName val="Leave"/>
      <sheetName val="Service_Awards"/>
      <sheetName val="Medical"/>
      <sheetName val="475004"/>
      <sheetName val="475006"/>
      <sheetName val="449040"/>
      <sheetName val="449050"/>
      <sheetName val="Social Allo"/>
    </sheetNames>
    <sheetDataSet>
      <sheetData sheetId="0"/>
      <sheetData sheetId="1">
        <row r="4">
          <cell r="C4">
            <v>3</v>
          </cell>
        </row>
      </sheetData>
      <sheetData sheetId="2"/>
      <sheetData sheetId="3"/>
      <sheetData sheetId="4">
        <row r="16">
          <cell r="S16">
            <v>163655838.48251104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RevisionHistory"/>
      <sheetName val="Assumptions"/>
      <sheetName val="Financials(MMCA)"/>
      <sheetName val="FinancialPosition"/>
      <sheetName val="M_AllocationTable"/>
      <sheetName val="BS"/>
      <sheetName val="Divestment BS"/>
      <sheetName val="IS(P-Car)"/>
      <sheetName val="DeferredTax"/>
      <sheetName val="CF"/>
      <sheetName val="CapEx_and_DepCost"/>
      <sheetName val="AssetsMonetization"/>
      <sheetName val="M_IS(P-Car)"/>
      <sheetName val="FixedCost"/>
      <sheetName val="FOREXfixed_cost"/>
      <sheetName val="Valuation(MMCA)"/>
      <sheetName val="M_SummaryMarketProfitability"/>
      <sheetName val="M_VolumeDetails"/>
      <sheetName val="VariableSellingCost"/>
      <sheetName val="WarrantyCost"/>
      <sheetName val="VariableCost"/>
      <sheetName val="HeadcountPlan"/>
      <sheetName val="NonoperatingResult"/>
      <sheetName val="WorkingCapital"/>
      <sheetName val="Valuation(P-Car)"/>
      <sheetName val="KPIs"/>
      <sheetName val="OtherSales"/>
      <sheetName val="ForexOther_Sales"/>
      <sheetName val="S_(Regional)"/>
      <sheetName val="Chart (SalesbyMarket)"/>
      <sheetName val="Chart (SalesbyMarket INDEX)"/>
      <sheetName val="Chart (SalesbyMarket INDEX)(2)"/>
      <sheetName val="Chart (VolumebyMarket)"/>
      <sheetName val="Chart (VolumebyMarket INDEX)"/>
      <sheetName val="Chart (VolumebyMarket INDEX (2)"/>
      <sheetName val="Chart (OperatingProfitbyMarket)"/>
      <sheetName val="Chart (OperatingMarginbyMarket)"/>
      <sheetName val="Chart (MP1byMarket)"/>
      <sheetName val="Chart (MP1marginbyMarket)"/>
      <sheetName val="Chart(FY2003 coststructure)"/>
      <sheetName val="Chart(FY2005 coststructure)"/>
      <sheetName val="Chart(FY2007 coststructure)"/>
      <sheetName val="Chart(coststructure)"/>
      <sheetName val="Backup_Numbers_for_Charts"/>
      <sheetName val="ItemSortOrderTable"/>
      <sheetName val="ByMarketProMaster"/>
      <sheetName val="S_Vol"/>
      <sheetName val="S_OtherProdCost"/>
      <sheetName val="S_MatCost"/>
      <sheetName val="S_Rev"/>
      <sheetName val="S_All"/>
      <sheetName val="CalcTable"/>
      <sheetName val="SimulatedCalc"/>
      <sheetName val="SimulatedCalcVolMatOnly"/>
      <sheetName val="TotalSheet"/>
      <sheetName val="FOREXSimuCarline"/>
      <sheetName val="ForexMultply"/>
      <sheetName val="ForexMultiTable"/>
      <sheetName val="FOREXControl"/>
      <sheetName val="VolumeSimuCarline"/>
      <sheetName val="VolMultiply"/>
      <sheetName val="VolControl"/>
      <sheetName val="MatCostSimuCarline"/>
      <sheetName val="MatCostMultiply"/>
      <sheetName val="MatCostControl"/>
      <sheetName val="@HCsummary"/>
      <sheetName val="ZS Vol"/>
      <sheetName val="@InputSheet"/>
      <sheetName val="@LRPP57FearI"/>
      <sheetName val="MARS EIS 2nd AMP04 summary"/>
      <sheetName val="MARS PLJ 2nd AMP04 summary"/>
    </sheetNames>
    <sheetDataSet>
      <sheetData sheetId="0"/>
      <sheetData sheetId="1"/>
      <sheetData sheetId="2">
        <row r="1143"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</row>
        <row r="1144">
          <cell r="E1144">
            <v>0</v>
          </cell>
        </row>
        <row r="1145">
          <cell r="E1145">
            <v>0</v>
          </cell>
        </row>
        <row r="1146">
          <cell r="E1146">
            <v>0</v>
          </cell>
        </row>
        <row r="1147">
          <cell r="E1147">
            <v>0</v>
          </cell>
        </row>
        <row r="1148">
          <cell r="E1148">
            <v>0</v>
          </cell>
        </row>
        <row r="1149">
          <cell r="E1149">
            <v>0</v>
          </cell>
        </row>
        <row r="1150">
          <cell r="E1150">
            <v>0</v>
          </cell>
        </row>
        <row r="1151">
          <cell r="E1151">
            <v>0</v>
          </cell>
        </row>
        <row r="1152">
          <cell r="E1152">
            <v>0</v>
          </cell>
        </row>
        <row r="1153">
          <cell r="E1153">
            <v>0</v>
          </cell>
        </row>
        <row r="1154">
          <cell r="E1154">
            <v>0</v>
          </cell>
        </row>
        <row r="1155">
          <cell r="E1155">
            <v>0</v>
          </cell>
        </row>
        <row r="1156">
          <cell r="E1156">
            <v>0</v>
          </cell>
        </row>
        <row r="1157">
          <cell r="E1157">
            <v>0</v>
          </cell>
        </row>
        <row r="1158">
          <cell r="E1158">
            <v>0</v>
          </cell>
        </row>
        <row r="1159">
          <cell r="E1159">
            <v>0</v>
          </cell>
        </row>
        <row r="1160">
          <cell r="E1160">
            <v>0</v>
          </cell>
        </row>
        <row r="1161">
          <cell r="E1161">
            <v>0</v>
          </cell>
        </row>
        <row r="1168"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</row>
        <row r="1169">
          <cell r="E1169">
            <v>0</v>
          </cell>
        </row>
        <row r="1170">
          <cell r="E1170">
            <v>0</v>
          </cell>
        </row>
        <row r="1171">
          <cell r="E1171">
            <v>0</v>
          </cell>
        </row>
        <row r="1172">
          <cell r="E1172">
            <v>0</v>
          </cell>
        </row>
        <row r="1173">
          <cell r="E1173">
            <v>0</v>
          </cell>
        </row>
        <row r="1174">
          <cell r="E1174">
            <v>0</v>
          </cell>
        </row>
        <row r="1175">
          <cell r="E1175">
            <v>0</v>
          </cell>
        </row>
        <row r="1176">
          <cell r="E1176">
            <v>0</v>
          </cell>
        </row>
        <row r="1177">
          <cell r="E1177">
            <v>0</v>
          </cell>
        </row>
        <row r="1178">
          <cell r="E1178">
            <v>0</v>
          </cell>
        </row>
        <row r="1179">
          <cell r="E1179">
            <v>0</v>
          </cell>
        </row>
        <row r="1180">
          <cell r="E1180">
            <v>0</v>
          </cell>
        </row>
        <row r="1181">
          <cell r="E1181">
            <v>0</v>
          </cell>
        </row>
        <row r="1182">
          <cell r="E1182">
            <v>0</v>
          </cell>
        </row>
        <row r="1183">
          <cell r="E1183">
            <v>0</v>
          </cell>
        </row>
        <row r="1184">
          <cell r="E1184">
            <v>0</v>
          </cell>
        </row>
        <row r="1185">
          <cell r="E1185">
            <v>0</v>
          </cell>
        </row>
        <row r="1186">
          <cell r="E1186">
            <v>0</v>
          </cell>
        </row>
        <row r="1187">
          <cell r="E1187">
            <v>0</v>
          </cell>
        </row>
        <row r="1188">
          <cell r="E1188">
            <v>0</v>
          </cell>
        </row>
        <row r="1189">
          <cell r="E1189">
            <v>0</v>
          </cell>
        </row>
        <row r="1190">
          <cell r="E1190">
            <v>0</v>
          </cell>
        </row>
        <row r="1191">
          <cell r="E1191">
            <v>0</v>
          </cell>
        </row>
        <row r="1192">
          <cell r="E1192">
            <v>0</v>
          </cell>
        </row>
        <row r="1193">
          <cell r="E1193">
            <v>0</v>
          </cell>
        </row>
        <row r="1194">
          <cell r="E1194">
            <v>0</v>
          </cell>
        </row>
        <row r="1195">
          <cell r="E1195">
            <v>0</v>
          </cell>
        </row>
        <row r="1196">
          <cell r="E1196">
            <v>0</v>
          </cell>
        </row>
        <row r="1197">
          <cell r="E1197">
            <v>0</v>
          </cell>
        </row>
        <row r="1198">
          <cell r="E1198">
            <v>0</v>
          </cell>
        </row>
        <row r="1199">
          <cell r="E1199">
            <v>0</v>
          </cell>
        </row>
        <row r="1200">
          <cell r="E1200">
            <v>0</v>
          </cell>
        </row>
        <row r="1201">
          <cell r="E1201">
            <v>0</v>
          </cell>
        </row>
        <row r="1202">
          <cell r="E1202">
            <v>0</v>
          </cell>
        </row>
        <row r="1203">
          <cell r="E1203">
            <v>0</v>
          </cell>
        </row>
        <row r="1204">
          <cell r="E1204">
            <v>0</v>
          </cell>
        </row>
        <row r="1205">
          <cell r="E1205">
            <v>0</v>
          </cell>
        </row>
        <row r="1206">
          <cell r="E1206">
            <v>0</v>
          </cell>
        </row>
        <row r="1207">
          <cell r="E1207">
            <v>0</v>
          </cell>
        </row>
        <row r="1208">
          <cell r="E1208">
            <v>0</v>
          </cell>
        </row>
        <row r="1209">
          <cell r="E1209">
            <v>0</v>
          </cell>
        </row>
        <row r="1210">
          <cell r="E1210">
            <v>0</v>
          </cell>
        </row>
        <row r="1216"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</row>
        <row r="1217">
          <cell r="E1217">
            <v>0</v>
          </cell>
        </row>
        <row r="1218">
          <cell r="E1218">
            <v>0</v>
          </cell>
        </row>
        <row r="1219">
          <cell r="E1219">
            <v>0</v>
          </cell>
        </row>
        <row r="1220">
          <cell r="E1220">
            <v>0</v>
          </cell>
        </row>
        <row r="1221">
          <cell r="E1221">
            <v>0</v>
          </cell>
        </row>
        <row r="1222">
          <cell r="E1222">
            <v>0</v>
          </cell>
        </row>
        <row r="1223">
          <cell r="E1223">
            <v>0</v>
          </cell>
        </row>
        <row r="1224">
          <cell r="E1224">
            <v>0</v>
          </cell>
        </row>
        <row r="1225">
          <cell r="E1225">
            <v>0</v>
          </cell>
        </row>
        <row r="1226">
          <cell r="E1226">
            <v>0</v>
          </cell>
        </row>
        <row r="1227">
          <cell r="E1227">
            <v>0</v>
          </cell>
        </row>
        <row r="1228">
          <cell r="E1228">
            <v>0</v>
          </cell>
        </row>
        <row r="1229">
          <cell r="E1229">
            <v>0</v>
          </cell>
        </row>
        <row r="1230">
          <cell r="E1230">
            <v>0</v>
          </cell>
        </row>
        <row r="1231">
          <cell r="E1231">
            <v>0</v>
          </cell>
        </row>
        <row r="1232">
          <cell r="E1232">
            <v>0</v>
          </cell>
        </row>
        <row r="1233">
          <cell r="E1233">
            <v>0</v>
          </cell>
        </row>
        <row r="1234">
          <cell r="E1234">
            <v>0</v>
          </cell>
        </row>
        <row r="1235">
          <cell r="E1235">
            <v>0</v>
          </cell>
        </row>
        <row r="1236">
          <cell r="E1236">
            <v>0</v>
          </cell>
        </row>
        <row r="1237">
          <cell r="E1237">
            <v>0</v>
          </cell>
        </row>
        <row r="1238">
          <cell r="E1238">
            <v>0</v>
          </cell>
        </row>
        <row r="1239">
          <cell r="E1239">
            <v>0</v>
          </cell>
        </row>
        <row r="1240">
          <cell r="E1240">
            <v>0</v>
          </cell>
        </row>
        <row r="1241">
          <cell r="E1241">
            <v>0</v>
          </cell>
        </row>
        <row r="1242">
          <cell r="E1242">
            <v>0</v>
          </cell>
        </row>
        <row r="1243">
          <cell r="E1243">
            <v>0</v>
          </cell>
        </row>
        <row r="1244">
          <cell r="E1244">
            <v>0</v>
          </cell>
        </row>
        <row r="1245">
          <cell r="E1245">
            <v>0</v>
          </cell>
        </row>
        <row r="1246">
          <cell r="E1246">
            <v>0</v>
          </cell>
        </row>
        <row r="1247">
          <cell r="E1247">
            <v>0</v>
          </cell>
        </row>
        <row r="1248">
          <cell r="E1248">
            <v>0</v>
          </cell>
        </row>
        <row r="1249">
          <cell r="E1249">
            <v>0</v>
          </cell>
        </row>
        <row r="1250">
          <cell r="E1250">
            <v>0</v>
          </cell>
        </row>
        <row r="1251">
          <cell r="E1251">
            <v>0</v>
          </cell>
        </row>
        <row r="1252">
          <cell r="E1252">
            <v>0</v>
          </cell>
        </row>
        <row r="1253">
          <cell r="E1253">
            <v>0</v>
          </cell>
        </row>
        <row r="1254">
          <cell r="E1254">
            <v>0</v>
          </cell>
        </row>
        <row r="1255">
          <cell r="E1255">
            <v>0</v>
          </cell>
        </row>
        <row r="1256">
          <cell r="E1256">
            <v>0</v>
          </cell>
        </row>
        <row r="1257">
          <cell r="E1257">
            <v>0</v>
          </cell>
        </row>
        <row r="1258">
          <cell r="E1258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INDIRECT_LAB"/>
      <sheetName val="DIRECT_LAB"/>
    </sheetNames>
    <sheetDataSet>
      <sheetData sheetId="0">
        <row r="2">
          <cell r="B2" t="str">
            <v>3805</v>
          </cell>
          <cell r="C2" t="str">
            <v>201581229</v>
          </cell>
          <cell r="I2" t="str">
            <v>PHANDOY</v>
          </cell>
          <cell r="J2">
            <v>3154000</v>
          </cell>
        </row>
        <row r="3">
          <cell r="B3" t="str">
            <v>3805</v>
          </cell>
          <cell r="C3" t="str">
            <v>201581229</v>
          </cell>
          <cell r="I3" t="str">
            <v>PHANDOY</v>
          </cell>
          <cell r="J3">
            <v>3132500</v>
          </cell>
        </row>
        <row r="4">
          <cell r="B4" t="str">
            <v>3807</v>
          </cell>
          <cell r="C4" t="str">
            <v>201581231</v>
          </cell>
          <cell r="I4" t="str">
            <v>PHANDOY</v>
          </cell>
          <cell r="J4">
            <v>22196000</v>
          </cell>
        </row>
        <row r="5">
          <cell r="B5" t="str">
            <v>3807</v>
          </cell>
          <cell r="C5" t="str">
            <v>201581231</v>
          </cell>
          <cell r="I5" t="str">
            <v>PHANDOY</v>
          </cell>
          <cell r="J5">
            <v>3991000</v>
          </cell>
        </row>
        <row r="6">
          <cell r="B6" t="str">
            <v>3805</v>
          </cell>
          <cell r="C6" t="str">
            <v>201581229</v>
          </cell>
          <cell r="I6" t="str">
            <v>PHANDOY</v>
          </cell>
          <cell r="J6">
            <v>60446392</v>
          </cell>
        </row>
        <row r="7">
          <cell r="B7" t="str">
            <v>3807</v>
          </cell>
          <cell r="C7" t="str">
            <v>201581231</v>
          </cell>
          <cell r="I7" t="str">
            <v>PHANDOY</v>
          </cell>
          <cell r="J7">
            <v>4154500</v>
          </cell>
        </row>
        <row r="8">
          <cell r="B8" t="str">
            <v>3805</v>
          </cell>
          <cell r="C8" t="str">
            <v>201581229</v>
          </cell>
          <cell r="I8" t="str">
            <v>PHANDOY</v>
          </cell>
          <cell r="J8">
            <v>5009000</v>
          </cell>
        </row>
        <row r="9">
          <cell r="B9" t="str">
            <v>3805</v>
          </cell>
          <cell r="C9" t="str">
            <v>201581229</v>
          </cell>
          <cell r="I9" t="str">
            <v>PHANDOY</v>
          </cell>
          <cell r="J9">
            <v>22143000</v>
          </cell>
        </row>
        <row r="10">
          <cell r="B10" t="str">
            <v>3805</v>
          </cell>
          <cell r="C10" t="str">
            <v>201581229</v>
          </cell>
          <cell r="I10" t="str">
            <v>PHANDOY</v>
          </cell>
          <cell r="J10">
            <v>29366500</v>
          </cell>
        </row>
        <row r="11">
          <cell r="B11" t="str">
            <v>3805</v>
          </cell>
          <cell r="C11" t="str">
            <v>201581229</v>
          </cell>
          <cell r="I11" t="str">
            <v>PHANDOY</v>
          </cell>
          <cell r="J11">
            <v>29130000</v>
          </cell>
        </row>
        <row r="12">
          <cell r="B12" t="str">
            <v>3805</v>
          </cell>
          <cell r="C12" t="str">
            <v>201581229</v>
          </cell>
          <cell r="I12" t="str">
            <v>PHANDOY</v>
          </cell>
          <cell r="J12">
            <v>18550000</v>
          </cell>
        </row>
        <row r="13">
          <cell r="B13" t="str">
            <v>3805</v>
          </cell>
          <cell r="C13" t="str">
            <v>201581229</v>
          </cell>
          <cell r="I13" t="str">
            <v>PHANDOY</v>
          </cell>
          <cell r="J13">
            <v>11556000</v>
          </cell>
        </row>
        <row r="14">
          <cell r="B14" t="str">
            <v>3807</v>
          </cell>
          <cell r="C14" t="str">
            <v>201581231</v>
          </cell>
          <cell r="I14" t="str">
            <v>PHANDOY</v>
          </cell>
          <cell r="J14">
            <v>18080000</v>
          </cell>
        </row>
        <row r="15">
          <cell r="B15" t="str">
            <v>3805</v>
          </cell>
          <cell r="C15" t="str">
            <v>201581229</v>
          </cell>
          <cell r="I15" t="str">
            <v>PHANDOY</v>
          </cell>
          <cell r="J15">
            <v>6733500</v>
          </cell>
        </row>
        <row r="16">
          <cell r="B16" t="str">
            <v>3807</v>
          </cell>
          <cell r="C16" t="str">
            <v>201581231</v>
          </cell>
          <cell r="I16" t="str">
            <v>PHANDOY</v>
          </cell>
          <cell r="J16">
            <v>33152500</v>
          </cell>
        </row>
        <row r="17">
          <cell r="B17" t="str">
            <v>3805</v>
          </cell>
          <cell r="C17" t="str">
            <v>201581229</v>
          </cell>
          <cell r="I17" t="str">
            <v>PHANDOY</v>
          </cell>
          <cell r="J17">
            <v>49868500</v>
          </cell>
        </row>
        <row r="18">
          <cell r="B18" t="str">
            <v>3807</v>
          </cell>
          <cell r="C18" t="str">
            <v>201581231</v>
          </cell>
          <cell r="I18" t="str">
            <v>PHANDOY</v>
          </cell>
          <cell r="J18">
            <v>5024000</v>
          </cell>
        </row>
        <row r="19">
          <cell r="B19" t="str">
            <v>3807</v>
          </cell>
          <cell r="C19" t="str">
            <v>201581231</v>
          </cell>
          <cell r="I19" t="str">
            <v>PHANDOY</v>
          </cell>
          <cell r="J19">
            <v>22143500</v>
          </cell>
        </row>
        <row r="20">
          <cell r="B20" t="str">
            <v>3805</v>
          </cell>
          <cell r="C20" t="str">
            <v>201581229</v>
          </cell>
          <cell r="I20" t="str">
            <v>PHANDOY</v>
          </cell>
          <cell r="J20">
            <v>13383000</v>
          </cell>
        </row>
        <row r="21">
          <cell r="B21" t="str">
            <v>3807</v>
          </cell>
          <cell r="C21" t="str">
            <v>201581231</v>
          </cell>
          <cell r="I21" t="str">
            <v>PHANDOY</v>
          </cell>
          <cell r="J21">
            <v>10797500</v>
          </cell>
        </row>
        <row r="22">
          <cell r="B22" t="str">
            <v>3805</v>
          </cell>
          <cell r="C22" t="str">
            <v>201581229</v>
          </cell>
          <cell r="I22" t="str">
            <v>PHANDOY</v>
          </cell>
          <cell r="J22">
            <v>20354500</v>
          </cell>
        </row>
        <row r="23">
          <cell r="B23" t="str">
            <v>3807</v>
          </cell>
          <cell r="C23" t="str">
            <v>201581231</v>
          </cell>
          <cell r="I23" t="str">
            <v>PHANDOY</v>
          </cell>
          <cell r="J23">
            <v>32704000</v>
          </cell>
        </row>
        <row r="24">
          <cell r="B24" t="str">
            <v>3805</v>
          </cell>
          <cell r="C24" t="str">
            <v>201581229</v>
          </cell>
          <cell r="I24" t="str">
            <v>PHANDOY</v>
          </cell>
          <cell r="J24">
            <v>11886608</v>
          </cell>
        </row>
        <row r="25">
          <cell r="B25" t="str">
            <v>3807</v>
          </cell>
          <cell r="C25" t="str">
            <v>201581231</v>
          </cell>
          <cell r="I25" t="str">
            <v>PHANDOY</v>
          </cell>
          <cell r="J25">
            <v>23669429</v>
          </cell>
        </row>
        <row r="26">
          <cell r="B26" t="str">
            <v>3805</v>
          </cell>
          <cell r="C26" t="str">
            <v>201581229</v>
          </cell>
          <cell r="I26" t="str">
            <v>PHANDOY</v>
          </cell>
          <cell r="J26">
            <v>3077000</v>
          </cell>
        </row>
        <row r="27">
          <cell r="B27" t="str">
            <v>3805</v>
          </cell>
          <cell r="C27" t="str">
            <v>201581229</v>
          </cell>
          <cell r="I27" t="str">
            <v>PHANDOY</v>
          </cell>
          <cell r="J27">
            <v>11011000</v>
          </cell>
        </row>
        <row r="28">
          <cell r="B28" t="str">
            <v>3807</v>
          </cell>
          <cell r="C28" t="str">
            <v>201581231</v>
          </cell>
          <cell r="I28" t="str">
            <v>PHANDOY</v>
          </cell>
          <cell r="J28">
            <v>9414500</v>
          </cell>
        </row>
        <row r="29">
          <cell r="B29" t="str">
            <v>3805</v>
          </cell>
          <cell r="C29" t="str">
            <v>201581229</v>
          </cell>
          <cell r="I29" t="str">
            <v>PHANDOY</v>
          </cell>
          <cell r="J29">
            <v>17069500</v>
          </cell>
        </row>
        <row r="30">
          <cell r="B30" t="str">
            <v>3805</v>
          </cell>
          <cell r="C30" t="str">
            <v>201581229</v>
          </cell>
          <cell r="I30" t="str">
            <v>PHANDOY</v>
          </cell>
          <cell r="J30">
            <v>7585356</v>
          </cell>
        </row>
        <row r="31">
          <cell r="B31" t="str">
            <v>3805</v>
          </cell>
          <cell r="C31" t="str">
            <v>201581229</v>
          </cell>
          <cell r="I31" t="str">
            <v>PHANDOY</v>
          </cell>
          <cell r="J31">
            <v>10885000</v>
          </cell>
        </row>
        <row r="32">
          <cell r="B32" t="str">
            <v>3805</v>
          </cell>
          <cell r="C32" t="str">
            <v>201581229</v>
          </cell>
          <cell r="I32" t="str">
            <v>PHANDOY</v>
          </cell>
          <cell r="J32">
            <v>8080000</v>
          </cell>
        </row>
        <row r="33">
          <cell r="B33" t="str">
            <v>3805</v>
          </cell>
          <cell r="C33" t="str">
            <v>201581229</v>
          </cell>
          <cell r="I33" t="str">
            <v>PHANDOY</v>
          </cell>
          <cell r="J33">
            <v>7895000</v>
          </cell>
        </row>
        <row r="34">
          <cell r="B34" t="str">
            <v>3805</v>
          </cell>
          <cell r="C34" t="str">
            <v>201581229</v>
          </cell>
          <cell r="I34" t="str">
            <v>PHANDOY</v>
          </cell>
          <cell r="J34">
            <v>3397500</v>
          </cell>
        </row>
        <row r="35">
          <cell r="B35" t="str">
            <v>3805</v>
          </cell>
          <cell r="C35" t="str">
            <v>201581229</v>
          </cell>
          <cell r="I35" t="str">
            <v>PHANDOY</v>
          </cell>
          <cell r="J35">
            <v>2918000</v>
          </cell>
        </row>
        <row r="36">
          <cell r="B36" t="str">
            <v>3807</v>
          </cell>
          <cell r="C36" t="str">
            <v>201581231</v>
          </cell>
          <cell r="I36" t="str">
            <v>PHANDOY</v>
          </cell>
          <cell r="J36">
            <v>6733500</v>
          </cell>
        </row>
        <row r="37">
          <cell r="B37" t="str">
            <v>3807</v>
          </cell>
          <cell r="C37" t="str">
            <v>201581231</v>
          </cell>
          <cell r="I37" t="str">
            <v>PHANDOY</v>
          </cell>
          <cell r="J37">
            <v>10431500</v>
          </cell>
        </row>
        <row r="38">
          <cell r="B38" t="str">
            <v>3805</v>
          </cell>
          <cell r="C38" t="str">
            <v>201581229</v>
          </cell>
          <cell r="I38" t="str">
            <v>PHANDOY</v>
          </cell>
          <cell r="J38">
            <v>2852000</v>
          </cell>
        </row>
        <row r="39">
          <cell r="B39" t="str">
            <v>3807</v>
          </cell>
          <cell r="C39" t="str">
            <v>201581231</v>
          </cell>
          <cell r="I39" t="str">
            <v>PHANDOY</v>
          </cell>
          <cell r="J39">
            <v>8407500</v>
          </cell>
        </row>
        <row r="40">
          <cell r="B40" t="str">
            <v>3807</v>
          </cell>
          <cell r="C40" t="str">
            <v>201581231</v>
          </cell>
          <cell r="I40" t="str">
            <v>PHANDOY</v>
          </cell>
          <cell r="J40">
            <v>8523500</v>
          </cell>
        </row>
        <row r="41">
          <cell r="B41" t="str">
            <v>3807</v>
          </cell>
          <cell r="C41" t="str">
            <v>201581231</v>
          </cell>
          <cell r="I41" t="str">
            <v>PHANDOY</v>
          </cell>
          <cell r="J41">
            <v>4018000</v>
          </cell>
        </row>
        <row r="42">
          <cell r="B42" t="str">
            <v>3807</v>
          </cell>
          <cell r="C42" t="str">
            <v>201581231</v>
          </cell>
          <cell r="I42" t="str">
            <v>PHANDOY</v>
          </cell>
          <cell r="J42">
            <v>6072500</v>
          </cell>
        </row>
        <row r="43">
          <cell r="B43" t="str">
            <v>3807</v>
          </cell>
          <cell r="C43" t="str">
            <v>201581231</v>
          </cell>
          <cell r="I43" t="str">
            <v>PHANDOY</v>
          </cell>
          <cell r="J43">
            <v>16614500</v>
          </cell>
        </row>
        <row r="44">
          <cell r="B44" t="str">
            <v>3807</v>
          </cell>
          <cell r="C44" t="str">
            <v>201581231</v>
          </cell>
          <cell r="I44" t="str">
            <v>PHANDOY</v>
          </cell>
          <cell r="J44">
            <v>50234000</v>
          </cell>
        </row>
        <row r="45">
          <cell r="B45" t="str">
            <v>3807</v>
          </cell>
          <cell r="C45" t="str">
            <v>201581231</v>
          </cell>
          <cell r="I45" t="str">
            <v>PHANDOY</v>
          </cell>
          <cell r="J45">
            <v>58772000</v>
          </cell>
        </row>
        <row r="46">
          <cell r="B46" t="str">
            <v>3805</v>
          </cell>
          <cell r="C46" t="str">
            <v>201581229</v>
          </cell>
          <cell r="I46" t="str">
            <v>PHANDOY</v>
          </cell>
          <cell r="J46">
            <v>6362500</v>
          </cell>
        </row>
        <row r="47">
          <cell r="B47" t="str">
            <v>3807</v>
          </cell>
          <cell r="C47" t="str">
            <v>201581231</v>
          </cell>
          <cell r="I47" t="str">
            <v>PHANDOY</v>
          </cell>
          <cell r="J47">
            <v>39808500</v>
          </cell>
        </row>
        <row r="48">
          <cell r="B48" t="str">
            <v>3807</v>
          </cell>
          <cell r="C48" t="str">
            <v>201581231</v>
          </cell>
          <cell r="I48" t="str">
            <v>PHANDOY</v>
          </cell>
          <cell r="J48">
            <v>36838268</v>
          </cell>
        </row>
        <row r="49">
          <cell r="B49" t="str">
            <v>3805</v>
          </cell>
          <cell r="C49" t="str">
            <v>201581229</v>
          </cell>
          <cell r="I49" t="str">
            <v>PHANDOY</v>
          </cell>
          <cell r="J49">
            <v>3304000</v>
          </cell>
        </row>
        <row r="50">
          <cell r="B50" t="str">
            <v>3807</v>
          </cell>
          <cell r="C50" t="str">
            <v>201581231</v>
          </cell>
          <cell r="I50" t="str">
            <v>PHANDOY</v>
          </cell>
          <cell r="J50">
            <v>17512000</v>
          </cell>
        </row>
        <row r="51">
          <cell r="B51" t="str">
            <v>3805</v>
          </cell>
          <cell r="C51" t="str">
            <v>201581229</v>
          </cell>
          <cell r="I51" t="str">
            <v>PHANDOY</v>
          </cell>
          <cell r="J51">
            <v>2731500</v>
          </cell>
        </row>
        <row r="52">
          <cell r="B52" t="str">
            <v>3807</v>
          </cell>
          <cell r="C52" t="str">
            <v>201581231</v>
          </cell>
          <cell r="I52" t="str">
            <v>PHANDOY</v>
          </cell>
          <cell r="J52">
            <v>7027000</v>
          </cell>
        </row>
        <row r="53">
          <cell r="B53" t="str">
            <v>3807</v>
          </cell>
          <cell r="C53" t="str">
            <v>201581231</v>
          </cell>
          <cell r="I53" t="str">
            <v>PHANDOY</v>
          </cell>
          <cell r="J53">
            <v>6960000</v>
          </cell>
        </row>
        <row r="54">
          <cell r="B54" t="str">
            <v>3807</v>
          </cell>
          <cell r="C54" t="str">
            <v>201581231</v>
          </cell>
          <cell r="I54" t="str">
            <v>PHANDOY</v>
          </cell>
          <cell r="J54">
            <v>2828000</v>
          </cell>
        </row>
        <row r="55">
          <cell r="B55" t="str">
            <v>3805</v>
          </cell>
          <cell r="C55" t="str">
            <v>201581229</v>
          </cell>
          <cell r="I55" t="str">
            <v>PHANDOY</v>
          </cell>
          <cell r="J55">
            <v>10710500</v>
          </cell>
        </row>
        <row r="56">
          <cell r="B56" t="str">
            <v>3807</v>
          </cell>
          <cell r="C56" t="str">
            <v>201581231</v>
          </cell>
          <cell r="I56" t="str">
            <v>PHANDOY</v>
          </cell>
          <cell r="J56">
            <v>4595000</v>
          </cell>
        </row>
        <row r="57">
          <cell r="B57" t="str">
            <v>3805</v>
          </cell>
          <cell r="C57" t="str">
            <v>201581229</v>
          </cell>
          <cell r="I57" t="str">
            <v>PHANDOY</v>
          </cell>
          <cell r="J57">
            <v>17280000</v>
          </cell>
        </row>
        <row r="58">
          <cell r="B58" t="str">
            <v>3805</v>
          </cell>
          <cell r="C58" t="str">
            <v>201581229</v>
          </cell>
          <cell r="I58" t="str">
            <v>PHANDOY</v>
          </cell>
          <cell r="J58">
            <v>28264500</v>
          </cell>
        </row>
        <row r="59">
          <cell r="B59" t="str">
            <v>3805</v>
          </cell>
          <cell r="C59" t="str">
            <v>201581229</v>
          </cell>
          <cell r="I59" t="str">
            <v>PHANDOY</v>
          </cell>
          <cell r="J59">
            <v>10874000</v>
          </cell>
        </row>
        <row r="60">
          <cell r="B60" t="str">
            <v>3805</v>
          </cell>
          <cell r="C60" t="str">
            <v>201581229</v>
          </cell>
          <cell r="I60" t="str">
            <v>PHANDOY</v>
          </cell>
          <cell r="J60">
            <v>39465500</v>
          </cell>
        </row>
        <row r="61">
          <cell r="B61" t="str">
            <v>3805</v>
          </cell>
          <cell r="C61" t="str">
            <v>201581229</v>
          </cell>
          <cell r="I61" t="str">
            <v>PHANDOY</v>
          </cell>
          <cell r="J61">
            <v>7135500</v>
          </cell>
        </row>
        <row r="62">
          <cell r="B62" t="str">
            <v>3805</v>
          </cell>
          <cell r="C62" t="str">
            <v>201581229</v>
          </cell>
          <cell r="I62" t="str">
            <v>PHANDOY</v>
          </cell>
          <cell r="J62">
            <v>33022500</v>
          </cell>
        </row>
        <row r="63">
          <cell r="B63" t="str">
            <v>3805</v>
          </cell>
          <cell r="C63" t="str">
            <v>201581229</v>
          </cell>
          <cell r="I63" t="str">
            <v>PHANDOY</v>
          </cell>
          <cell r="J63">
            <v>6948000</v>
          </cell>
        </row>
        <row r="64">
          <cell r="B64" t="str">
            <v>3805</v>
          </cell>
          <cell r="C64" t="str">
            <v>201581229</v>
          </cell>
          <cell r="I64" t="str">
            <v>PHANDOY</v>
          </cell>
          <cell r="J64">
            <v>6203000</v>
          </cell>
        </row>
        <row r="65">
          <cell r="B65" t="str">
            <v>3805</v>
          </cell>
          <cell r="C65" t="str">
            <v>201581229</v>
          </cell>
          <cell r="I65" t="str">
            <v>PHANDOY</v>
          </cell>
          <cell r="J65">
            <v>26023500</v>
          </cell>
        </row>
        <row r="66">
          <cell r="B66" t="str">
            <v>3805</v>
          </cell>
          <cell r="C66" t="str">
            <v>201581229</v>
          </cell>
          <cell r="I66" t="str">
            <v>PHANDOY</v>
          </cell>
          <cell r="J66">
            <v>12699000</v>
          </cell>
        </row>
        <row r="67">
          <cell r="B67" t="str">
            <v>3807</v>
          </cell>
          <cell r="C67" t="str">
            <v>201581231</v>
          </cell>
          <cell r="I67" t="str">
            <v>PHANDOY</v>
          </cell>
          <cell r="J67">
            <v>24803500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2006"/>
      <sheetName val="2006 YTD May06"/>
      <sheetName val="Plan 2007 (Original)"/>
      <sheetName val="Actual 2006 YTD May06"/>
      <sheetName val="Plan 2007 (Final)"/>
      <sheetName val="Plan 2008"/>
      <sheetName val="Plan 2009"/>
      <sheetName val="Salary"/>
      <sheetName val="Bonus"/>
      <sheetName val="Social Allowance"/>
      <sheetName val="Expat Registration"/>
      <sheetName val="School Fee"/>
      <sheetName val="Reg+School"/>
      <sheetName val="House rent"/>
      <sheetName val="Maint house"/>
      <sheetName val="Electricity"/>
      <sheetName val="Homeleave"/>
      <sheetName val="Repatriation"/>
      <sheetName val="Wa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15 Premises"/>
      <sheetName val="SP15 Planning"/>
      <sheetName val="WIPPS LL"/>
      <sheetName val="WIPPS RL"/>
      <sheetName val="Hilfsblatt"/>
      <sheetName val="note"/>
      <sheetName val="MBC SP14 Planning"/>
      <sheetName val="2015 05 21  SP15 MB Thailand"/>
    </sheetNames>
    <sheetDataSet>
      <sheetData sheetId="0" refreshError="1"/>
      <sheetData sheetId="1" refreshError="1"/>
      <sheetData sheetId="2">
        <row r="1">
          <cell r="A1" t="str">
            <v>Angebotsmarkt</v>
          </cell>
        </row>
      </sheetData>
      <sheetData sheetId="3">
        <row r="1">
          <cell r="A1" t="str">
            <v>Angebotsmarkt</v>
          </cell>
        </row>
      </sheetData>
      <sheetData sheetId="4">
        <row r="3">
          <cell r="B3" t="str">
            <v>Brazil</v>
          </cell>
        </row>
      </sheetData>
      <sheetData sheetId="5" refreshError="1"/>
      <sheetData sheetId="6">
        <row r="1">
          <cell r="P1" t="e">
            <v>#VALUE!</v>
          </cell>
        </row>
        <row r="2">
          <cell r="P2" t="e">
            <v>#VALUE!</v>
          </cell>
        </row>
        <row r="3">
          <cell r="P3" t="e">
            <v>#VALUE!</v>
          </cell>
        </row>
        <row r="4">
          <cell r="P4" t="e">
            <v>#VALUE!</v>
          </cell>
        </row>
        <row r="5">
          <cell r="P5" t="e">
            <v>#VALUE!</v>
          </cell>
        </row>
        <row r="6">
          <cell r="P6" t="e">
            <v>#VALUE!</v>
          </cell>
        </row>
        <row r="7">
          <cell r="P7" t="e">
            <v>#VALUE!</v>
          </cell>
        </row>
        <row r="53">
          <cell r="P53" t="str">
            <v>1st packing RHD</v>
          </cell>
          <cell r="Q53" t="str">
            <v>FL</v>
          </cell>
          <cell r="R53" t="str">
            <v>runout</v>
          </cell>
        </row>
        <row r="54">
          <cell r="P54">
            <v>42339</v>
          </cell>
          <cell r="Q54">
            <v>43160</v>
          </cell>
          <cell r="R54">
            <v>43159</v>
          </cell>
        </row>
        <row r="56">
          <cell r="R56" t="str">
            <v>Check</v>
          </cell>
        </row>
        <row r="57">
          <cell r="R57" t="str">
            <v>CBU</v>
          </cell>
        </row>
        <row r="58">
          <cell r="R58" t="str">
            <v>CKD/SKD</v>
          </cell>
        </row>
        <row r="59">
          <cell r="P59" t="str">
            <v>1st packing RHD</v>
          </cell>
          <cell r="Q59" t="str">
            <v>FL</v>
          </cell>
          <cell r="R59" t="str">
            <v>runout</v>
          </cell>
        </row>
        <row r="60">
          <cell r="P60" t="str">
            <v>01.12.2012</v>
          </cell>
          <cell r="Q60" t="str">
            <v>01.09.2015</v>
          </cell>
          <cell r="R60" t="str">
            <v>31.01.2018</v>
          </cell>
        </row>
        <row r="61">
          <cell r="P61" t="str">
            <v>01.12.2012</v>
          </cell>
          <cell r="Q61" t="str">
            <v>01.09.2015</v>
          </cell>
          <cell r="R61" t="str">
            <v>31.01.2018</v>
          </cell>
        </row>
        <row r="62">
          <cell r="P62" t="str">
            <v>01.12.2012</v>
          </cell>
          <cell r="Q62" t="str">
            <v>01.09.2015</v>
          </cell>
          <cell r="R62" t="str">
            <v>31.01.2018</v>
          </cell>
        </row>
        <row r="63">
          <cell r="P63" t="str">
            <v>01.12.2012</v>
          </cell>
          <cell r="Q63" t="str">
            <v>01.09.2015</v>
          </cell>
          <cell r="R63" t="str">
            <v>31.01.2018</v>
          </cell>
        </row>
        <row r="64">
          <cell r="P64" t="str">
            <v>01.06.2013</v>
          </cell>
          <cell r="Q64" t="str">
            <v>01.09.2015</v>
          </cell>
          <cell r="R64" t="str">
            <v>01.01.2018</v>
          </cell>
        </row>
        <row r="65">
          <cell r="P65" t="str">
            <v>01.09.2013</v>
          </cell>
          <cell r="Q65" t="str">
            <v>01.06.2016</v>
          </cell>
          <cell r="R65" t="str">
            <v>31.01.2019</v>
          </cell>
        </row>
        <row r="66">
          <cell r="P66" t="str">
            <v>01.06.2013</v>
          </cell>
          <cell r="Q66" t="str">
            <v>01.06.2016</v>
          </cell>
          <cell r="R66" t="str">
            <v>31.01.2019</v>
          </cell>
        </row>
        <row r="67">
          <cell r="P67" t="str">
            <v>01.06.2013</v>
          </cell>
          <cell r="Q67" t="str">
            <v>01.06.2016</v>
          </cell>
          <cell r="R67" t="str">
            <v>31.01.2019</v>
          </cell>
        </row>
        <row r="68">
          <cell r="P68" t="str">
            <v>01.06.2013</v>
          </cell>
          <cell r="Q68" t="str">
            <v>01.06.2016</v>
          </cell>
          <cell r="R68" t="str">
            <v>31.01.2019</v>
          </cell>
        </row>
        <row r="69">
          <cell r="P69" t="str">
            <v>01.11.2013</v>
          </cell>
          <cell r="Q69" t="str">
            <v>01.06.2016</v>
          </cell>
          <cell r="R69" t="str">
            <v>31.01.2019</v>
          </cell>
        </row>
        <row r="70">
          <cell r="P70" t="str">
            <v>01.05.2015</v>
          </cell>
          <cell r="Q70" t="str">
            <v>01.06.2016</v>
          </cell>
          <cell r="R70" t="str">
            <v>31.01.2019</v>
          </cell>
        </row>
        <row r="71">
          <cell r="P71" t="str">
            <v>15.03.2014</v>
          </cell>
          <cell r="Q71" t="str">
            <v>01.03.2017</v>
          </cell>
          <cell r="R71" t="str">
            <v>31.01.2020</v>
          </cell>
        </row>
        <row r="72">
          <cell r="P72" t="str">
            <v>15.03.2014</v>
          </cell>
          <cell r="Q72" t="str">
            <v>01.03.2017</v>
          </cell>
          <cell r="R72" t="str">
            <v>31.01.2020</v>
          </cell>
        </row>
        <row r="73">
          <cell r="P73" t="str">
            <v>01.05.2014</v>
          </cell>
          <cell r="Q73">
            <v>42795</v>
          </cell>
          <cell r="R73">
            <v>43770</v>
          </cell>
        </row>
        <row r="74">
          <cell r="P74" t="str">
            <v>01.02.2012</v>
          </cell>
          <cell r="Q74" t="str">
            <v>01.11.2014</v>
          </cell>
          <cell r="R74" t="str">
            <v>01.11.2018</v>
          </cell>
        </row>
        <row r="75">
          <cell r="P75" t="str">
            <v>01.11.2018</v>
          </cell>
          <cell r="Q75" t="str">
            <v>01.10.2021</v>
          </cell>
          <cell r="R75" t="str">
            <v>31.07.2024</v>
          </cell>
        </row>
        <row r="76">
          <cell r="P76" t="str">
            <v>01.11.2018</v>
          </cell>
          <cell r="Q76" t="str">
            <v>01.10.2021</v>
          </cell>
          <cell r="R76" t="str">
            <v>31.07.2024</v>
          </cell>
        </row>
        <row r="77">
          <cell r="P77" t="str">
            <v>01.02.2021</v>
          </cell>
          <cell r="Q77" t="str">
            <v>01.10.2021</v>
          </cell>
          <cell r="R77" t="str">
            <v>31.07.2024</v>
          </cell>
        </row>
        <row r="78">
          <cell r="P78" t="str">
            <v>01.02.2021</v>
          </cell>
          <cell r="Q78" t="str">
            <v>01.10.2021</v>
          </cell>
          <cell r="R78" t="str">
            <v>31.07.2024</v>
          </cell>
        </row>
        <row r="79">
          <cell r="P79" t="str">
            <v>01.03.2020</v>
          </cell>
          <cell r="Q79" t="str">
            <v>01.08.2022</v>
          </cell>
          <cell r="R79" t="str">
            <v>30.04.2025</v>
          </cell>
        </row>
        <row r="80">
          <cell r="P80" t="str">
            <v>01.08.2021</v>
          </cell>
          <cell r="Q80" t="str">
            <v>01.08.2022</v>
          </cell>
          <cell r="R80" t="str">
            <v>30.04.2025</v>
          </cell>
        </row>
        <row r="81">
          <cell r="P81" t="str">
            <v>01.08.2021</v>
          </cell>
          <cell r="Q81" t="str">
            <v>01.08.2022</v>
          </cell>
          <cell r="R81" t="str">
            <v>30.04.2025</v>
          </cell>
        </row>
        <row r="82">
          <cell r="P82" t="str">
            <v>01.08.2025</v>
          </cell>
          <cell r="R82" t="str">
            <v>01.12.2030</v>
          </cell>
        </row>
        <row r="83">
          <cell r="P83" t="str">
            <v>01.08.2025</v>
          </cell>
          <cell r="R83" t="str">
            <v>01.12.2030</v>
          </cell>
        </row>
        <row r="84">
          <cell r="P84" t="str">
            <v>01.09.2020</v>
          </cell>
          <cell r="Q84" t="str">
            <v>01.06.2023</v>
          </cell>
          <cell r="R84" t="str">
            <v>31.01.2026</v>
          </cell>
        </row>
        <row r="85">
          <cell r="P85" t="str">
            <v>01.12.2021</v>
          </cell>
          <cell r="Q85" t="str">
            <v>01.06.2023</v>
          </cell>
          <cell r="R85" t="str">
            <v>31.01.2026</v>
          </cell>
        </row>
        <row r="86">
          <cell r="P86" t="str">
            <v>01.12.2021</v>
          </cell>
          <cell r="Q86" t="str">
            <v>01.06.2023</v>
          </cell>
          <cell r="R86" t="str">
            <v>31.01.2026</v>
          </cell>
        </row>
        <row r="87">
          <cell r="P87">
            <v>40148</v>
          </cell>
          <cell r="Q87">
            <v>40628</v>
          </cell>
          <cell r="R87">
            <v>41730</v>
          </cell>
        </row>
        <row r="88">
          <cell r="P88">
            <v>39965</v>
          </cell>
          <cell r="Q88">
            <v>40628</v>
          </cell>
          <cell r="R88">
            <v>41730</v>
          </cell>
        </row>
        <row r="89">
          <cell r="P89">
            <v>40057</v>
          </cell>
          <cell r="Q89">
            <v>40628</v>
          </cell>
          <cell r="R89">
            <v>41730</v>
          </cell>
        </row>
        <row r="90">
          <cell r="P90">
            <v>41821</v>
          </cell>
          <cell r="Q90">
            <v>43160</v>
          </cell>
          <cell r="R90">
            <v>43132</v>
          </cell>
        </row>
        <row r="91">
          <cell r="P91">
            <v>41821</v>
          </cell>
          <cell r="Q91">
            <v>43160</v>
          </cell>
          <cell r="R91">
            <v>43132</v>
          </cell>
        </row>
        <row r="92">
          <cell r="P92" t="str">
            <v>01.09.2014</v>
          </cell>
          <cell r="Q92" t="str">
            <v>01.03.2018</v>
          </cell>
          <cell r="R92" t="str">
            <v>01.02.2018</v>
          </cell>
        </row>
        <row r="93">
          <cell r="P93" t="str">
            <v>01.09.2014</v>
          </cell>
          <cell r="Q93" t="str">
            <v>01.03.2018</v>
          </cell>
          <cell r="R93" t="str">
            <v>01.02.2018</v>
          </cell>
        </row>
        <row r="94">
          <cell r="P94">
            <v>41821</v>
          </cell>
          <cell r="Q94">
            <v>43160</v>
          </cell>
          <cell r="R94">
            <v>43132</v>
          </cell>
        </row>
        <row r="95">
          <cell r="P95" t="str">
            <v>01.09.2014</v>
          </cell>
          <cell r="Q95" t="str">
            <v>01.03.2018</v>
          </cell>
          <cell r="R95" t="str">
            <v>01.02.2018</v>
          </cell>
        </row>
        <row r="96">
          <cell r="P96" t="str">
            <v>01.09.2014</v>
          </cell>
          <cell r="Q96" t="str">
            <v>01.03.2018</v>
          </cell>
          <cell r="R96" t="str">
            <v>01.02.2018</v>
          </cell>
        </row>
        <row r="97">
          <cell r="P97">
            <v>42156</v>
          </cell>
          <cell r="Q97">
            <v>43160</v>
          </cell>
          <cell r="R97">
            <v>44166</v>
          </cell>
        </row>
        <row r="98">
          <cell r="P98" t="str">
            <v>01.03.2018</v>
          </cell>
          <cell r="Q98" t="str">
            <v>01.03.2018</v>
          </cell>
          <cell r="R98" t="str">
            <v>01.12.2020</v>
          </cell>
        </row>
        <row r="99">
          <cell r="P99" t="str">
            <v>01.03.2021</v>
          </cell>
          <cell r="Q99" t="str">
            <v>01.03.2025</v>
          </cell>
          <cell r="R99" t="str">
            <v>01.12.2027</v>
          </cell>
        </row>
        <row r="100">
          <cell r="P100" t="str">
            <v>01.03.2021</v>
          </cell>
          <cell r="Q100" t="str">
            <v>01.03.2025</v>
          </cell>
          <cell r="R100" t="str">
            <v>01.12.2027</v>
          </cell>
        </row>
        <row r="101">
          <cell r="P101" t="str">
            <v>01.03.2021</v>
          </cell>
          <cell r="Q101" t="str">
            <v>01.03.2025</v>
          </cell>
          <cell r="R101" t="str">
            <v>01.12.2027</v>
          </cell>
        </row>
        <row r="102">
          <cell r="P102" t="str">
            <v>01.12.2014</v>
          </cell>
          <cell r="Q102" t="str">
            <v>01.03.2018</v>
          </cell>
          <cell r="R102" t="str">
            <v>01.02.2018</v>
          </cell>
        </row>
        <row r="103">
          <cell r="P103" t="str">
            <v>01.06.2015</v>
          </cell>
          <cell r="Q103" t="str">
            <v>01.03.2018</v>
          </cell>
          <cell r="R103" t="str">
            <v>01.02.2018</v>
          </cell>
        </row>
        <row r="104">
          <cell r="P104" t="str">
            <v>01.09.2021</v>
          </cell>
          <cell r="Q104" t="str">
            <v>01.03.2025</v>
          </cell>
          <cell r="R104" t="str">
            <v>01.08.2028</v>
          </cell>
        </row>
        <row r="105">
          <cell r="P105" t="str">
            <v>01.03.2013</v>
          </cell>
          <cell r="Q105" t="str">
            <v>01.03.2013</v>
          </cell>
          <cell r="R105" t="str">
            <v>01.12.2015</v>
          </cell>
        </row>
        <row r="106">
          <cell r="P106" t="str">
            <v>01.11.2012</v>
          </cell>
          <cell r="Q106" t="str">
            <v>01.03.2013</v>
          </cell>
          <cell r="R106" t="str">
            <v>01.12.2015</v>
          </cell>
        </row>
        <row r="107">
          <cell r="P107" t="str">
            <v>01.11.2012</v>
          </cell>
          <cell r="Q107" t="str">
            <v>01.03.2013</v>
          </cell>
          <cell r="R107" t="str">
            <v>01.12.2015</v>
          </cell>
        </row>
        <row r="108">
          <cell r="P108" t="str">
            <v>01.03.2013</v>
          </cell>
          <cell r="Q108" t="str">
            <v>01.03.2013</v>
          </cell>
          <cell r="R108" t="str">
            <v>01.12.2015</v>
          </cell>
        </row>
        <row r="109">
          <cell r="P109" t="str">
            <v>01.11.2012</v>
          </cell>
          <cell r="Q109" t="str">
            <v>01.03.2013</v>
          </cell>
          <cell r="R109" t="str">
            <v>01.12.2015</v>
          </cell>
        </row>
        <row r="110">
          <cell r="P110" t="str">
            <v>01.11.2012</v>
          </cell>
          <cell r="Q110" t="str">
            <v>01.03.2013</v>
          </cell>
          <cell r="R110" t="str">
            <v>01.12.2015</v>
          </cell>
        </row>
        <row r="111">
          <cell r="P111" t="str">
            <v>01.03.2016</v>
          </cell>
          <cell r="Q111" t="str">
            <v>01.03.2020</v>
          </cell>
          <cell r="R111" t="str">
            <v>01.02.2020</v>
          </cell>
        </row>
        <row r="112">
          <cell r="P112" t="str">
            <v>01.03.2016</v>
          </cell>
          <cell r="Q112" t="str">
            <v>01.03.2020</v>
          </cell>
          <cell r="R112" t="str">
            <v>01.02.2020</v>
          </cell>
        </row>
        <row r="113">
          <cell r="P113" t="str">
            <v>01.12.2017</v>
          </cell>
          <cell r="Q113" t="str">
            <v>01.03.2020</v>
          </cell>
          <cell r="R113" t="str">
            <v>01.02.2020</v>
          </cell>
        </row>
        <row r="114">
          <cell r="P114" t="str">
            <v>01.03.2020</v>
          </cell>
          <cell r="Q114" t="str">
            <v>01.03.2020</v>
          </cell>
          <cell r="R114" t="str">
            <v>01.11.2022</v>
          </cell>
        </row>
        <row r="115">
          <cell r="P115" t="str">
            <v>01.09.2016</v>
          </cell>
          <cell r="Q115" t="str">
            <v>01.03.2020</v>
          </cell>
          <cell r="R115" t="str">
            <v>01.11.2022</v>
          </cell>
        </row>
        <row r="116">
          <cell r="P116" t="str">
            <v>01.03.2023</v>
          </cell>
          <cell r="Q116" t="str">
            <v>01.03.2020</v>
          </cell>
          <cell r="R116" t="str">
            <v>01.12.2029</v>
          </cell>
        </row>
        <row r="117">
          <cell r="P117" t="str">
            <v>01.03.2023</v>
          </cell>
          <cell r="Q117" t="str">
            <v>01.03.2020</v>
          </cell>
          <cell r="R117" t="str">
            <v>01.12.2029</v>
          </cell>
        </row>
        <row r="118">
          <cell r="P118" t="str">
            <v>01.03.2023</v>
          </cell>
          <cell r="Q118" t="str">
            <v>01.03.2020</v>
          </cell>
          <cell r="R118" t="str">
            <v>01.12.2029</v>
          </cell>
        </row>
        <row r="119">
          <cell r="P119" t="str">
            <v>01.11.2012</v>
          </cell>
          <cell r="Q119" t="str">
            <v>01.03.2013</v>
          </cell>
          <cell r="R119" t="str">
            <v>01.06.2016</v>
          </cell>
        </row>
        <row r="120">
          <cell r="P120" t="str">
            <v>01.09.2016</v>
          </cell>
          <cell r="Q120" t="str">
            <v>01.03.2020</v>
          </cell>
          <cell r="R120" t="str">
            <v>01.02.2020</v>
          </cell>
        </row>
        <row r="121">
          <cell r="P121" t="str">
            <v>01.12.2017</v>
          </cell>
          <cell r="Q121" t="str">
            <v>01.03.2020</v>
          </cell>
          <cell r="R121" t="str">
            <v>01.02.2020</v>
          </cell>
        </row>
        <row r="122">
          <cell r="P122" t="str">
            <v>01.03.2020</v>
          </cell>
          <cell r="Q122" t="str">
            <v>01.03.2020</v>
          </cell>
          <cell r="R122" t="str">
            <v>01.06.2023</v>
          </cell>
        </row>
        <row r="123">
          <cell r="P123" t="str">
            <v>01.03.2014</v>
          </cell>
          <cell r="Q123" t="str">
            <v>01.06.2017</v>
          </cell>
          <cell r="R123" t="str">
            <v>31.05.2017</v>
          </cell>
        </row>
        <row r="124">
          <cell r="P124" t="str">
            <v>01.03.2014</v>
          </cell>
          <cell r="Q124" t="str">
            <v>01.06.2017</v>
          </cell>
          <cell r="R124" t="str">
            <v>31.05.2017</v>
          </cell>
        </row>
        <row r="125">
          <cell r="P125" t="str">
            <v>01.11.2013</v>
          </cell>
          <cell r="Q125" t="str">
            <v>01.06.2017</v>
          </cell>
          <cell r="R125" t="str">
            <v>31.05.2017</v>
          </cell>
        </row>
        <row r="126">
          <cell r="P126" t="str">
            <v>01.03.2014</v>
          </cell>
          <cell r="Q126" t="str">
            <v>01.06.2017</v>
          </cell>
          <cell r="R126" t="str">
            <v>31.05.2017</v>
          </cell>
        </row>
        <row r="127">
          <cell r="P127" t="str">
            <v>01.03.2014</v>
          </cell>
          <cell r="Q127" t="str">
            <v>01.06.2017</v>
          </cell>
          <cell r="R127" t="str">
            <v>31.05.2017</v>
          </cell>
        </row>
        <row r="128">
          <cell r="P128" t="str">
            <v>01.11.2013</v>
          </cell>
          <cell r="Q128" t="str">
            <v>01.06.2017</v>
          </cell>
          <cell r="R128" t="str">
            <v>31.05.2017</v>
          </cell>
        </row>
        <row r="129">
          <cell r="P129" t="str">
            <v>01.12.2014</v>
          </cell>
          <cell r="Q129" t="str">
            <v>01.06.2017</v>
          </cell>
          <cell r="R129" t="str">
            <v>31.03.2020</v>
          </cell>
        </row>
        <row r="130">
          <cell r="P130" t="str">
            <v>01.09.2017</v>
          </cell>
          <cell r="Q130" t="str">
            <v>01.06.2017</v>
          </cell>
          <cell r="R130" t="str">
            <v>31.03.2020</v>
          </cell>
        </row>
        <row r="131">
          <cell r="P131" t="str">
            <v>01.05.2020</v>
          </cell>
          <cell r="Q131" t="str">
            <v>01.03.2024</v>
          </cell>
          <cell r="R131" t="str">
            <v>01.12.2027</v>
          </cell>
        </row>
        <row r="132">
          <cell r="P132" t="str">
            <v>01.05.2020</v>
          </cell>
          <cell r="Q132" t="str">
            <v>01.03.2024</v>
          </cell>
          <cell r="R132" t="str">
            <v>01.12.2027</v>
          </cell>
        </row>
        <row r="133">
          <cell r="P133" t="str">
            <v>01.05.2020</v>
          </cell>
          <cell r="Q133" t="str">
            <v>01.03.2024</v>
          </cell>
          <cell r="R133" t="str">
            <v>01.12.2027</v>
          </cell>
        </row>
        <row r="134">
          <cell r="P134" t="str">
            <v>01.06.2015</v>
          </cell>
          <cell r="Q134" t="str">
            <v>01.06.2017</v>
          </cell>
          <cell r="R134" t="str">
            <v>31.05.2017</v>
          </cell>
        </row>
        <row r="135">
          <cell r="P135" t="str">
            <v>01.03.2021</v>
          </cell>
          <cell r="Q135" t="str">
            <v>01.03.2024</v>
          </cell>
          <cell r="R135" t="str">
            <v>01.12.2028</v>
          </cell>
        </row>
        <row r="136">
          <cell r="P136" t="str">
            <v>01.03.2021</v>
          </cell>
          <cell r="Q136" t="str">
            <v>01.03.2024</v>
          </cell>
          <cell r="R136" t="str">
            <v>01.12.2028</v>
          </cell>
        </row>
        <row r="137">
          <cell r="P137" t="str">
            <v>01.12.2015</v>
          </cell>
          <cell r="Q137" t="str">
            <v>01.03.2019</v>
          </cell>
          <cell r="R137" t="str">
            <v>01.02.2019</v>
          </cell>
        </row>
        <row r="138">
          <cell r="P138" t="str">
            <v>01.12.2016</v>
          </cell>
          <cell r="Q138" t="str">
            <v>01.03.2019</v>
          </cell>
          <cell r="R138" t="str">
            <v>01.02.2019</v>
          </cell>
        </row>
        <row r="139">
          <cell r="P139" t="str">
            <v>01.12.2015</v>
          </cell>
          <cell r="Q139" t="str">
            <v>01.03.2019</v>
          </cell>
          <cell r="R139" t="str">
            <v>01.02.2019</v>
          </cell>
        </row>
        <row r="140">
          <cell r="P140" t="str">
            <v>01.03.2019</v>
          </cell>
          <cell r="Q140" t="str">
            <v>01.03.2019</v>
          </cell>
          <cell r="R140" t="str">
            <v>01.11.2020</v>
          </cell>
        </row>
        <row r="141">
          <cell r="P141" t="str">
            <v>01.12.2020</v>
          </cell>
          <cell r="Q141" t="str">
            <v>01.03.2019</v>
          </cell>
          <cell r="R141" t="str">
            <v>01.06.2022</v>
          </cell>
        </row>
        <row r="142">
          <cell r="P142" t="str">
            <v>01.09.2022</v>
          </cell>
          <cell r="Q142" t="str">
            <v>01.09.2026</v>
          </cell>
          <cell r="R142" t="str">
            <v>01.06.2029</v>
          </cell>
        </row>
        <row r="143">
          <cell r="P143" t="str">
            <v>01.09.2022</v>
          </cell>
          <cell r="Q143" t="str">
            <v>01.09.2026</v>
          </cell>
          <cell r="R143" t="str">
            <v>01.06.2029</v>
          </cell>
        </row>
        <row r="144">
          <cell r="P144" t="str">
            <v>01.09.2016</v>
          </cell>
          <cell r="Q144" t="str">
            <v>01.03.2019</v>
          </cell>
          <cell r="R144" t="str">
            <v>01.02.2019</v>
          </cell>
        </row>
        <row r="145">
          <cell r="P145" t="str">
            <v>01.09.2016</v>
          </cell>
          <cell r="Q145" t="str">
            <v>01.03.2019</v>
          </cell>
          <cell r="R145" t="str">
            <v>01.02.2019</v>
          </cell>
        </row>
        <row r="146">
          <cell r="P146" t="str">
            <v>01.03.2019</v>
          </cell>
          <cell r="Q146" t="str">
            <v>01.03.2019</v>
          </cell>
          <cell r="R146" t="str">
            <v>01.11.2020</v>
          </cell>
        </row>
        <row r="147">
          <cell r="P147" t="str">
            <v>01.03.2019</v>
          </cell>
          <cell r="Q147" t="str">
            <v>01.03.2019</v>
          </cell>
          <cell r="R147" t="str">
            <v>01.11.2020</v>
          </cell>
        </row>
        <row r="148">
          <cell r="P148" t="str">
            <v>01.12.2020</v>
          </cell>
          <cell r="Q148" t="str">
            <v>01.03.2019</v>
          </cell>
          <cell r="R148" t="str">
            <v>01.06.2023</v>
          </cell>
        </row>
        <row r="149">
          <cell r="P149" t="str">
            <v>01.12.2020</v>
          </cell>
          <cell r="Q149" t="str">
            <v>01.03.2019</v>
          </cell>
          <cell r="R149" t="str">
            <v>01.06.2023</v>
          </cell>
        </row>
        <row r="150">
          <cell r="P150" t="str">
            <v>01.09.2023</v>
          </cell>
          <cell r="Q150" t="str">
            <v>01.09.2026</v>
          </cell>
          <cell r="R150" t="str">
            <v>01.06.2029</v>
          </cell>
        </row>
        <row r="151">
          <cell r="P151" t="str">
            <v>01.09.2023</v>
          </cell>
          <cell r="Q151" t="str">
            <v>01.09.2026</v>
          </cell>
          <cell r="R151" t="str">
            <v>01.06.2029</v>
          </cell>
        </row>
        <row r="152">
          <cell r="P152">
            <v>40969</v>
          </cell>
          <cell r="Q152">
            <v>42156</v>
          </cell>
          <cell r="R152">
            <v>43221</v>
          </cell>
        </row>
        <row r="153">
          <cell r="P153">
            <v>40969</v>
          </cell>
          <cell r="Q153">
            <v>42156</v>
          </cell>
          <cell r="R153">
            <v>43221</v>
          </cell>
        </row>
        <row r="154">
          <cell r="P154" t="str">
            <v>01.04.2012</v>
          </cell>
          <cell r="Q154" t="str">
            <v>01.06.2015</v>
          </cell>
          <cell r="R154" t="str">
            <v>01.06.2015</v>
          </cell>
        </row>
        <row r="155">
          <cell r="P155" t="str">
            <v>01.09.2015</v>
          </cell>
          <cell r="Q155" t="str">
            <v>01.06.2015</v>
          </cell>
          <cell r="R155" t="str">
            <v>01.05.2018</v>
          </cell>
        </row>
        <row r="156">
          <cell r="P156" t="str">
            <v>01.10.2018</v>
          </cell>
          <cell r="Q156" t="str">
            <v>01.06.2022</v>
          </cell>
          <cell r="R156" t="str">
            <v>01.06.2022</v>
          </cell>
        </row>
        <row r="157">
          <cell r="P157" t="str">
            <v>01.10.2018</v>
          </cell>
          <cell r="Q157" t="str">
            <v>01.06.2022</v>
          </cell>
          <cell r="R157" t="str">
            <v>01.06.2022</v>
          </cell>
        </row>
        <row r="158">
          <cell r="P158" t="str">
            <v>01.09.2019</v>
          </cell>
          <cell r="Q158" t="str">
            <v>01.06.2022</v>
          </cell>
          <cell r="R158" t="str">
            <v>01.06.2022</v>
          </cell>
        </row>
        <row r="159">
          <cell r="P159" t="str">
            <v>01.09.2022</v>
          </cell>
          <cell r="Q159" t="str">
            <v>01.06.2022</v>
          </cell>
          <cell r="R159" t="str">
            <v>01.06.2025</v>
          </cell>
        </row>
        <row r="160">
          <cell r="P160" t="str">
            <v>01.09.2025</v>
          </cell>
          <cell r="Q160" t="str">
            <v xml:space="preserve"> </v>
          </cell>
          <cell r="R160" t="str">
            <v>01.12.2031</v>
          </cell>
        </row>
        <row r="161">
          <cell r="P161" t="str">
            <v>01.09.2025</v>
          </cell>
          <cell r="Q161" t="str">
            <v xml:space="preserve"> </v>
          </cell>
          <cell r="R161" t="str">
            <v>01.12.2031</v>
          </cell>
        </row>
        <row r="162">
          <cell r="P162" t="str">
            <v>01.07.2015</v>
          </cell>
          <cell r="Q162" t="str">
            <v/>
          </cell>
          <cell r="R162" t="str">
            <v>01.05.2019</v>
          </cell>
        </row>
        <row r="163">
          <cell r="P163">
            <v>41365</v>
          </cell>
          <cell r="Q163">
            <v>42339</v>
          </cell>
          <cell r="R163">
            <v>43435</v>
          </cell>
        </row>
        <row r="164">
          <cell r="P164" t="str">
            <v>01.04.2019</v>
          </cell>
          <cell r="Q164" t="str">
            <v>01.12.2022</v>
          </cell>
          <cell r="R164" t="str">
            <v>01.12.2022</v>
          </cell>
        </row>
        <row r="165">
          <cell r="P165" t="str">
            <v>01.03.2023</v>
          </cell>
          <cell r="Q165" t="str">
            <v>01.12.2022</v>
          </cell>
          <cell r="R165" t="str">
            <v>01.12.2025</v>
          </cell>
        </row>
        <row r="166">
          <cell r="P166">
            <v>42248</v>
          </cell>
          <cell r="Q166">
            <v>44805</v>
          </cell>
          <cell r="R166">
            <v>45627</v>
          </cell>
        </row>
        <row r="167">
          <cell r="P167" t="str">
            <v>01.06.2012</v>
          </cell>
          <cell r="Q167" t="str">
            <v/>
          </cell>
          <cell r="R167" t="str">
            <v>01.05.2015</v>
          </cell>
        </row>
        <row r="168">
          <cell r="P168" t="str">
            <v>01.06.2012</v>
          </cell>
          <cell r="Q168" t="str">
            <v/>
          </cell>
          <cell r="R168" t="str">
            <v>01.05.2015</v>
          </cell>
        </row>
        <row r="169">
          <cell r="P169">
            <v>42339</v>
          </cell>
          <cell r="Q169">
            <v>43160</v>
          </cell>
          <cell r="R169">
            <v>43159</v>
          </cell>
        </row>
        <row r="170">
          <cell r="P170">
            <v>42522</v>
          </cell>
          <cell r="Q170">
            <v>43160</v>
          </cell>
          <cell r="R170">
            <v>44804</v>
          </cell>
        </row>
        <row r="171">
          <cell r="P171">
            <v>42522</v>
          </cell>
          <cell r="Q171">
            <v>43160</v>
          </cell>
          <cell r="R171">
            <v>44804</v>
          </cell>
        </row>
        <row r="172">
          <cell r="P172" t="str">
            <v>01.09.2022</v>
          </cell>
          <cell r="Q172" t="str">
            <v>01.03.2025</v>
          </cell>
          <cell r="R172" t="str">
            <v>31.08.2029</v>
          </cell>
        </row>
        <row r="173">
          <cell r="P173" t="str">
            <v>01.09.2022</v>
          </cell>
          <cell r="Q173" t="str">
            <v>01.03.2025</v>
          </cell>
          <cell r="R173" t="str">
            <v>31.08.2029</v>
          </cell>
        </row>
        <row r="174">
          <cell r="P174" t="str">
            <v>01.04.2011</v>
          </cell>
          <cell r="Q174" t="str">
            <v>01.09.2014</v>
          </cell>
          <cell r="R174" t="str">
            <v>01.09.2017</v>
          </cell>
        </row>
        <row r="175">
          <cell r="P175" t="str">
            <v>01.04.2011</v>
          </cell>
          <cell r="Q175" t="str">
            <v>01.09.2014</v>
          </cell>
          <cell r="R175" t="str">
            <v>01.09.2017</v>
          </cell>
        </row>
        <row r="176">
          <cell r="P176" t="str">
            <v>01.04.2011</v>
          </cell>
          <cell r="Q176" t="str">
            <v>01.09.2014</v>
          </cell>
          <cell r="R176" t="str">
            <v>01.09.2017</v>
          </cell>
        </row>
        <row r="177">
          <cell r="P177" t="str">
            <v>01.06.2018</v>
          </cell>
          <cell r="Q177" t="str">
            <v>01.09.2021</v>
          </cell>
          <cell r="R177" t="str">
            <v>31.08.2021</v>
          </cell>
        </row>
        <row r="178">
          <cell r="P178" t="str">
            <v>01.09.2021</v>
          </cell>
          <cell r="Q178" t="str">
            <v>01.09.2021</v>
          </cell>
          <cell r="R178" t="str">
            <v>30.09.2024</v>
          </cell>
        </row>
        <row r="179">
          <cell r="P179" t="str">
            <v>01.06.2018</v>
          </cell>
          <cell r="Q179" t="str">
            <v>01.09.2021</v>
          </cell>
          <cell r="R179" t="str">
            <v>31.08.2021</v>
          </cell>
        </row>
        <row r="180">
          <cell r="P180" t="str">
            <v>01.09.2021</v>
          </cell>
          <cell r="Q180" t="str">
            <v>01.09.2021</v>
          </cell>
          <cell r="R180" t="str">
            <v>30.09.2024</v>
          </cell>
        </row>
        <row r="181">
          <cell r="P181" t="str">
            <v>01.03.2025</v>
          </cell>
          <cell r="Q181" t="str">
            <v xml:space="preserve"> </v>
          </cell>
          <cell r="R181" t="str">
            <v>01.12.2031</v>
          </cell>
        </row>
        <row r="182">
          <cell r="P182" t="str">
            <v>01.03.2025</v>
          </cell>
          <cell r="Q182" t="str">
            <v xml:space="preserve"> </v>
          </cell>
          <cell r="R182" t="str">
            <v>01.12.2031</v>
          </cell>
        </row>
        <row r="183">
          <cell r="P183" t="str">
            <v>01.06.2016</v>
          </cell>
          <cell r="Q183" t="str">
            <v>01.03.2018</v>
          </cell>
          <cell r="R183" t="str">
            <v>01.02.2018</v>
          </cell>
        </row>
        <row r="184">
          <cell r="P184" t="str">
            <v>01.06.2018</v>
          </cell>
          <cell r="Q184" t="str">
            <v>01.03.2018</v>
          </cell>
          <cell r="R184" t="str">
            <v>28.02.2023</v>
          </cell>
        </row>
        <row r="185">
          <cell r="P185" t="str">
            <v>25.06.2011</v>
          </cell>
          <cell r="Q185" t="str">
            <v>01.03.2016</v>
          </cell>
          <cell r="R185" t="str">
            <v>01.05.2015</v>
          </cell>
        </row>
        <row r="186">
          <cell r="P186" t="str">
            <v>01.06.2015</v>
          </cell>
          <cell r="Q186" t="str">
            <v>01.03.2016</v>
          </cell>
          <cell r="R186" t="str">
            <v>01.12.2020</v>
          </cell>
        </row>
        <row r="187">
          <cell r="P187" t="str">
            <v>01.03.2021</v>
          </cell>
          <cell r="Q187" t="str">
            <v>01.03.2025</v>
          </cell>
          <cell r="R187" t="str">
            <v>01.12.2027</v>
          </cell>
        </row>
        <row r="188">
          <cell r="P188" t="str">
            <v>01.11.2012</v>
          </cell>
          <cell r="Q188" t="str">
            <v>01.09.2014</v>
          </cell>
          <cell r="R188" t="str">
            <v>01.09.2017</v>
          </cell>
        </row>
        <row r="189">
          <cell r="P189" t="str">
            <v>01.09.2018</v>
          </cell>
          <cell r="Q189" t="str">
            <v>01.09.2021</v>
          </cell>
          <cell r="R189" t="str">
            <v>01.08.2021</v>
          </cell>
        </row>
        <row r="190">
          <cell r="P190" t="str">
            <v>01.09.2021</v>
          </cell>
          <cell r="Q190" t="str">
            <v>01.09.2021</v>
          </cell>
          <cell r="R190" t="str">
            <v>30.09.2024</v>
          </cell>
        </row>
        <row r="191">
          <cell r="P191" t="str">
            <v>01.05.2013</v>
          </cell>
          <cell r="Q191" t="str">
            <v>15.04.2013</v>
          </cell>
          <cell r="R191" t="str">
            <v>01.12.2016</v>
          </cell>
        </row>
        <row r="192">
          <cell r="P192" t="str">
            <v>01.06.2013</v>
          </cell>
          <cell r="Q192" t="str">
            <v>15.04.2013</v>
          </cell>
          <cell r="R192" t="str">
            <v>01.06.2017</v>
          </cell>
        </row>
        <row r="193">
          <cell r="P193" t="str">
            <v>01.06.2017</v>
          </cell>
          <cell r="Q193" t="str">
            <v>01.03.2021</v>
          </cell>
          <cell r="R193" t="str">
            <v>31.05.2019</v>
          </cell>
        </row>
        <row r="194">
          <cell r="P194" t="str">
            <v>01.06.2019</v>
          </cell>
          <cell r="Q194" t="str">
            <v>01.03.2021</v>
          </cell>
          <cell r="R194" t="str">
            <v>01.02.2021</v>
          </cell>
        </row>
        <row r="195">
          <cell r="P195" t="str">
            <v>01.03.2021</v>
          </cell>
          <cell r="Q195" t="str">
            <v>01.03.2021</v>
          </cell>
          <cell r="R195" t="str">
            <v>01.12.2023</v>
          </cell>
        </row>
        <row r="196">
          <cell r="P196" t="str">
            <v>01.12.2017</v>
          </cell>
          <cell r="Q196" t="str">
            <v>01.03.2021</v>
          </cell>
          <cell r="R196" t="str">
            <v>31.05.2019</v>
          </cell>
        </row>
        <row r="197">
          <cell r="P197" t="str">
            <v>01.06.2019</v>
          </cell>
          <cell r="Q197" t="str">
            <v>01.03.2021</v>
          </cell>
          <cell r="R197" t="str">
            <v>01.02.2021</v>
          </cell>
        </row>
        <row r="198">
          <cell r="P198" t="str">
            <v>01.03.2021</v>
          </cell>
          <cell r="Q198" t="str">
            <v>01.03.2021</v>
          </cell>
          <cell r="R198" t="str">
            <v>01.06.2024</v>
          </cell>
        </row>
        <row r="199">
          <cell r="P199" t="str">
            <v>01.08.2012</v>
          </cell>
          <cell r="Q199" t="str">
            <v>01.03.2016</v>
          </cell>
          <cell r="R199" t="str">
            <v>01.05.2014</v>
          </cell>
        </row>
        <row r="201">
          <cell r="P201" t="str">
            <v/>
          </cell>
        </row>
        <row r="202">
          <cell r="R202" t="str">
            <v>Total</v>
          </cell>
        </row>
        <row r="203">
          <cell r="R203" t="str">
            <v>Growth in %</v>
          </cell>
        </row>
        <row r="205">
          <cell r="R205" t="str">
            <v>Typclass Volume Overview  - Please select typeclass below</v>
          </cell>
        </row>
        <row r="207">
          <cell r="R207" t="str">
            <v>W 176</v>
          </cell>
        </row>
        <row r="208">
          <cell r="R208" t="str">
            <v>V 177</v>
          </cell>
        </row>
        <row r="210">
          <cell r="R210" t="str">
            <v>C 117</v>
          </cell>
        </row>
        <row r="211">
          <cell r="R211" t="str">
            <v>X 117</v>
          </cell>
        </row>
        <row r="214">
          <cell r="R214" t="str">
            <v>X 156</v>
          </cell>
        </row>
        <row r="215">
          <cell r="R215" t="str">
            <v>H 247</v>
          </cell>
        </row>
        <row r="216">
          <cell r="R216" t="str">
            <v>W 246</v>
          </cell>
        </row>
        <row r="218">
          <cell r="R218" t="str">
            <v>X 247</v>
          </cell>
        </row>
        <row r="219">
          <cell r="R219" t="str">
            <v>X 247NF</v>
          </cell>
        </row>
        <row r="220">
          <cell r="R220" t="str">
            <v>W 204</v>
          </cell>
        </row>
        <row r="221">
          <cell r="R221" t="str">
            <v>W 205</v>
          </cell>
        </row>
        <row r="222">
          <cell r="R222" t="str">
            <v>W 205NF</v>
          </cell>
        </row>
        <row r="223">
          <cell r="R223" t="str">
            <v>S 205</v>
          </cell>
        </row>
        <row r="224">
          <cell r="R224" t="str">
            <v>S 205NF</v>
          </cell>
        </row>
        <row r="225">
          <cell r="R225" t="str">
            <v>W 212</v>
          </cell>
        </row>
        <row r="226">
          <cell r="R226" t="str">
            <v>W 213</v>
          </cell>
        </row>
        <row r="227">
          <cell r="R227" t="str">
            <v>W 213NF</v>
          </cell>
        </row>
        <row r="228">
          <cell r="R228" t="str">
            <v>S 212</v>
          </cell>
        </row>
        <row r="229">
          <cell r="R229" t="str">
            <v>S 213</v>
          </cell>
        </row>
        <row r="231">
          <cell r="R231" t="str">
            <v>V 222</v>
          </cell>
        </row>
        <row r="232">
          <cell r="R232" t="str">
            <v>V 223</v>
          </cell>
        </row>
        <row r="233">
          <cell r="R233" t="str">
            <v>X 222</v>
          </cell>
        </row>
        <row r="234">
          <cell r="R234" t="str">
            <v>Z 223</v>
          </cell>
        </row>
        <row r="235">
          <cell r="R235" t="str">
            <v>X 253</v>
          </cell>
        </row>
        <row r="236">
          <cell r="R236" t="str">
            <v>X 253NF</v>
          </cell>
        </row>
        <row r="237">
          <cell r="R237" t="str">
            <v>C 253</v>
          </cell>
        </row>
        <row r="238">
          <cell r="R238" t="str">
            <v>C 253NF</v>
          </cell>
        </row>
        <row r="239">
          <cell r="R239" t="str">
            <v>W 166</v>
          </cell>
        </row>
        <row r="240">
          <cell r="R240" t="str">
            <v>W 167</v>
          </cell>
        </row>
        <row r="241">
          <cell r="R241" t="str">
            <v>W 167NF</v>
          </cell>
        </row>
        <row r="244">
          <cell r="R244" t="str">
            <v>X 166</v>
          </cell>
        </row>
        <row r="245">
          <cell r="R245" t="str">
            <v>X 167</v>
          </cell>
        </row>
        <row r="247">
          <cell r="R247" t="str">
            <v>C 292</v>
          </cell>
        </row>
        <row r="248">
          <cell r="R248" t="str">
            <v>BA6 463</v>
          </cell>
        </row>
        <row r="249">
          <cell r="R249" t="str">
            <v>C 204</v>
          </cell>
        </row>
        <row r="250">
          <cell r="R250" t="str">
            <v>C 205</v>
          </cell>
        </row>
        <row r="251">
          <cell r="R251" t="str">
            <v>C 205NF</v>
          </cell>
        </row>
        <row r="252">
          <cell r="R252" t="str">
            <v>C 207</v>
          </cell>
        </row>
        <row r="253">
          <cell r="R253" t="str">
            <v>C 238</v>
          </cell>
        </row>
        <row r="255">
          <cell r="R255" t="str">
            <v>C 218</v>
          </cell>
        </row>
        <row r="256">
          <cell r="R256" t="str">
            <v>C 257</v>
          </cell>
        </row>
        <row r="257">
          <cell r="R257" t="str">
            <v>C 257NF</v>
          </cell>
        </row>
        <row r="260">
          <cell r="R260" t="str">
            <v>A 205</v>
          </cell>
        </row>
        <row r="262">
          <cell r="R262" t="str">
            <v>A 207</v>
          </cell>
        </row>
        <row r="263">
          <cell r="R263" t="str">
            <v>A 238</v>
          </cell>
        </row>
        <row r="267">
          <cell r="R267" t="str">
            <v>R 172</v>
          </cell>
        </row>
        <row r="268">
          <cell r="R268" t="str">
            <v>R 172NF</v>
          </cell>
        </row>
        <row r="269">
          <cell r="R269" t="str">
            <v>R 231</v>
          </cell>
        </row>
        <row r="271">
          <cell r="R271" t="str">
            <v>X 218</v>
          </cell>
        </row>
        <row r="272">
          <cell r="R272" t="str">
            <v>X 257</v>
          </cell>
        </row>
        <row r="278">
          <cell r="R278" t="str">
            <v>Total</v>
          </cell>
        </row>
        <row r="299">
          <cell r="R299" t="str">
            <v>W 205NF</v>
          </cell>
        </row>
        <row r="300">
          <cell r="R300" t="str">
            <v>W 205</v>
          </cell>
        </row>
        <row r="301">
          <cell r="R301" t="str">
            <v>W 205NF</v>
          </cell>
        </row>
      </sheetData>
      <sheetData sheetId="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資材費リスト改"/>
      <sheetName val="資材費リスト"/>
      <sheetName val="装備仕様書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EEP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2007"/>
      <sheetName val="1_dat_gna"/>
      <sheetName val="2_dat_cost_indicator"/>
      <sheetName val="3_dat_headcount"/>
      <sheetName val="Steuerblatt"/>
      <sheetName val="GnA"/>
      <sheetName val="GnA 07_08"/>
      <sheetName val="FTE"/>
      <sheetName val="CBCC_Input"/>
      <sheetName val="Personnel OH"/>
      <sheetName val="cost_driver"/>
      <sheetName val="Key Data"/>
      <sheetName val="WSP_out_of_scope"/>
      <sheetName val="comment"/>
      <sheetName val="GnA (EUR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64">
          <cell r="D64" t="str">
            <v>MBSA</v>
          </cell>
        </row>
        <row r="65">
          <cell r="D65" t="str">
            <v>MBTH</v>
          </cell>
        </row>
        <row r="66">
          <cell r="D66" t="str">
            <v>MBMalaysia</v>
          </cell>
        </row>
        <row r="67">
          <cell r="D67" t="str">
            <v>MBIna</v>
          </cell>
        </row>
        <row r="68">
          <cell r="D68" t="str">
            <v>MBV</v>
          </cell>
        </row>
        <row r="69">
          <cell r="D69" t="str">
            <v>MBIndia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400"/>
    </sheetNames>
    <sheetDataSet>
      <sheetData sheetId="0" refreshError="1">
        <row r="1">
          <cell r="A1" t="str">
            <v>SPACE GEAR PRICE STUDY</v>
          </cell>
        </row>
        <row r="2">
          <cell r="A2" t="str">
            <v>DATE PREPARED : JANUARY 7, 1998</v>
          </cell>
        </row>
        <row r="3">
          <cell r="C3" t="str">
            <v xml:space="preserve">¥ </v>
          </cell>
          <cell r="D3">
            <v>120</v>
          </cell>
        </row>
        <row r="4">
          <cell r="C4" t="str">
            <v>P</v>
          </cell>
          <cell r="D4">
            <v>36</v>
          </cell>
        </row>
        <row r="6">
          <cell r="B6" t="str">
            <v>#</v>
          </cell>
          <cell r="D6" t="str">
            <v>A</v>
          </cell>
          <cell r="E6" t="str">
            <v>B</v>
          </cell>
        </row>
        <row r="7">
          <cell r="D7" t="str">
            <v>NOV.  1 '97</v>
          </cell>
          <cell r="E7" t="str">
            <v>1Qtr '98</v>
          </cell>
        </row>
        <row r="8">
          <cell r="D8" t="str">
            <v>PRICE</v>
          </cell>
          <cell r="E8" t="str">
            <v>+2.5% DNP</v>
          </cell>
        </row>
        <row r="9">
          <cell r="A9" t="str">
            <v>C &amp; F  JAPAN</v>
          </cell>
          <cell r="B9">
            <v>1</v>
          </cell>
          <cell r="C9" t="str">
            <v>¥</v>
          </cell>
          <cell r="D9">
            <v>1820940</v>
          </cell>
          <cell r="E9">
            <v>1820940</v>
          </cell>
        </row>
        <row r="10">
          <cell r="A10" t="str">
            <v>¥ » $1</v>
          </cell>
          <cell r="B10">
            <v>2</v>
          </cell>
          <cell r="C10" t="str">
            <v>$</v>
          </cell>
          <cell r="D10">
            <v>15175</v>
          </cell>
          <cell r="E10">
            <v>15175</v>
          </cell>
        </row>
        <row r="11">
          <cell r="A11" t="str">
            <v>$1 » P</v>
          </cell>
          <cell r="B11">
            <v>3</v>
          </cell>
          <cell r="C11" t="str">
            <v>P</v>
          </cell>
          <cell r="D11">
            <v>546300</v>
          </cell>
          <cell r="E11">
            <v>546300</v>
          </cell>
        </row>
        <row r="13">
          <cell r="A13" t="str">
            <v xml:space="preserve">C &amp; F MANILA </v>
          </cell>
          <cell r="B13">
            <v>4</v>
          </cell>
          <cell r="D13">
            <v>546300</v>
          </cell>
          <cell r="E13">
            <v>546300</v>
          </cell>
        </row>
        <row r="14">
          <cell r="A14" t="str">
            <v>MARINE INSURANCE</v>
          </cell>
          <cell r="B14">
            <v>5</v>
          </cell>
          <cell r="D14">
            <v>546</v>
          </cell>
          <cell r="E14">
            <v>546</v>
          </cell>
        </row>
        <row r="15">
          <cell r="A15" t="str">
            <v>CIF  MANILA</v>
          </cell>
          <cell r="B15">
            <v>6</v>
          </cell>
          <cell r="D15">
            <v>546846</v>
          </cell>
          <cell r="E15">
            <v>546846</v>
          </cell>
        </row>
        <row r="16">
          <cell r="A16" t="str">
            <v>CUSTOM DUTY  - 30%</v>
          </cell>
          <cell r="B16">
            <v>7</v>
          </cell>
          <cell r="D16">
            <v>164054</v>
          </cell>
          <cell r="E16">
            <v>164054</v>
          </cell>
        </row>
        <row r="17">
          <cell r="A17" t="str">
            <v>PORT CHARGES</v>
          </cell>
          <cell r="B17">
            <v>8</v>
          </cell>
          <cell r="D17">
            <v>2500</v>
          </cell>
          <cell r="E17">
            <v>2500</v>
          </cell>
        </row>
        <row r="18">
          <cell r="A18" t="str">
            <v>DELIVERY TO PLANT</v>
          </cell>
          <cell r="B18">
            <v>9</v>
          </cell>
          <cell r="D18">
            <v>3500</v>
          </cell>
          <cell r="E18">
            <v>3500</v>
          </cell>
        </row>
        <row r="19">
          <cell r="A19" t="str">
            <v>BANK CHARGES</v>
          </cell>
          <cell r="B19">
            <v>10</v>
          </cell>
          <cell r="D19">
            <v>500</v>
          </cell>
          <cell r="E19">
            <v>500</v>
          </cell>
        </row>
        <row r="20">
          <cell r="A20" t="str">
            <v>PDI / WAX REMOVAL</v>
          </cell>
          <cell r="B20">
            <v>11</v>
          </cell>
          <cell r="D20">
            <v>1000</v>
          </cell>
          <cell r="E20">
            <v>1000</v>
          </cell>
        </row>
        <row r="21">
          <cell r="A21" t="str">
            <v>VALUE ADDED TAX</v>
          </cell>
          <cell r="B21">
            <v>12</v>
          </cell>
          <cell r="D21">
            <v>71635.400000000009</v>
          </cell>
          <cell r="E21">
            <v>71635.400000000009</v>
          </cell>
        </row>
        <row r="23">
          <cell r="A23" t="str">
            <v>FOB CAINTA</v>
          </cell>
          <cell r="B23">
            <v>13</v>
          </cell>
          <cell r="D23">
            <v>790035.4</v>
          </cell>
          <cell r="E23">
            <v>790035.4</v>
          </cell>
        </row>
        <row r="24">
          <cell r="A24" t="str">
            <v>LESS:  VAT</v>
          </cell>
          <cell r="B24">
            <v>14</v>
          </cell>
          <cell r="D24">
            <v>71635.400000000009</v>
          </cell>
          <cell r="E24">
            <v>71635.400000000009</v>
          </cell>
        </row>
        <row r="25">
          <cell r="A25" t="str">
            <v>FOB Cainta net of VAT</v>
          </cell>
          <cell r="B25">
            <v>15</v>
          </cell>
          <cell r="D25">
            <v>718400</v>
          </cell>
          <cell r="E25">
            <v>718400</v>
          </cell>
        </row>
        <row r="26">
          <cell r="A26" t="str">
            <v>Add : Audio system</v>
          </cell>
          <cell r="B26">
            <v>16</v>
          </cell>
          <cell r="D26">
            <v>5490</v>
          </cell>
          <cell r="E26">
            <v>5490</v>
          </cell>
        </row>
        <row r="27">
          <cell r="A27" t="str">
            <v>Sub total</v>
          </cell>
          <cell r="B27">
            <v>17</v>
          </cell>
          <cell r="D27">
            <v>723890</v>
          </cell>
          <cell r="E27">
            <v>723890</v>
          </cell>
        </row>
        <row r="28">
          <cell r="A28" t="str">
            <v>Less : VAT on Audio</v>
          </cell>
          <cell r="B28">
            <v>18</v>
          </cell>
          <cell r="D28">
            <v>499.09090909090901</v>
          </cell>
          <cell r="E28">
            <v>499.09090909090901</v>
          </cell>
        </row>
        <row r="29">
          <cell r="A29" t="str">
            <v>STD. COST - NET OF TAX</v>
          </cell>
          <cell r="B29">
            <v>19</v>
          </cell>
          <cell r="D29">
            <v>723390.90909090906</v>
          </cell>
          <cell r="E29">
            <v>723390.90909090906</v>
          </cell>
        </row>
        <row r="31">
          <cell r="A31" t="str">
            <v>MMPC  MARGIN AT STD. - AMT.</v>
          </cell>
          <cell r="B31">
            <v>20</v>
          </cell>
          <cell r="D31">
            <v>32317.090909090941</v>
          </cell>
          <cell r="E31">
            <v>51210.090909090941</v>
          </cell>
        </row>
        <row r="32">
          <cell r="A32" t="str">
            <v xml:space="preserve">                      - RATE</v>
          </cell>
          <cell r="B32">
            <v>21</v>
          </cell>
          <cell r="D32">
            <v>4.2763992056576008E-2</v>
          </cell>
          <cell r="E32">
            <v>6.6111573454063377E-2</v>
          </cell>
        </row>
        <row r="33">
          <cell r="A33" t="str">
            <v>BURDEN II-G&amp;A/SELL/ADV.</v>
          </cell>
          <cell r="B33">
            <v>22</v>
          </cell>
          <cell r="D33">
            <v>50666</v>
          </cell>
          <cell r="E33">
            <v>50666</v>
          </cell>
        </row>
        <row r="34">
          <cell r="A34" t="str">
            <v>MMPC  MARGIN AT ACT. - AMT.</v>
          </cell>
          <cell r="B34">
            <v>23</v>
          </cell>
          <cell r="D34">
            <v>-18348.909090909059</v>
          </cell>
          <cell r="E34">
            <v>544.09090909094084</v>
          </cell>
        </row>
        <row r="35">
          <cell r="A35" t="str">
            <v xml:space="preserve">                        - RATE</v>
          </cell>
          <cell r="B35">
            <v>24</v>
          </cell>
          <cell r="D35">
            <v>-2.4280421923426852E-2</v>
          </cell>
          <cell r="E35">
            <v>7.0241441605541544E-4</v>
          </cell>
        </row>
        <row r="37">
          <cell r="A37" t="str">
            <v>WHOLESALE PRICE</v>
          </cell>
          <cell r="B37">
            <v>25</v>
          </cell>
          <cell r="D37">
            <v>755708</v>
          </cell>
          <cell r="E37">
            <v>774601</v>
          </cell>
        </row>
        <row r="38">
          <cell r="A38" t="str">
            <v>AD VALOREM TAX  - 0%</v>
          </cell>
          <cell r="B38">
            <v>26</v>
          </cell>
          <cell r="D38">
            <v>0</v>
          </cell>
          <cell r="E38">
            <v>0</v>
          </cell>
        </row>
        <row r="39">
          <cell r="A39" t="str">
            <v>V A T</v>
          </cell>
          <cell r="B39">
            <v>26</v>
          </cell>
          <cell r="D39">
            <v>75570.8</v>
          </cell>
          <cell r="E39">
            <v>77460.100000000006</v>
          </cell>
        </row>
        <row r="41">
          <cell r="A41" t="str">
            <v>D N P</v>
          </cell>
          <cell r="B41">
            <v>27</v>
          </cell>
          <cell r="D41">
            <v>831278.8</v>
          </cell>
          <cell r="E41">
            <v>852061.1</v>
          </cell>
        </row>
        <row r="42">
          <cell r="A42" t="str">
            <v>MUN.TAX/C. STICKER</v>
          </cell>
          <cell r="B42">
            <v>28</v>
          </cell>
          <cell r="D42">
            <v>1168</v>
          </cell>
          <cell r="E42">
            <v>1168</v>
          </cell>
        </row>
        <row r="43">
          <cell r="A43" t="str">
            <v>TOTAL  D N P</v>
          </cell>
          <cell r="B43">
            <v>29</v>
          </cell>
          <cell r="D43">
            <v>832446.8</v>
          </cell>
          <cell r="E43">
            <v>853229.1</v>
          </cell>
        </row>
        <row r="44">
          <cell r="A44" t="str">
            <v>DEALER MARGIN-AMT.</v>
          </cell>
          <cell r="B44">
            <v>30</v>
          </cell>
          <cell r="D44">
            <v>83244.680000000008</v>
          </cell>
          <cell r="E44">
            <v>85089</v>
          </cell>
        </row>
        <row r="45">
          <cell r="A45" t="str">
            <v xml:space="preserve">             -RATE</v>
          </cell>
          <cell r="B45">
            <v>31</v>
          </cell>
          <cell r="D45">
            <v>0.1</v>
          </cell>
          <cell r="E45">
            <v>9.9725853232150663E-2</v>
          </cell>
        </row>
        <row r="47">
          <cell r="A47" t="str">
            <v>S R P</v>
          </cell>
          <cell r="B47">
            <v>32</v>
          </cell>
          <cell r="D47">
            <v>915691.4800000001</v>
          </cell>
          <cell r="E47">
            <v>938318.1</v>
          </cell>
        </row>
        <row r="48">
          <cell r="A48" t="str">
            <v>V A T</v>
          </cell>
          <cell r="B48">
            <v>33</v>
          </cell>
          <cell r="D48">
            <v>91569.148000000016</v>
          </cell>
          <cell r="E48">
            <v>93831.81</v>
          </cell>
        </row>
        <row r="49">
          <cell r="A49" t="str">
            <v>VAT ALREADY PAID</v>
          </cell>
          <cell r="B49">
            <v>34</v>
          </cell>
          <cell r="D49">
            <v>-75570.8</v>
          </cell>
          <cell r="E49">
            <v>-77460.100000000006</v>
          </cell>
        </row>
        <row r="50">
          <cell r="A50" t="str">
            <v>NET VAT PAYABLE</v>
          </cell>
          <cell r="B50">
            <v>35</v>
          </cell>
          <cell r="D50">
            <v>15998.348000000013</v>
          </cell>
          <cell r="E50">
            <v>16371.709999999992</v>
          </cell>
        </row>
        <row r="51">
          <cell r="A51" t="str">
            <v>SRP W/VAT</v>
          </cell>
          <cell r="B51">
            <v>36</v>
          </cell>
          <cell r="D51">
            <v>931689.8280000001</v>
          </cell>
          <cell r="E51">
            <v>954689.80999999994</v>
          </cell>
        </row>
        <row r="52">
          <cell r="A52" t="str">
            <v>ACCESSORIES:</v>
          </cell>
          <cell r="B52">
            <v>37</v>
          </cell>
        </row>
        <row r="53">
          <cell r="A53" t="str">
            <v xml:space="preserve">    STEREO</v>
          </cell>
          <cell r="B53">
            <v>38</v>
          </cell>
          <cell r="D53">
            <v>0</v>
          </cell>
          <cell r="E53">
            <v>0</v>
          </cell>
        </row>
        <row r="54">
          <cell r="A54" t="str">
            <v xml:space="preserve">    OTHERS (TINT, FLOOR MAT, ETC)</v>
          </cell>
          <cell r="B54">
            <v>39</v>
          </cell>
          <cell r="D54">
            <v>3254</v>
          </cell>
          <cell r="E54">
            <v>3254</v>
          </cell>
        </row>
        <row r="55">
          <cell r="A55" t="str">
            <v xml:space="preserve">    TOTAL</v>
          </cell>
          <cell r="B55">
            <v>40</v>
          </cell>
          <cell r="D55">
            <v>3254</v>
          </cell>
          <cell r="E55">
            <v>3254</v>
          </cell>
        </row>
        <row r="56">
          <cell r="A56" t="str">
            <v xml:space="preserve">    VAT AT 10%</v>
          </cell>
          <cell r="B56">
            <v>41</v>
          </cell>
          <cell r="D56">
            <v>325.40000000000003</v>
          </cell>
          <cell r="E56">
            <v>325.40000000000003</v>
          </cell>
        </row>
        <row r="57">
          <cell r="A57" t="str">
            <v xml:space="preserve">    LESS:  VAT ALREADY PAID</v>
          </cell>
          <cell r="B57">
            <v>42</v>
          </cell>
          <cell r="D57">
            <v>-268.92561983471069</v>
          </cell>
          <cell r="E57">
            <v>-268.92561983471069</v>
          </cell>
        </row>
        <row r="58">
          <cell r="A58" t="str">
            <v xml:space="preserve">    NET VAT PAYABLE</v>
          </cell>
          <cell r="B58">
            <v>43</v>
          </cell>
          <cell r="D58">
            <v>56.474380165289347</v>
          </cell>
          <cell r="E58">
            <v>56.474380165289347</v>
          </cell>
        </row>
        <row r="60">
          <cell r="A60" t="str">
            <v>NET PRICE  OF  ACCESSORIES</v>
          </cell>
          <cell r="B60">
            <v>44</v>
          </cell>
          <cell r="D60">
            <v>3310.4743801652894</v>
          </cell>
          <cell r="E60">
            <v>3310.4743801652894</v>
          </cell>
        </row>
        <row r="62">
          <cell r="A62" t="str">
            <v>FINAL SELLING PRICE (FSP)</v>
          </cell>
          <cell r="B62">
            <v>45</v>
          </cell>
          <cell r="C62" t="str">
            <v>P</v>
          </cell>
          <cell r="D62">
            <v>935000.30238016543</v>
          </cell>
          <cell r="E62">
            <v>958000.28438016528</v>
          </cell>
        </row>
        <row r="63">
          <cell r="A63" t="str">
            <v>FINAL SELLING PRICE (ROUNDED OFF)</v>
          </cell>
          <cell r="B63">
            <v>46</v>
          </cell>
          <cell r="C63" t="str">
            <v>P</v>
          </cell>
          <cell r="D63">
            <v>935000</v>
          </cell>
          <cell r="E63">
            <v>958000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Company"/>
      <sheetName val="470001"/>
      <sheetName val="459010"/>
      <sheetName val="449011"/>
      <sheetName val="449012"/>
      <sheetName val="449010"/>
      <sheetName val="449050"/>
      <sheetName val="Salary-Expat"/>
      <sheetName val="Medical Allowance"/>
      <sheetName val="433003"/>
    </sheetNames>
    <sheetDataSet>
      <sheetData sheetId="0" refreshError="1">
        <row r="19">
          <cell r="T19">
            <v>135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RevisionHistory"/>
      <sheetName val="Assumptions"/>
      <sheetName val="Financials(MMCA)"/>
      <sheetName val="FinancialPosition"/>
      <sheetName val="M_AllocationTable"/>
      <sheetName val="BS"/>
      <sheetName val="Divestment BS"/>
      <sheetName val="IS(P-Car)"/>
      <sheetName val="DeferredTax"/>
      <sheetName val="CF"/>
      <sheetName val="CapEx_and_DepCost"/>
      <sheetName val="AssetsMonetization"/>
      <sheetName val="M_IS(P-Car)"/>
      <sheetName val="FixedCost"/>
      <sheetName val="FOREXfixed_cost"/>
      <sheetName val="Valuation(MMCA)"/>
      <sheetName val="M_SummaryMarketProfitability"/>
      <sheetName val="M_VolumeDetails"/>
      <sheetName val="VariableSellingCost"/>
      <sheetName val="WarrantyCost"/>
      <sheetName val="VariableCost"/>
      <sheetName val="HeadcountPlan"/>
      <sheetName val="NonoperatingResult"/>
      <sheetName val="WorkingCapital"/>
      <sheetName val="Valuation(P-Car)"/>
      <sheetName val="KPIs"/>
      <sheetName val="OtherSales"/>
      <sheetName val="ForexOther_Sales"/>
      <sheetName val="S_(Regional)"/>
      <sheetName val="Chart (SalesbyMarket)"/>
      <sheetName val="Chart (SalesbyMarket INDEX)"/>
      <sheetName val="Chart (SalesbyMarket INDEX)(2)"/>
      <sheetName val="Chart (VolumebyMarket)"/>
      <sheetName val="Chart (VolumebyMarket INDEX)"/>
      <sheetName val="Chart (VolumebyMarket INDEX (2)"/>
      <sheetName val="Chart (OperatingProfitbyMarket)"/>
      <sheetName val="Chart (OperatingMarginbyMarket)"/>
      <sheetName val="Chart (MP1byMarket)"/>
      <sheetName val="Chart (MP1marginbyMarket)"/>
      <sheetName val="Chart(FY2003 coststructure)"/>
      <sheetName val="Chart(FY2005 coststructure)"/>
      <sheetName val="Chart(FY2007 coststructure)"/>
      <sheetName val="Chart(coststructure)"/>
      <sheetName val="Backup_Numbers_for_Charts"/>
      <sheetName val="ItemSortOrderTable"/>
      <sheetName val="ByMarketProMaster"/>
      <sheetName val="S_Vol"/>
      <sheetName val="S_OtherProdCost"/>
      <sheetName val="S_MatCost"/>
      <sheetName val="S_Rev"/>
      <sheetName val="S_All"/>
      <sheetName val="CalcTable"/>
      <sheetName val="SimulatedCalc"/>
      <sheetName val="SimulatedCalcVolMatOnly"/>
      <sheetName val="TotalSheet"/>
      <sheetName val="FOREXSimuCarline"/>
      <sheetName val="ForexMultply"/>
      <sheetName val="ForexMultiTable"/>
      <sheetName val="FOREXControl"/>
      <sheetName val="VolumeSimuCarline"/>
      <sheetName val="VolMultiply"/>
      <sheetName val="VolControl"/>
      <sheetName val="MatCostSimuCarline"/>
      <sheetName val="MatCostMultiply"/>
      <sheetName val="MatCostControl"/>
      <sheetName val="@HCsummary"/>
      <sheetName val="ZS Vol"/>
      <sheetName val="@InputSheet"/>
      <sheetName val="@LRPP57FearI"/>
      <sheetName val="MARS EIS 2nd AMP04 summary"/>
      <sheetName val="MARS PLJ 2nd AMP04 summary"/>
    </sheetNames>
    <sheetDataSet>
      <sheetData sheetId="0"/>
      <sheetData sheetId="1"/>
      <sheetData sheetId="2">
        <row r="1143"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</row>
        <row r="1144">
          <cell r="E1144">
            <v>0</v>
          </cell>
        </row>
        <row r="1145">
          <cell r="E1145">
            <v>0</v>
          </cell>
        </row>
        <row r="1146">
          <cell r="E1146">
            <v>0</v>
          </cell>
        </row>
        <row r="1147">
          <cell r="E1147">
            <v>0</v>
          </cell>
        </row>
        <row r="1148">
          <cell r="E1148">
            <v>0</v>
          </cell>
        </row>
        <row r="1149">
          <cell r="E1149">
            <v>0</v>
          </cell>
        </row>
        <row r="1150">
          <cell r="E1150">
            <v>0</v>
          </cell>
        </row>
        <row r="1151">
          <cell r="E1151">
            <v>0</v>
          </cell>
        </row>
        <row r="1152">
          <cell r="E1152">
            <v>0</v>
          </cell>
        </row>
        <row r="1153">
          <cell r="E1153">
            <v>0</v>
          </cell>
        </row>
        <row r="1154">
          <cell r="E1154">
            <v>0</v>
          </cell>
        </row>
        <row r="1155">
          <cell r="E1155">
            <v>0</v>
          </cell>
        </row>
        <row r="1156">
          <cell r="E1156">
            <v>0</v>
          </cell>
        </row>
        <row r="1157">
          <cell r="E1157">
            <v>0</v>
          </cell>
        </row>
        <row r="1158">
          <cell r="E1158">
            <v>0</v>
          </cell>
        </row>
        <row r="1159">
          <cell r="E1159">
            <v>0</v>
          </cell>
        </row>
        <row r="1160">
          <cell r="E1160">
            <v>0</v>
          </cell>
        </row>
        <row r="1161">
          <cell r="E1161">
            <v>0</v>
          </cell>
        </row>
        <row r="1168"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</row>
        <row r="1169">
          <cell r="E1169">
            <v>0</v>
          </cell>
        </row>
        <row r="1170">
          <cell r="E1170">
            <v>0</v>
          </cell>
        </row>
        <row r="1171">
          <cell r="E1171">
            <v>0</v>
          </cell>
        </row>
        <row r="1172">
          <cell r="E1172">
            <v>0</v>
          </cell>
        </row>
        <row r="1173">
          <cell r="E1173">
            <v>0</v>
          </cell>
        </row>
        <row r="1174">
          <cell r="E1174">
            <v>0</v>
          </cell>
        </row>
        <row r="1175">
          <cell r="E1175">
            <v>0</v>
          </cell>
        </row>
        <row r="1176">
          <cell r="E1176">
            <v>0</v>
          </cell>
        </row>
        <row r="1177">
          <cell r="E1177">
            <v>0</v>
          </cell>
        </row>
        <row r="1178">
          <cell r="E1178">
            <v>0</v>
          </cell>
        </row>
        <row r="1179">
          <cell r="E1179">
            <v>0</v>
          </cell>
        </row>
        <row r="1180">
          <cell r="E1180">
            <v>0</v>
          </cell>
        </row>
        <row r="1181">
          <cell r="E1181">
            <v>0</v>
          </cell>
        </row>
        <row r="1182">
          <cell r="E1182">
            <v>0</v>
          </cell>
        </row>
        <row r="1183">
          <cell r="E1183">
            <v>0</v>
          </cell>
        </row>
        <row r="1184">
          <cell r="E1184">
            <v>0</v>
          </cell>
        </row>
        <row r="1185">
          <cell r="E1185">
            <v>0</v>
          </cell>
        </row>
        <row r="1186">
          <cell r="E1186">
            <v>0</v>
          </cell>
        </row>
        <row r="1187">
          <cell r="E1187">
            <v>0</v>
          </cell>
        </row>
        <row r="1188">
          <cell r="E1188">
            <v>0</v>
          </cell>
        </row>
        <row r="1189">
          <cell r="E1189">
            <v>0</v>
          </cell>
        </row>
        <row r="1190">
          <cell r="E1190">
            <v>0</v>
          </cell>
        </row>
        <row r="1191">
          <cell r="E1191">
            <v>0</v>
          </cell>
        </row>
        <row r="1192">
          <cell r="E1192">
            <v>0</v>
          </cell>
        </row>
        <row r="1193">
          <cell r="E1193">
            <v>0</v>
          </cell>
        </row>
        <row r="1194">
          <cell r="E1194">
            <v>0</v>
          </cell>
        </row>
        <row r="1195">
          <cell r="E1195">
            <v>0</v>
          </cell>
        </row>
        <row r="1196">
          <cell r="E1196">
            <v>0</v>
          </cell>
        </row>
        <row r="1197">
          <cell r="E1197">
            <v>0</v>
          </cell>
        </row>
        <row r="1198">
          <cell r="E1198">
            <v>0</v>
          </cell>
        </row>
        <row r="1199">
          <cell r="E1199">
            <v>0</v>
          </cell>
        </row>
        <row r="1200">
          <cell r="E1200">
            <v>0</v>
          </cell>
        </row>
        <row r="1201">
          <cell r="E1201">
            <v>0</v>
          </cell>
        </row>
        <row r="1202">
          <cell r="E1202">
            <v>0</v>
          </cell>
        </row>
        <row r="1203">
          <cell r="E1203">
            <v>0</v>
          </cell>
        </row>
        <row r="1204">
          <cell r="E1204">
            <v>0</v>
          </cell>
        </row>
        <row r="1205">
          <cell r="E1205">
            <v>0</v>
          </cell>
        </row>
        <row r="1206">
          <cell r="E1206">
            <v>0</v>
          </cell>
        </row>
        <row r="1207">
          <cell r="E1207">
            <v>0</v>
          </cell>
        </row>
        <row r="1208">
          <cell r="E1208">
            <v>0</v>
          </cell>
        </row>
        <row r="1209">
          <cell r="E1209">
            <v>0</v>
          </cell>
        </row>
        <row r="1210">
          <cell r="E1210">
            <v>0</v>
          </cell>
        </row>
        <row r="1216"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</row>
        <row r="1217">
          <cell r="E1217">
            <v>0</v>
          </cell>
        </row>
        <row r="1218">
          <cell r="E1218">
            <v>0</v>
          </cell>
        </row>
        <row r="1219">
          <cell r="E1219">
            <v>0</v>
          </cell>
        </row>
        <row r="1220">
          <cell r="E1220">
            <v>0</v>
          </cell>
        </row>
        <row r="1221">
          <cell r="E1221">
            <v>0</v>
          </cell>
        </row>
        <row r="1222">
          <cell r="E1222">
            <v>0</v>
          </cell>
        </row>
        <row r="1223">
          <cell r="E1223">
            <v>0</v>
          </cell>
        </row>
        <row r="1224">
          <cell r="E1224">
            <v>0</v>
          </cell>
        </row>
        <row r="1225">
          <cell r="E1225">
            <v>0</v>
          </cell>
        </row>
        <row r="1226">
          <cell r="E1226">
            <v>0</v>
          </cell>
        </row>
        <row r="1227">
          <cell r="E1227">
            <v>0</v>
          </cell>
        </row>
        <row r="1228">
          <cell r="E1228">
            <v>0</v>
          </cell>
        </row>
        <row r="1229">
          <cell r="E1229">
            <v>0</v>
          </cell>
        </row>
        <row r="1230">
          <cell r="E1230">
            <v>0</v>
          </cell>
        </row>
        <row r="1231">
          <cell r="E1231">
            <v>0</v>
          </cell>
        </row>
        <row r="1232">
          <cell r="E1232">
            <v>0</v>
          </cell>
        </row>
        <row r="1233">
          <cell r="E1233">
            <v>0</v>
          </cell>
        </row>
        <row r="1234">
          <cell r="E1234">
            <v>0</v>
          </cell>
        </row>
        <row r="1235">
          <cell r="E1235">
            <v>0</v>
          </cell>
        </row>
        <row r="1236">
          <cell r="E1236">
            <v>0</v>
          </cell>
        </row>
        <row r="1237">
          <cell r="E1237">
            <v>0</v>
          </cell>
        </row>
        <row r="1238">
          <cell r="E1238">
            <v>0</v>
          </cell>
        </row>
        <row r="1239">
          <cell r="E1239">
            <v>0</v>
          </cell>
        </row>
        <row r="1240">
          <cell r="E1240">
            <v>0</v>
          </cell>
        </row>
        <row r="1241">
          <cell r="E1241">
            <v>0</v>
          </cell>
        </row>
        <row r="1242">
          <cell r="E1242">
            <v>0</v>
          </cell>
        </row>
        <row r="1243">
          <cell r="E1243">
            <v>0</v>
          </cell>
        </row>
        <row r="1244">
          <cell r="E1244">
            <v>0</v>
          </cell>
        </row>
        <row r="1245">
          <cell r="E1245">
            <v>0</v>
          </cell>
        </row>
        <row r="1246">
          <cell r="E1246">
            <v>0</v>
          </cell>
        </row>
        <row r="1247">
          <cell r="E1247">
            <v>0</v>
          </cell>
        </row>
        <row r="1248">
          <cell r="E1248">
            <v>0</v>
          </cell>
        </row>
        <row r="1249">
          <cell r="E1249">
            <v>0</v>
          </cell>
        </row>
        <row r="1250">
          <cell r="E1250">
            <v>0</v>
          </cell>
        </row>
        <row r="1251">
          <cell r="E1251">
            <v>0</v>
          </cell>
        </row>
        <row r="1252">
          <cell r="E1252">
            <v>0</v>
          </cell>
        </row>
        <row r="1253">
          <cell r="E1253">
            <v>0</v>
          </cell>
        </row>
        <row r="1254">
          <cell r="E1254">
            <v>0</v>
          </cell>
        </row>
        <row r="1255">
          <cell r="E1255">
            <v>0</v>
          </cell>
        </row>
        <row r="1256">
          <cell r="E1256">
            <v>0</v>
          </cell>
        </row>
        <row r="1257">
          <cell r="E1257">
            <v>0</v>
          </cell>
        </row>
        <row r="1258">
          <cell r="E1258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G表"/>
      <sheetName val="表紙"/>
      <sheetName val="期別展開"/>
      <sheetName val="投資変動"/>
      <sheetName val="変動ｸﾞﾗﾌ"/>
      <sheetName val="低減提案"/>
      <sheetName val="個品ﾘｽﾄ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非固内訳"/>
    </sheetNames>
    <sheetDataSet>
      <sheetData sheetId="0" refreshError="1">
        <row r="23">
          <cell r="Q23">
            <v>6.3</v>
          </cell>
        </row>
        <row r="24">
          <cell r="Q24">
            <v>20.8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CR"/>
      <sheetName val="1550"/>
      <sheetName val="Sheet1 (2)"/>
      <sheetName val="2014"/>
      <sheetName val="Sheet3"/>
      <sheetName val="Test n Dev"/>
      <sheetName val="Consultant fee"/>
      <sheetName val="Data Ori"/>
      <sheetName val="Pivo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ARS"/>
      <sheetName val="ATRUCK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1"/>
      <sheetName val="Sheet1"/>
      <sheetName val="価格ｸﾞﾗﾌ"/>
      <sheetName val="ATRUCK"/>
      <sheetName val="北米台数"/>
      <sheetName val="台数ｸﾞﾗﾌ (share)"/>
      <sheetName val="表紙"/>
      <sheetName val="01北米D"/>
      <sheetName val="02欧州D"/>
      <sheetName val="03台湾D"/>
      <sheetName val="04中国D"/>
      <sheetName val="05他ｱｼﾞｱD"/>
      <sheetName val="06ｱｾｱﾝD"/>
      <sheetName val="07他ｱｾｱﾝD"/>
      <sheetName val="08豪州D"/>
      <sheetName val="09中南米D"/>
      <sheetName val="10中東D"/>
      <sheetName val="11ｱﾌﾘｶD"/>
      <sheetName val="12日本"/>
      <sheetName val="13OEM"/>
      <sheetName val="これより右強化策一覧⇒"/>
      <sheetName val="商品強化策表紙"/>
      <sheetName val="1北米"/>
      <sheetName val="2欧州"/>
      <sheetName val="3北アジア"/>
      <sheetName val="4アセアン"/>
      <sheetName val="5豪州"/>
      <sheetName val="6中中ア"/>
      <sheetName val="7日本"/>
      <sheetName val="これより右台数フォロー表⇒"/>
      <sheetName val="1北米台数"/>
      <sheetName val="2欧州台数"/>
      <sheetName val="3台湾台数"/>
      <sheetName val="4中国台数"/>
      <sheetName val="5他北アジア台数"/>
      <sheetName val="6ｱｾｱﾝ4台数"/>
      <sheetName val="7他ｱｾｱﾝ台数"/>
      <sheetName val="8豪州台数"/>
      <sheetName val="9中南米台数"/>
      <sheetName val="10中東台数"/>
      <sheetName val="11ｱﾌﾘｶ台数"/>
      <sheetName val="12日本台数"/>
      <sheetName val="13OEM台数"/>
      <sheetName val="Sheet2"/>
    </sheetNames>
    <sheetDataSet>
      <sheetData sheetId="0" refreshError="1"/>
      <sheetData sheetId="1"/>
      <sheetData sheetId="2"/>
      <sheetData sheetId="3" refreshError="1">
        <row r="5">
          <cell r="C5" t="str">
            <v>Chevrolet</v>
          </cell>
          <cell r="D5" t="str">
            <v xml:space="preserve">Tracker 2-door </v>
          </cell>
          <cell r="E5" t="str">
            <v>Chevrolet Tracker</v>
          </cell>
          <cell r="F5">
            <v>11.5</v>
          </cell>
          <cell r="G5">
            <v>34.4</v>
          </cell>
          <cell r="H5">
            <v>30.7</v>
          </cell>
          <cell r="I5">
            <v>32.700000000000003</v>
          </cell>
          <cell r="J5">
            <v>42.3</v>
          </cell>
          <cell r="K5">
            <v>46.5</v>
          </cell>
          <cell r="L5">
            <v>40.9</v>
          </cell>
          <cell r="M5">
            <v>19</v>
          </cell>
          <cell r="N5">
            <v>12.7</v>
          </cell>
          <cell r="O5">
            <v>1.9</v>
          </cell>
          <cell r="P5">
            <v>2.7</v>
          </cell>
          <cell r="Q5">
            <v>4.3</v>
          </cell>
          <cell r="R5">
            <v>3.1</v>
          </cell>
          <cell r="S5">
            <v>3</v>
          </cell>
          <cell r="T5">
            <v>2.7</v>
          </cell>
          <cell r="U5">
            <v>2.5</v>
          </cell>
          <cell r="V5">
            <v>2.1</v>
          </cell>
          <cell r="W5">
            <v>0</v>
          </cell>
          <cell r="X5" t="str">
            <v>S2</v>
          </cell>
          <cell r="Y5" t="str">
            <v>USA-JV</v>
          </cell>
          <cell r="Z5" t="str">
            <v>SZ</v>
          </cell>
          <cell r="AA5" t="str">
            <v>CHE</v>
          </cell>
          <cell r="AB5" t="str">
            <v>TSLSU</v>
          </cell>
          <cell r="AC5" t="str">
            <v>JV</v>
          </cell>
        </row>
        <row r="6">
          <cell r="C6" t="str">
            <v>Chevrolet</v>
          </cell>
          <cell r="D6" t="str">
            <v xml:space="preserve">Tracker 4-door </v>
          </cell>
          <cell r="E6" t="str">
            <v>Chevrolet Tracker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1.1000000000000001</v>
          </cell>
          <cell r="M6">
            <v>28.2</v>
          </cell>
          <cell r="N6">
            <v>20.7</v>
          </cell>
          <cell r="O6">
            <v>18.399999999999999</v>
          </cell>
          <cell r="P6">
            <v>37.299999999999997</v>
          </cell>
          <cell r="Q6">
            <v>43.7</v>
          </cell>
          <cell r="R6">
            <v>36.200000000000003</v>
          </cell>
          <cell r="S6">
            <v>35</v>
          </cell>
          <cell r="T6">
            <v>34</v>
          </cell>
          <cell r="U6">
            <v>32.6</v>
          </cell>
          <cell r="V6">
            <v>29.2</v>
          </cell>
          <cell r="W6">
            <v>41</v>
          </cell>
          <cell r="X6" t="str">
            <v>S4</v>
          </cell>
          <cell r="Y6" t="str">
            <v>USA-JV</v>
          </cell>
          <cell r="Z6" t="str">
            <v>SZ</v>
          </cell>
          <cell r="AA6" t="str">
            <v>CHE</v>
          </cell>
          <cell r="AB6" t="str">
            <v>TSLSU</v>
          </cell>
          <cell r="AC6" t="str">
            <v>JV</v>
          </cell>
        </row>
        <row r="7">
          <cell r="C7" t="str">
            <v>Daewoo</v>
          </cell>
          <cell r="D7" t="str">
            <v>Korando 2-door</v>
          </cell>
          <cell r="E7" t="str">
            <v>Daewoo Korando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4.5</v>
          </cell>
          <cell r="S7">
            <v>6.6</v>
          </cell>
          <cell r="T7">
            <v>6</v>
          </cell>
          <cell r="U7">
            <v>5.9</v>
          </cell>
          <cell r="V7">
            <v>5.8</v>
          </cell>
          <cell r="W7">
            <v>0</v>
          </cell>
          <cell r="X7" t="str">
            <v>S2</v>
          </cell>
          <cell r="Y7" t="str">
            <v>KOR</v>
          </cell>
          <cell r="Z7" t="str">
            <v>DA</v>
          </cell>
          <cell r="AA7" t="str">
            <v>DAE</v>
          </cell>
          <cell r="AB7" t="str">
            <v>TORV</v>
          </cell>
        </row>
        <row r="8">
          <cell r="C8" t="str">
            <v>Daihatsu</v>
          </cell>
          <cell r="D8" t="str">
            <v>Rocky 2-door</v>
          </cell>
          <cell r="E8" t="str">
            <v>Daihatsu Rocky</v>
          </cell>
          <cell r="F8">
            <v>0.3</v>
          </cell>
          <cell r="G8">
            <v>4.4000000000000004</v>
          </cell>
          <cell r="H8">
            <v>2.8</v>
          </cell>
          <cell r="I8">
            <v>2.2999999999999998</v>
          </cell>
          <cell r="X8" t="str">
            <v>S2</v>
          </cell>
          <cell r="Y8" t="str">
            <v>JPN</v>
          </cell>
          <cell r="Z8" t="str">
            <v>DA</v>
          </cell>
          <cell r="AA8" t="str">
            <v>DAI</v>
          </cell>
          <cell r="AB8" t="str">
            <v>TSLSU</v>
          </cell>
          <cell r="AC8" t="str">
            <v>I</v>
          </cell>
        </row>
        <row r="9">
          <cell r="C9" t="str">
            <v>Jeep</v>
          </cell>
          <cell r="D9" t="str">
            <v>Wrangler 2-door</v>
          </cell>
          <cell r="E9" t="str">
            <v>Jeep Wrangler</v>
          </cell>
          <cell r="F9">
            <v>50.7</v>
          </cell>
          <cell r="G9">
            <v>49.9</v>
          </cell>
          <cell r="H9">
            <v>46.5</v>
          </cell>
          <cell r="I9">
            <v>49.7</v>
          </cell>
          <cell r="J9">
            <v>65.599999999999994</v>
          </cell>
          <cell r="K9">
            <v>75</v>
          </cell>
          <cell r="L9">
            <v>66.900000000000006</v>
          </cell>
          <cell r="M9">
            <v>81.400000000000006</v>
          </cell>
          <cell r="N9">
            <v>82</v>
          </cell>
          <cell r="O9">
            <v>83.9</v>
          </cell>
          <cell r="P9">
            <v>89.2</v>
          </cell>
          <cell r="Q9">
            <v>82.3</v>
          </cell>
          <cell r="R9">
            <v>83.9</v>
          </cell>
          <cell r="S9">
            <v>83.4</v>
          </cell>
          <cell r="T9">
            <v>90.8</v>
          </cell>
          <cell r="U9">
            <v>92.4</v>
          </cell>
          <cell r="V9">
            <v>88.7</v>
          </cell>
          <cell r="W9">
            <v>75.8</v>
          </cell>
          <cell r="X9" t="str">
            <v>S2</v>
          </cell>
          <cell r="Y9" t="str">
            <v>USA</v>
          </cell>
          <cell r="Z9" t="str">
            <v>CH</v>
          </cell>
          <cell r="AA9" t="str">
            <v>JEE</v>
          </cell>
          <cell r="AB9" t="str">
            <v>TORV</v>
          </cell>
          <cell r="AC9" t="str">
            <v>D</v>
          </cell>
        </row>
        <row r="10">
          <cell r="C10" t="str">
            <v>Kia</v>
          </cell>
          <cell r="D10" t="str">
            <v>Sportage 2-door</v>
          </cell>
          <cell r="E10" t="str">
            <v>Kia Sportage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1.4</v>
          </cell>
          <cell r="P10">
            <v>3.9</v>
          </cell>
          <cell r="Q10">
            <v>4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S2</v>
          </cell>
          <cell r="Y10" t="str">
            <v>KOR</v>
          </cell>
          <cell r="Z10" t="str">
            <v>KI</v>
          </cell>
          <cell r="AA10" t="str">
            <v>KIA</v>
          </cell>
          <cell r="AB10" t="str">
            <v>TSLSU</v>
          </cell>
          <cell r="AC10" t="str">
            <v>I</v>
          </cell>
        </row>
        <row r="11">
          <cell r="C11" t="str">
            <v>Kia</v>
          </cell>
          <cell r="D11" t="str">
            <v>Sportage 4-door</v>
          </cell>
          <cell r="E11" t="str">
            <v>Kia Sportage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6.9</v>
          </cell>
          <cell r="M11">
            <v>9.9</v>
          </cell>
          <cell r="N11">
            <v>19.899999999999999</v>
          </cell>
          <cell r="O11">
            <v>27.2</v>
          </cell>
          <cell r="P11">
            <v>48.5</v>
          </cell>
          <cell r="Q11">
            <v>58.4</v>
          </cell>
          <cell r="R11">
            <v>49.2</v>
          </cell>
          <cell r="S11">
            <v>43.5</v>
          </cell>
          <cell r="T11">
            <v>42.1</v>
          </cell>
          <cell r="U11">
            <v>43.8</v>
          </cell>
          <cell r="V11">
            <v>41</v>
          </cell>
          <cell r="W11">
            <v>43.1</v>
          </cell>
          <cell r="X11" t="str">
            <v>S4</v>
          </cell>
          <cell r="Y11" t="str">
            <v>KOR</v>
          </cell>
          <cell r="Z11" t="str">
            <v>KI</v>
          </cell>
          <cell r="AA11" t="str">
            <v>KIA</v>
          </cell>
          <cell r="AB11" t="str">
            <v>TSLSU</v>
          </cell>
          <cell r="AC11" t="str">
            <v>I</v>
          </cell>
        </row>
        <row r="12">
          <cell r="C12" t="str">
            <v>Suzuki</v>
          </cell>
          <cell r="D12" t="str">
            <v>Samurai 2-door</v>
          </cell>
          <cell r="E12" t="str">
            <v>Suzuki Samurai</v>
          </cell>
          <cell r="F12">
            <v>5</v>
          </cell>
          <cell r="G12">
            <v>4.9000000000000004</v>
          </cell>
          <cell r="H12">
            <v>4.4000000000000004</v>
          </cell>
          <cell r="I12">
            <v>3.3</v>
          </cell>
          <cell r="J12">
            <v>1.1000000000000001</v>
          </cell>
          <cell r="K12">
            <v>1.3</v>
          </cell>
          <cell r="X12" t="str">
            <v>S2</v>
          </cell>
          <cell r="Y12" t="str">
            <v>JPN</v>
          </cell>
          <cell r="Z12" t="str">
            <v>SZ</v>
          </cell>
          <cell r="AA12" t="str">
            <v>SUZ</v>
          </cell>
          <cell r="AB12" t="str">
            <v>TSLSU</v>
          </cell>
          <cell r="AC12" t="str">
            <v>I</v>
          </cell>
        </row>
        <row r="13">
          <cell r="C13" t="str">
            <v>Suzuki</v>
          </cell>
          <cell r="D13" t="str">
            <v>Vitara 2-door</v>
          </cell>
          <cell r="E13" t="str">
            <v>Suzuki Vitara</v>
          </cell>
          <cell r="F13">
            <v>19.100000000000001</v>
          </cell>
          <cell r="G13">
            <v>9.1</v>
          </cell>
          <cell r="H13">
            <v>7.1</v>
          </cell>
          <cell r="I13">
            <v>7.3</v>
          </cell>
          <cell r="J13">
            <v>5.0999999999999996</v>
          </cell>
          <cell r="K13">
            <v>7.8</v>
          </cell>
          <cell r="L13">
            <v>4.3</v>
          </cell>
          <cell r="M13">
            <v>11.7</v>
          </cell>
          <cell r="N13">
            <v>8.5</v>
          </cell>
          <cell r="O13">
            <v>1.8</v>
          </cell>
          <cell r="P13">
            <v>0.8</v>
          </cell>
          <cell r="Q13">
            <v>0.1</v>
          </cell>
          <cell r="R13">
            <v>1.1000000000000001</v>
          </cell>
          <cell r="S13">
            <v>0.9</v>
          </cell>
          <cell r="T13">
            <v>0.9</v>
          </cell>
          <cell r="U13">
            <v>0.1</v>
          </cell>
          <cell r="X13" t="str">
            <v>S2</v>
          </cell>
          <cell r="Y13" t="str">
            <v>USA-JV</v>
          </cell>
          <cell r="Z13" t="str">
            <v>SZ</v>
          </cell>
          <cell r="AA13" t="str">
            <v>SUZ</v>
          </cell>
          <cell r="AB13" t="str">
            <v>TSLSU</v>
          </cell>
          <cell r="AC13" t="str">
            <v>I</v>
          </cell>
        </row>
        <row r="14">
          <cell r="C14" t="str">
            <v>Suzuki</v>
          </cell>
          <cell r="D14" t="str">
            <v>Vitara/Grand Vitara 4-door</v>
          </cell>
          <cell r="E14" t="str">
            <v>Suzuki Vitara/Grand Vitara</v>
          </cell>
          <cell r="F14">
            <v>0</v>
          </cell>
          <cell r="G14">
            <v>0</v>
          </cell>
          <cell r="H14">
            <v>4.7</v>
          </cell>
          <cell r="I14">
            <v>8.1</v>
          </cell>
          <cell r="J14">
            <v>12.9</v>
          </cell>
          <cell r="K14">
            <v>17.399999999999999</v>
          </cell>
          <cell r="L14">
            <v>17.7</v>
          </cell>
          <cell r="M14">
            <v>11</v>
          </cell>
          <cell r="N14">
            <v>9.4</v>
          </cell>
          <cell r="O14">
            <v>19</v>
          </cell>
          <cell r="P14">
            <v>34.200000000000003</v>
          </cell>
          <cell r="Q14">
            <v>40.5</v>
          </cell>
          <cell r="R14">
            <v>36</v>
          </cell>
          <cell r="S14">
            <v>34.200000000000003</v>
          </cell>
          <cell r="T14">
            <v>30.5</v>
          </cell>
          <cell r="U14">
            <v>26</v>
          </cell>
          <cell r="V14">
            <v>25.2</v>
          </cell>
          <cell r="W14">
            <v>26.6</v>
          </cell>
          <cell r="X14" t="str">
            <v>S4</v>
          </cell>
          <cell r="Y14" t="str">
            <v>JPN/USA</v>
          </cell>
          <cell r="Z14" t="str">
            <v>SZ</v>
          </cell>
          <cell r="AA14" t="str">
            <v>SUZ</v>
          </cell>
          <cell r="AB14" t="str">
            <v>TSLSU</v>
          </cell>
          <cell r="AC14" t="str">
            <v>U</v>
          </cell>
        </row>
        <row r="15">
          <cell r="C15" t="str">
            <v>Suzuki</v>
          </cell>
          <cell r="D15" t="str">
            <v>X90 2-door</v>
          </cell>
          <cell r="E15" t="str">
            <v>Suzuki X-90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0.3</v>
          </cell>
          <cell r="M15">
            <v>3.6</v>
          </cell>
          <cell r="N15">
            <v>2.6</v>
          </cell>
          <cell r="O15">
            <v>0.6</v>
          </cell>
          <cell r="P15">
            <v>0</v>
          </cell>
          <cell r="X15" t="str">
            <v>S2</v>
          </cell>
          <cell r="Y15" t="str">
            <v>JPN</v>
          </cell>
          <cell r="Z15" t="str">
            <v>SZ</v>
          </cell>
          <cell r="AA15" t="str">
            <v>SUZ</v>
          </cell>
          <cell r="AB15" t="str">
            <v>TSLSU</v>
          </cell>
          <cell r="AC15" t="str">
            <v>I</v>
          </cell>
        </row>
        <row r="16">
          <cell r="C16" t="str">
            <v>Toyota</v>
          </cell>
          <cell r="D16" t="str">
            <v>RAV4 2-door</v>
          </cell>
          <cell r="E16" t="str">
            <v>Toyota RAV4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22.5</v>
          </cell>
          <cell r="N16">
            <v>12.6</v>
          </cell>
          <cell r="O16">
            <v>2.1</v>
          </cell>
          <cell r="P16">
            <v>1.1000000000000001</v>
          </cell>
          <cell r="Q16">
            <v>0.2</v>
          </cell>
          <cell r="R16">
            <v>0</v>
          </cell>
          <cell r="X16" t="str">
            <v>S2</v>
          </cell>
          <cell r="Y16" t="str">
            <v>JPN</v>
          </cell>
          <cell r="Z16" t="str">
            <v>TO</v>
          </cell>
          <cell r="AA16" t="str">
            <v>TOY</v>
          </cell>
          <cell r="AB16" t="str">
            <v>TSHSU</v>
          </cell>
          <cell r="AC16" t="str">
            <v>I</v>
          </cell>
        </row>
        <row r="17">
          <cell r="C17" t="str">
            <v>Toyota</v>
          </cell>
          <cell r="D17" t="str">
            <v>RAV4 4-door</v>
          </cell>
          <cell r="E17" t="str">
            <v>Toyota RAV4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34.200000000000003</v>
          </cell>
          <cell r="N17">
            <v>41.2</v>
          </cell>
          <cell r="O17">
            <v>62.8</v>
          </cell>
          <cell r="P17">
            <v>56.1</v>
          </cell>
          <cell r="Q17">
            <v>53.6</v>
          </cell>
          <cell r="R17">
            <v>61.7</v>
          </cell>
          <cell r="S17">
            <v>57</v>
          </cell>
          <cell r="T17">
            <v>50.1</v>
          </cell>
          <cell r="U17">
            <v>43.2</v>
          </cell>
          <cell r="V17">
            <v>47</v>
          </cell>
          <cell r="W17">
            <v>62.3</v>
          </cell>
          <cell r="X17" t="str">
            <v>S4</v>
          </cell>
          <cell r="Y17" t="str">
            <v>JPN</v>
          </cell>
          <cell r="Z17" t="str">
            <v>TO</v>
          </cell>
          <cell r="AA17" t="str">
            <v>TOY</v>
          </cell>
          <cell r="AB17" t="str">
            <v>TSHSU</v>
          </cell>
          <cell r="AC17" t="str">
            <v>I</v>
          </cell>
        </row>
        <row r="19">
          <cell r="C19" t="str">
            <v>Acura</v>
          </cell>
          <cell r="D19" t="str">
            <v>SLX 4-door</v>
          </cell>
          <cell r="E19" t="str">
            <v>Acura SLX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5.8999999999999997E-2</v>
          </cell>
          <cell r="M19">
            <v>2.6</v>
          </cell>
          <cell r="N19">
            <v>1.3</v>
          </cell>
          <cell r="O19">
            <v>1.6</v>
          </cell>
          <cell r="P19">
            <v>0.7</v>
          </cell>
          <cell r="Q19">
            <v>9.9</v>
          </cell>
          <cell r="R19">
            <v>23.9</v>
          </cell>
          <cell r="S19">
            <v>33</v>
          </cell>
          <cell r="T19">
            <v>30.2</v>
          </cell>
          <cell r="U19">
            <v>31.5</v>
          </cell>
          <cell r="V19">
            <v>27.4</v>
          </cell>
          <cell r="W19">
            <v>37.4</v>
          </cell>
          <cell r="X19" t="str">
            <v>S4</v>
          </cell>
          <cell r="Y19" t="str">
            <v>JPN/USA</v>
          </cell>
          <cell r="Z19" t="str">
            <v>IS</v>
          </cell>
          <cell r="AA19" t="str">
            <v>ACU</v>
          </cell>
          <cell r="AB19" t="str">
            <v>TLSU</v>
          </cell>
          <cell r="AC19" t="str">
            <v>I</v>
          </cell>
        </row>
        <row r="20">
          <cell r="C20" t="str">
            <v>Isuzu</v>
          </cell>
          <cell r="D20" t="str">
            <v>Trooper 2-door</v>
          </cell>
          <cell r="E20" t="str">
            <v>Isuzu Trooper</v>
          </cell>
          <cell r="F20">
            <v>2.2999999999999998</v>
          </cell>
          <cell r="G20">
            <v>0.4</v>
          </cell>
          <cell r="H20">
            <v>0</v>
          </cell>
          <cell r="I20">
            <v>0</v>
          </cell>
          <cell r="J20">
            <v>1.1000000000000001</v>
          </cell>
          <cell r="K20">
            <v>1</v>
          </cell>
          <cell r="X20" t="str">
            <v>S2</v>
          </cell>
          <cell r="Y20" t="str">
            <v>JPN</v>
          </cell>
          <cell r="Z20" t="str">
            <v>IS</v>
          </cell>
          <cell r="AA20" t="str">
            <v>ISU</v>
          </cell>
          <cell r="AB20" t="str">
            <v>TNLSU</v>
          </cell>
          <cell r="AC20" t="str">
            <v>I</v>
          </cell>
        </row>
        <row r="21">
          <cell r="C21" t="str">
            <v>Isuzu</v>
          </cell>
          <cell r="D21" t="str">
            <v>Trooper 4-door</v>
          </cell>
          <cell r="E21" t="str">
            <v>Isuzu Trooper</v>
          </cell>
          <cell r="F21">
            <v>47.8</v>
          </cell>
          <cell r="G21">
            <v>41.6</v>
          </cell>
          <cell r="H21">
            <v>26.8</v>
          </cell>
          <cell r="I21">
            <v>13</v>
          </cell>
          <cell r="J21">
            <v>20.7</v>
          </cell>
          <cell r="K21">
            <v>25.9</v>
          </cell>
          <cell r="L21">
            <v>23.9</v>
          </cell>
          <cell r="M21">
            <v>18.5</v>
          </cell>
          <cell r="N21">
            <v>11</v>
          </cell>
          <cell r="O21">
            <v>18.2</v>
          </cell>
          <cell r="P21">
            <v>20.8</v>
          </cell>
          <cell r="Q21">
            <v>23.1</v>
          </cell>
          <cell r="R21">
            <v>13.8</v>
          </cell>
          <cell r="S21">
            <v>11.9</v>
          </cell>
          <cell r="T21">
            <v>15.9</v>
          </cell>
          <cell r="U21">
            <v>20.7</v>
          </cell>
          <cell r="V21">
            <v>18.899999999999999</v>
          </cell>
          <cell r="W21">
            <v>8.3000000000000007</v>
          </cell>
          <cell r="X21" t="str">
            <v>S4</v>
          </cell>
          <cell r="Y21" t="str">
            <v>JPN/USA</v>
          </cell>
          <cell r="Z21" t="str">
            <v>IS</v>
          </cell>
          <cell r="AA21" t="str">
            <v>ISU</v>
          </cell>
          <cell r="AB21" t="str">
            <v>TNLSU</v>
          </cell>
          <cell r="AC21" t="str">
            <v>I</v>
          </cell>
        </row>
        <row r="22">
          <cell r="C22" t="str">
            <v>Land Rover</v>
          </cell>
          <cell r="D22" t="str">
            <v>Defender 110 4-door</v>
          </cell>
          <cell r="E22" t="str">
            <v>Land Rover Defender 110</v>
          </cell>
          <cell r="F22">
            <v>0</v>
          </cell>
          <cell r="G22">
            <v>0</v>
          </cell>
          <cell r="H22">
            <v>0</v>
          </cell>
          <cell r="I22">
            <v>0.4</v>
          </cell>
          <cell r="J22">
            <v>0.2</v>
          </cell>
          <cell r="X22" t="str">
            <v>S4</v>
          </cell>
          <cell r="Y22" t="str">
            <v>GBR</v>
          </cell>
          <cell r="Z22" t="str">
            <v>RO</v>
          </cell>
          <cell r="AA22" t="str">
            <v>ROV</v>
          </cell>
          <cell r="AB22" t="str">
            <v>TORV</v>
          </cell>
          <cell r="AC22" t="str">
            <v>I</v>
          </cell>
        </row>
        <row r="23">
          <cell r="C23" t="str">
            <v>Land Rover</v>
          </cell>
          <cell r="D23" t="str">
            <v>Defender 90 2-door</v>
          </cell>
          <cell r="E23" t="str">
            <v>Land Rover Defender 90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0.2</v>
          </cell>
          <cell r="K23">
            <v>1.5</v>
          </cell>
          <cell r="L23">
            <v>1.5</v>
          </cell>
          <cell r="M23">
            <v>0.6</v>
          </cell>
          <cell r="N23">
            <v>2.5</v>
          </cell>
          <cell r="O23">
            <v>0.1</v>
          </cell>
          <cell r="X23" t="str">
            <v>S2</v>
          </cell>
          <cell r="Y23" t="str">
            <v>GBR</v>
          </cell>
          <cell r="Z23" t="str">
            <v>RO</v>
          </cell>
          <cell r="AA23" t="str">
            <v>ROV</v>
          </cell>
          <cell r="AB23" t="str">
            <v>TORV</v>
          </cell>
          <cell r="AC23" t="str">
            <v>I</v>
          </cell>
        </row>
        <row r="24">
          <cell r="C24" t="str">
            <v>Land Rover</v>
          </cell>
          <cell r="D24" t="str">
            <v xml:space="preserve">Discovery 4-door </v>
          </cell>
          <cell r="E24" t="str">
            <v>Land Rover Discovery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6.5</v>
          </cell>
          <cell r="L24">
            <v>11</v>
          </cell>
          <cell r="M24">
            <v>15.5</v>
          </cell>
          <cell r="N24">
            <v>14.7</v>
          </cell>
          <cell r="O24">
            <v>14.2</v>
          </cell>
          <cell r="P24">
            <v>21.9</v>
          </cell>
          <cell r="Q24">
            <v>20.9</v>
          </cell>
          <cell r="R24">
            <v>19.100000000000001</v>
          </cell>
          <cell r="S24">
            <v>18.5</v>
          </cell>
          <cell r="T24">
            <v>18</v>
          </cell>
          <cell r="U24">
            <v>18</v>
          </cell>
          <cell r="V24">
            <v>15.4</v>
          </cell>
          <cell r="W24">
            <v>19.600000000000001</v>
          </cell>
          <cell r="X24" t="str">
            <v>S4</v>
          </cell>
          <cell r="Y24" t="str">
            <v>GBR</v>
          </cell>
          <cell r="Z24" t="str">
            <v>RO</v>
          </cell>
          <cell r="AA24" t="str">
            <v>ROV</v>
          </cell>
          <cell r="AB24" t="str">
            <v>TNLSU</v>
          </cell>
          <cell r="AC24" t="str">
            <v>I</v>
          </cell>
        </row>
        <row r="25">
          <cell r="C25" t="str">
            <v>Land Rover</v>
          </cell>
          <cell r="D25" t="str">
            <v>Freelander 4-door</v>
          </cell>
          <cell r="E25" t="str">
            <v>Land Rover Freelander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12.3</v>
          </cell>
          <cell r="S25">
            <v>11.6</v>
          </cell>
          <cell r="T25">
            <v>11.5</v>
          </cell>
          <cell r="U25">
            <v>12</v>
          </cell>
          <cell r="V25">
            <v>10.4</v>
          </cell>
          <cell r="W25">
            <v>12.6</v>
          </cell>
          <cell r="X25" t="str">
            <v>S4</v>
          </cell>
          <cell r="Y25" t="str">
            <v>GBR</v>
          </cell>
          <cell r="Z25" t="str">
            <v>RO</v>
          </cell>
          <cell r="AA25" t="str">
            <v>ROV</v>
          </cell>
          <cell r="AB25" t="str">
            <v>TSHSU</v>
          </cell>
          <cell r="AC25" t="str">
            <v>I</v>
          </cell>
        </row>
        <row r="26">
          <cell r="C26" t="str">
            <v>Land Rover</v>
          </cell>
          <cell r="D26" t="str">
            <v>Range Rover 4-door</v>
          </cell>
          <cell r="E26" t="str">
            <v>Land Rover Range Rover</v>
          </cell>
          <cell r="F26">
            <v>4.8</v>
          </cell>
          <cell r="G26">
            <v>4.5999999999999996</v>
          </cell>
          <cell r="H26">
            <v>3.3</v>
          </cell>
          <cell r="I26">
            <v>3.8</v>
          </cell>
          <cell r="J26">
            <v>4.5999999999999996</v>
          </cell>
          <cell r="K26">
            <v>4.0999999999999996</v>
          </cell>
          <cell r="X26" t="str">
            <v>S4</v>
          </cell>
          <cell r="Y26" t="str">
            <v>GBR</v>
          </cell>
          <cell r="Z26" t="str">
            <v>RO</v>
          </cell>
          <cell r="AA26" t="str">
            <v>ROV</v>
          </cell>
          <cell r="AB26" t="str">
            <v>TLSU</v>
          </cell>
          <cell r="AC26" t="str">
            <v>I</v>
          </cell>
        </row>
        <row r="27">
          <cell r="C27" t="str">
            <v>Land Rover</v>
          </cell>
          <cell r="D27" t="str">
            <v xml:space="preserve">Range Rover 4.0/4.6 SE 4-door </v>
          </cell>
          <cell r="E27" t="str">
            <v>Land Rover Range Rover4.0/4.6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6.5</v>
          </cell>
          <cell r="M27">
            <v>7.1</v>
          </cell>
          <cell r="N27">
            <v>6.6</v>
          </cell>
          <cell r="O27">
            <v>7.1</v>
          </cell>
          <cell r="P27">
            <v>7.4</v>
          </cell>
          <cell r="Q27">
            <v>6.3</v>
          </cell>
          <cell r="R27">
            <v>6</v>
          </cell>
          <cell r="S27">
            <v>7.2</v>
          </cell>
          <cell r="T27">
            <v>7.4</v>
          </cell>
          <cell r="U27">
            <v>7</v>
          </cell>
          <cell r="V27">
            <v>6.6</v>
          </cell>
          <cell r="W27">
            <v>6.9</v>
          </cell>
          <cell r="X27" t="str">
            <v>S4</v>
          </cell>
          <cell r="Y27" t="str">
            <v>GBR</v>
          </cell>
          <cell r="Z27" t="str">
            <v>RO</v>
          </cell>
          <cell r="AA27" t="str">
            <v>ROV</v>
          </cell>
          <cell r="AB27" t="str">
            <v>TLSU</v>
          </cell>
          <cell r="AC27" t="str">
            <v>I</v>
          </cell>
        </row>
        <row r="28">
          <cell r="C28" t="str">
            <v>Lexus</v>
          </cell>
          <cell r="D28" t="str">
            <v xml:space="preserve">LX 470 4-door </v>
          </cell>
          <cell r="E28" t="str">
            <v>Lexus LX 470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7.5</v>
          </cell>
          <cell r="N28">
            <v>6.8</v>
          </cell>
          <cell r="O28">
            <v>11</v>
          </cell>
          <cell r="P28">
            <v>15.7</v>
          </cell>
          <cell r="Q28">
            <v>14.7</v>
          </cell>
          <cell r="R28">
            <v>14.3</v>
          </cell>
          <cell r="S28">
            <v>13.6</v>
          </cell>
          <cell r="T28">
            <v>12.9</v>
          </cell>
          <cell r="U28">
            <v>12</v>
          </cell>
          <cell r="V28">
            <v>8.8000000000000007</v>
          </cell>
          <cell r="W28">
            <v>10.7</v>
          </cell>
          <cell r="X28" t="str">
            <v>S4</v>
          </cell>
          <cell r="Y28" t="str">
            <v>JPN</v>
          </cell>
          <cell r="Z28" t="str">
            <v>TO</v>
          </cell>
          <cell r="AA28" t="str">
            <v>TOY</v>
          </cell>
          <cell r="AB28" t="str">
            <v>TLSU</v>
          </cell>
          <cell r="AC28" t="str">
            <v>I</v>
          </cell>
        </row>
        <row r="29">
          <cell r="C29" t="str">
            <v>Mercedes-Benz</v>
          </cell>
          <cell r="D29" t="str">
            <v>M-Class 4-door</v>
          </cell>
          <cell r="E29" t="str">
            <v>Mercedes-Benz M-Class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14.6</v>
          </cell>
          <cell r="O29">
            <v>43.1</v>
          </cell>
          <cell r="P29">
            <v>45.2</v>
          </cell>
          <cell r="Q29">
            <v>52.8</v>
          </cell>
          <cell r="R29">
            <v>44.8</v>
          </cell>
          <cell r="S29">
            <v>38.700000000000003</v>
          </cell>
          <cell r="T29">
            <v>46</v>
          </cell>
          <cell r="U29">
            <v>47.7</v>
          </cell>
          <cell r="V29">
            <v>47.2</v>
          </cell>
          <cell r="W29">
            <v>50.1</v>
          </cell>
          <cell r="X29" t="str">
            <v>S4</v>
          </cell>
          <cell r="Y29" t="str">
            <v>USAG</v>
          </cell>
          <cell r="Z29" t="str">
            <v>MB</v>
          </cell>
          <cell r="AA29" t="str">
            <v>MEB</v>
          </cell>
          <cell r="AB29" t="str">
            <v>TLSU</v>
          </cell>
          <cell r="AC29" t="str">
            <v>U</v>
          </cell>
        </row>
        <row r="30">
          <cell r="C30" t="str">
            <v>Mitsubishi</v>
          </cell>
          <cell r="D30" t="str">
            <v>Montero 2-door</v>
          </cell>
          <cell r="E30" t="str">
            <v>Mitsubishi Montero</v>
          </cell>
          <cell r="F30">
            <v>1.9</v>
          </cell>
          <cell r="G30">
            <v>0.7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X30" t="str">
            <v>S2</v>
          </cell>
          <cell r="Y30" t="str">
            <v>JPN</v>
          </cell>
          <cell r="Z30" t="str">
            <v>MI</v>
          </cell>
          <cell r="AA30" t="str">
            <v>MIT</v>
          </cell>
          <cell r="AB30" t="str">
            <v>TNLSU</v>
          </cell>
          <cell r="AC30" t="str">
            <v>I</v>
          </cell>
        </row>
        <row r="31">
          <cell r="C31" t="str">
            <v>Mitsubishi</v>
          </cell>
          <cell r="D31" t="str">
            <v>Montero 4-door</v>
          </cell>
          <cell r="E31" t="str">
            <v>Mitsubishi Montero</v>
          </cell>
          <cell r="F31">
            <v>12.2</v>
          </cell>
          <cell r="G31">
            <v>14.2</v>
          </cell>
          <cell r="H31">
            <v>10.6</v>
          </cell>
          <cell r="I31">
            <v>6.7</v>
          </cell>
          <cell r="J31">
            <v>9.3000000000000007</v>
          </cell>
          <cell r="K31">
            <v>15.9</v>
          </cell>
          <cell r="L31">
            <v>15.9</v>
          </cell>
          <cell r="M31">
            <v>12.1</v>
          </cell>
          <cell r="N31">
            <v>6.9</v>
          </cell>
          <cell r="O31">
            <v>4.0999999999999996</v>
          </cell>
          <cell r="P31">
            <v>5.0999999999999996</v>
          </cell>
          <cell r="Q31">
            <v>21.6</v>
          </cell>
          <cell r="R31">
            <v>8.1</v>
          </cell>
          <cell r="S31">
            <v>7.5</v>
          </cell>
          <cell r="T31">
            <v>6.7</v>
          </cell>
          <cell r="U31">
            <v>6</v>
          </cell>
          <cell r="V31">
            <v>5.2</v>
          </cell>
          <cell r="W31">
            <v>12</v>
          </cell>
          <cell r="X31" t="str">
            <v>S4</v>
          </cell>
          <cell r="Y31" t="str">
            <v>JPN</v>
          </cell>
          <cell r="Z31" t="str">
            <v>MI</v>
          </cell>
          <cell r="AA31" t="str">
            <v>MIT</v>
          </cell>
          <cell r="AB31" t="str">
            <v>TNLSU</v>
          </cell>
          <cell r="AC31" t="str">
            <v>I</v>
          </cell>
        </row>
        <row r="32">
          <cell r="C32" t="str">
            <v>Toyota</v>
          </cell>
          <cell r="D32" t="str">
            <v>Land Cruiser 4-door</v>
          </cell>
          <cell r="E32" t="str">
            <v>Toyota Land Cruiser</v>
          </cell>
          <cell r="F32">
            <v>5.0999999999999996</v>
          </cell>
          <cell r="G32">
            <v>6.2</v>
          </cell>
          <cell r="H32">
            <v>8.5</v>
          </cell>
          <cell r="I32">
            <v>7.9</v>
          </cell>
          <cell r="J32">
            <v>9</v>
          </cell>
          <cell r="K32">
            <v>11.1</v>
          </cell>
          <cell r="L32">
            <v>14</v>
          </cell>
          <cell r="M32">
            <v>12.9</v>
          </cell>
          <cell r="N32">
            <v>11.5</v>
          </cell>
          <cell r="O32">
            <v>14.3</v>
          </cell>
          <cell r="P32">
            <v>18.600000000000001</v>
          </cell>
          <cell r="Q32">
            <v>15.5</v>
          </cell>
          <cell r="R32">
            <v>15.3</v>
          </cell>
          <cell r="S32">
            <v>14.4</v>
          </cell>
          <cell r="T32">
            <v>17.7</v>
          </cell>
          <cell r="U32">
            <v>16.5</v>
          </cell>
          <cell r="V32">
            <v>14.9</v>
          </cell>
          <cell r="W32">
            <v>10.5</v>
          </cell>
          <cell r="X32" t="str">
            <v>S4</v>
          </cell>
          <cell r="Y32" t="str">
            <v>JPN</v>
          </cell>
          <cell r="Z32" t="str">
            <v>TO</v>
          </cell>
          <cell r="AA32" t="str">
            <v>TOY</v>
          </cell>
          <cell r="AB32" t="str">
            <v>TNLSU</v>
          </cell>
          <cell r="AC32" t="str">
            <v>I</v>
          </cell>
        </row>
        <row r="33">
          <cell r="C33" t="str">
            <v>Volvo</v>
          </cell>
          <cell r="D33" t="str">
            <v>SUV</v>
          </cell>
          <cell r="E33" t="str">
            <v>Volvo SUV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2.4</v>
          </cell>
          <cell r="T33">
            <v>15.3</v>
          </cell>
          <cell r="U33">
            <v>14.9</v>
          </cell>
          <cell r="V33">
            <v>15.3</v>
          </cell>
          <cell r="W33">
            <v>15.3</v>
          </cell>
          <cell r="X33" t="str">
            <v>S4</v>
          </cell>
          <cell r="Y33" t="str">
            <v>USAS</v>
          </cell>
          <cell r="Z33" t="str">
            <v>VO</v>
          </cell>
          <cell r="AA33" t="str">
            <v>VOL</v>
          </cell>
          <cell r="AB33" t="str">
            <v>TLSU</v>
          </cell>
          <cell r="AC33" t="str">
            <v>U</v>
          </cell>
        </row>
        <row r="35">
          <cell r="C35" t="str">
            <v>Buick</v>
          </cell>
          <cell r="D35" t="str">
            <v>Buick Rendezvous 4-door</v>
          </cell>
          <cell r="E35" t="str">
            <v>Buick Rendezvous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9.1999999999999993</v>
          </cell>
          <cell r="S35">
            <v>32.200000000000003</v>
          </cell>
          <cell r="T35">
            <v>34</v>
          </cell>
          <cell r="U35">
            <v>37.299999999999997</v>
          </cell>
          <cell r="V35">
            <v>31.9</v>
          </cell>
          <cell r="W35">
            <v>62.4</v>
          </cell>
          <cell r="X35" t="str">
            <v>S4</v>
          </cell>
          <cell r="Y35" t="str">
            <v>USA</v>
          </cell>
          <cell r="Z35" t="str">
            <v>GM</v>
          </cell>
          <cell r="AA35" t="str">
            <v>BUI</v>
          </cell>
          <cell r="AB35" t="str">
            <v>TNLSU</v>
          </cell>
          <cell r="AC35" t="str">
            <v>D</v>
          </cell>
        </row>
        <row r="36">
          <cell r="C36" t="str">
            <v>Ford</v>
          </cell>
          <cell r="D36" t="str">
            <v>C212 4-door</v>
          </cell>
          <cell r="E36" t="str">
            <v>Ford C212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 t="str">
            <v>S4</v>
          </cell>
          <cell r="Y36" t="str">
            <v>USA</v>
          </cell>
          <cell r="Z36" t="str">
            <v>FO</v>
          </cell>
          <cell r="AA36" t="str">
            <v>FOR</v>
          </cell>
          <cell r="AB36" t="str">
            <v>TSHSU</v>
          </cell>
          <cell r="AC36" t="str">
            <v>D</v>
          </cell>
        </row>
        <row r="37">
          <cell r="C37" t="str">
            <v>Ford</v>
          </cell>
          <cell r="D37" t="str">
            <v>Escape 4-door</v>
          </cell>
          <cell r="E37" t="str">
            <v>Ford Escape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42.6</v>
          </cell>
          <cell r="R37">
            <v>128.5</v>
          </cell>
          <cell r="S37">
            <v>139</v>
          </cell>
          <cell r="T37">
            <v>128.9</v>
          </cell>
          <cell r="U37">
            <v>127.2</v>
          </cell>
          <cell r="V37">
            <v>122.9</v>
          </cell>
          <cell r="W37">
            <v>200.6</v>
          </cell>
          <cell r="X37" t="str">
            <v>S4</v>
          </cell>
          <cell r="Y37" t="str">
            <v>USA</v>
          </cell>
          <cell r="Z37" t="str">
            <v>FO</v>
          </cell>
          <cell r="AA37" t="str">
            <v>FOR</v>
          </cell>
          <cell r="AB37" t="str">
            <v>TMLSU</v>
          </cell>
          <cell r="AC37" t="str">
            <v>D</v>
          </cell>
        </row>
        <row r="38">
          <cell r="C38" t="str">
            <v>Honda</v>
          </cell>
          <cell r="D38" t="str">
            <v>CR-V 4-door</v>
          </cell>
          <cell r="E38" t="str">
            <v>Honda CR-V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66.8</v>
          </cell>
          <cell r="O38">
            <v>100.6</v>
          </cell>
          <cell r="P38">
            <v>120.8</v>
          </cell>
          <cell r="Q38">
            <v>118.3</v>
          </cell>
          <cell r="R38">
            <v>107</v>
          </cell>
          <cell r="S38">
            <v>126.5</v>
          </cell>
          <cell r="T38">
            <v>120</v>
          </cell>
          <cell r="U38">
            <v>122.1</v>
          </cell>
          <cell r="V38">
            <v>116</v>
          </cell>
          <cell r="W38">
            <v>100.4</v>
          </cell>
          <cell r="X38" t="str">
            <v>S4</v>
          </cell>
          <cell r="Y38" t="str">
            <v>JPN</v>
          </cell>
          <cell r="Z38" t="str">
            <v>HO</v>
          </cell>
          <cell r="AA38" t="str">
            <v>HON</v>
          </cell>
          <cell r="AB38" t="str">
            <v>TSHSU</v>
          </cell>
          <cell r="AC38" t="str">
            <v>I</v>
          </cell>
        </row>
        <row r="39">
          <cell r="C39" t="str">
            <v>Hyundai</v>
          </cell>
          <cell r="D39" t="str">
            <v>Santa Fe 4-door</v>
          </cell>
          <cell r="E39" t="str">
            <v>Hyundai Santa Fe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10.3</v>
          </cell>
          <cell r="R39">
            <v>24</v>
          </cell>
          <cell r="S39">
            <v>30.9</v>
          </cell>
          <cell r="T39">
            <v>36.4</v>
          </cell>
          <cell r="U39">
            <v>33.700000000000003</v>
          </cell>
          <cell r="V39">
            <v>29.9</v>
          </cell>
          <cell r="W39">
            <v>51.6</v>
          </cell>
          <cell r="X39" t="str">
            <v>S4</v>
          </cell>
          <cell r="Y39" t="str">
            <v>KOR</v>
          </cell>
          <cell r="Z39" t="str">
            <v>HY</v>
          </cell>
          <cell r="AA39" t="str">
            <v>HYU</v>
          </cell>
          <cell r="AB39" t="str">
            <v>TSHSU</v>
          </cell>
          <cell r="AC39" t="str">
            <v>I</v>
          </cell>
        </row>
        <row r="40">
          <cell r="C40" t="str">
            <v>Jeep</v>
          </cell>
          <cell r="D40" t="str">
            <v>Cherokee 2-door</v>
          </cell>
          <cell r="E40" t="str">
            <v>Jeep Cherokee</v>
          </cell>
          <cell r="F40">
            <v>22</v>
          </cell>
          <cell r="G40">
            <v>19</v>
          </cell>
          <cell r="H40">
            <v>13.3</v>
          </cell>
          <cell r="I40">
            <v>13.6</v>
          </cell>
          <cell r="J40">
            <v>20.5</v>
          </cell>
          <cell r="K40">
            <v>19.3</v>
          </cell>
          <cell r="L40">
            <v>15.6</v>
          </cell>
          <cell r="M40">
            <v>26.4</v>
          </cell>
          <cell r="N40">
            <v>20.8</v>
          </cell>
          <cell r="O40">
            <v>21.4</v>
          </cell>
          <cell r="P40">
            <v>28.1</v>
          </cell>
          <cell r="Q40">
            <v>21.3</v>
          </cell>
          <cell r="R40">
            <v>15.1</v>
          </cell>
          <cell r="S40">
            <v>0.4</v>
          </cell>
          <cell r="X40" t="str">
            <v>S2</v>
          </cell>
          <cell r="Y40" t="str">
            <v>USA</v>
          </cell>
          <cell r="Z40" t="str">
            <v>CH</v>
          </cell>
          <cell r="AA40" t="str">
            <v>JEE</v>
          </cell>
          <cell r="AB40" t="str">
            <v>TMLSU</v>
          </cell>
          <cell r="AC40" t="str">
            <v>D</v>
          </cell>
        </row>
        <row r="41">
          <cell r="C41" t="str">
            <v>Jeep</v>
          </cell>
          <cell r="D41" t="str">
            <v>Cherokee 4-door</v>
          </cell>
          <cell r="E41" t="str">
            <v>Jeep Cherokee</v>
          </cell>
          <cell r="F41">
            <v>134.1</v>
          </cell>
          <cell r="G41">
            <v>105.9</v>
          </cell>
          <cell r="H41">
            <v>108.2</v>
          </cell>
          <cell r="I41">
            <v>115.4</v>
          </cell>
          <cell r="J41">
            <v>104.9</v>
          </cell>
          <cell r="K41">
            <v>103.7</v>
          </cell>
          <cell r="L41">
            <v>97.3</v>
          </cell>
          <cell r="M41">
            <v>122.1</v>
          </cell>
          <cell r="N41">
            <v>109.2</v>
          </cell>
          <cell r="O41">
            <v>124.9</v>
          </cell>
          <cell r="P41">
            <v>137.19999999999999</v>
          </cell>
          <cell r="Q41">
            <v>120.2</v>
          </cell>
          <cell r="R41">
            <v>120</v>
          </cell>
          <cell r="S41">
            <v>139.6</v>
          </cell>
          <cell r="T41">
            <v>159.1</v>
          </cell>
          <cell r="U41">
            <v>152.19999999999999</v>
          </cell>
          <cell r="V41">
            <v>144.9</v>
          </cell>
          <cell r="W41">
            <v>152.69999999999999</v>
          </cell>
          <cell r="X41" t="str">
            <v>S4</v>
          </cell>
          <cell r="Y41" t="str">
            <v>USA</v>
          </cell>
          <cell r="Z41" t="str">
            <v>CH</v>
          </cell>
          <cell r="AA41" t="str">
            <v>JEE</v>
          </cell>
          <cell r="AB41" t="str">
            <v>TMLSU</v>
          </cell>
          <cell r="AC41" t="str">
            <v>D</v>
          </cell>
        </row>
        <row r="42">
          <cell r="C42" t="str">
            <v>Jeep</v>
          </cell>
          <cell r="D42" t="str">
            <v>Wagoneer 2-door</v>
          </cell>
          <cell r="E42" t="str">
            <v>Jeep Wagoneer</v>
          </cell>
          <cell r="F42">
            <v>6.5</v>
          </cell>
          <cell r="G42">
            <v>3.8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X42" t="str">
            <v>S2</v>
          </cell>
          <cell r="Y42" t="str">
            <v>USA</v>
          </cell>
          <cell r="Z42" t="str">
            <v>CH</v>
          </cell>
          <cell r="AA42" t="str">
            <v>JEE</v>
          </cell>
          <cell r="AB42" t="str">
            <v>TMLSU</v>
          </cell>
          <cell r="AC42" t="str">
            <v>D</v>
          </cell>
        </row>
        <row r="43">
          <cell r="C43" t="str">
            <v>Mazda</v>
          </cell>
          <cell r="D43" t="str">
            <v>Tribute  4-door</v>
          </cell>
          <cell r="E43" t="str">
            <v>Mazda Tribute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21</v>
          </cell>
          <cell r="R43">
            <v>35</v>
          </cell>
          <cell r="S43">
            <v>29.7</v>
          </cell>
          <cell r="T43">
            <v>33</v>
          </cell>
          <cell r="U43">
            <v>35.5</v>
          </cell>
          <cell r="V43">
            <v>31.3</v>
          </cell>
          <cell r="W43">
            <v>38.799999999999997</v>
          </cell>
          <cell r="X43" t="str">
            <v>S4</v>
          </cell>
          <cell r="Y43" t="str">
            <v>USAJ</v>
          </cell>
          <cell r="Z43" t="str">
            <v>FO</v>
          </cell>
          <cell r="AA43" t="str">
            <v>MAZ</v>
          </cell>
          <cell r="AB43" t="str">
            <v>TMLSU</v>
          </cell>
          <cell r="AC43" t="str">
            <v>U</v>
          </cell>
        </row>
        <row r="44">
          <cell r="C44" t="str">
            <v>Mercury</v>
          </cell>
          <cell r="D44" t="str">
            <v>MAV 4-door (C212)</v>
          </cell>
          <cell r="E44" t="str">
            <v>Mercury MAV (C212)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S4</v>
          </cell>
          <cell r="Y44" t="str">
            <v>USA</v>
          </cell>
          <cell r="Z44" t="str">
            <v>FO</v>
          </cell>
          <cell r="AA44" t="str">
            <v>FOR</v>
          </cell>
          <cell r="AB44" t="str">
            <v>TSHSU</v>
          </cell>
          <cell r="AC44" t="str">
            <v>D</v>
          </cell>
        </row>
        <row r="45">
          <cell r="C45" t="str">
            <v>Mitsubishi</v>
          </cell>
          <cell r="D45" t="str">
            <v>Galant-based SUV</v>
          </cell>
          <cell r="E45" t="str">
            <v>Mitsubishi Galant-Based SUV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3.2</v>
          </cell>
          <cell r="W45">
            <v>3.2</v>
          </cell>
          <cell r="X45" t="str">
            <v>S4</v>
          </cell>
          <cell r="Y45" t="str">
            <v>JPN/USA</v>
          </cell>
          <cell r="Z45" t="str">
            <v>MI</v>
          </cell>
          <cell r="AA45" t="str">
            <v>MIT</v>
          </cell>
          <cell r="AB45" t="str">
            <v>TSLSU</v>
          </cell>
          <cell r="AC45" t="str">
            <v>U</v>
          </cell>
        </row>
        <row r="46">
          <cell r="C46" t="str">
            <v>Oldsmobile</v>
          </cell>
          <cell r="D46" t="str">
            <v>Small SUV 4-door (GMT316)</v>
          </cell>
          <cell r="E46" t="str">
            <v>Oldsmobile SSUV (GMT316)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 t="str">
            <v>S4</v>
          </cell>
          <cell r="Y46" t="str">
            <v>USA</v>
          </cell>
          <cell r="Z46" t="str">
            <v>GM</v>
          </cell>
          <cell r="AA46" t="str">
            <v>OLD</v>
          </cell>
          <cell r="AB46" t="str">
            <v>TSHSU</v>
          </cell>
          <cell r="AC46" t="str">
            <v>D</v>
          </cell>
        </row>
        <row r="47">
          <cell r="C47" t="str">
            <v>Pontiac</v>
          </cell>
          <cell r="D47" t="str">
            <v xml:space="preserve">Aztek 4-door </v>
          </cell>
          <cell r="E47" t="str">
            <v>Pontiac Aztek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11.2</v>
          </cell>
          <cell r="R47">
            <v>67.8</v>
          </cell>
          <cell r="S47">
            <v>57.6</v>
          </cell>
          <cell r="T47">
            <v>60.1</v>
          </cell>
          <cell r="U47">
            <v>53.3</v>
          </cell>
          <cell r="V47">
            <v>50.5</v>
          </cell>
          <cell r="W47">
            <v>25.7</v>
          </cell>
          <cell r="X47" t="str">
            <v>S4</v>
          </cell>
          <cell r="Y47" t="str">
            <v>USA</v>
          </cell>
          <cell r="Z47" t="str">
            <v>GM</v>
          </cell>
          <cell r="AA47" t="str">
            <v>PON</v>
          </cell>
          <cell r="AB47" t="str">
            <v>TMHSU</v>
          </cell>
          <cell r="AC47" t="str">
            <v>D</v>
          </cell>
        </row>
        <row r="48">
          <cell r="C48" t="str">
            <v>Saturn</v>
          </cell>
          <cell r="D48" t="str">
            <v>Saturn SLV 4-door (GMT315)</v>
          </cell>
          <cell r="E48" t="str">
            <v>Saturn SLV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46.4</v>
          </cell>
          <cell r="S48">
            <v>100.8</v>
          </cell>
          <cell r="T48">
            <v>116.9</v>
          </cell>
          <cell r="U48">
            <v>113</v>
          </cell>
          <cell r="V48">
            <v>115.5</v>
          </cell>
          <cell r="W48">
            <v>115.5</v>
          </cell>
          <cell r="X48" t="str">
            <v>S4</v>
          </cell>
          <cell r="Y48" t="str">
            <v>USA</v>
          </cell>
          <cell r="Z48" t="str">
            <v>GM</v>
          </cell>
          <cell r="AA48" t="str">
            <v>SAT</v>
          </cell>
          <cell r="AB48" t="str">
            <v>TSHSU</v>
          </cell>
          <cell r="AC48" t="str">
            <v>D</v>
          </cell>
        </row>
        <row r="49">
          <cell r="C49" t="str">
            <v>Subaru</v>
          </cell>
          <cell r="D49" t="str">
            <v>Forester 4-door</v>
          </cell>
          <cell r="E49" t="str">
            <v>Subaru Forester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16</v>
          </cell>
          <cell r="O49">
            <v>40.1</v>
          </cell>
          <cell r="P49">
            <v>50.2</v>
          </cell>
          <cell r="Q49">
            <v>56.6</v>
          </cell>
          <cell r="R49">
            <v>44.9</v>
          </cell>
          <cell r="S49">
            <v>39</v>
          </cell>
          <cell r="T49">
            <v>50.2</v>
          </cell>
          <cell r="U49">
            <v>48.6</v>
          </cell>
          <cell r="V49">
            <v>44.9</v>
          </cell>
          <cell r="W49">
            <v>52.1</v>
          </cell>
          <cell r="X49" t="str">
            <v>S4</v>
          </cell>
          <cell r="Y49" t="str">
            <v>JPN</v>
          </cell>
          <cell r="Z49" t="str">
            <v>SU</v>
          </cell>
          <cell r="AA49" t="str">
            <v>SUB</v>
          </cell>
          <cell r="AB49" t="str">
            <v>TSHSU</v>
          </cell>
          <cell r="AC49" t="str">
            <v>I</v>
          </cell>
        </row>
        <row r="51">
          <cell r="C51" t="str">
            <v>BMW</v>
          </cell>
          <cell r="D51" t="str">
            <v>X5 4-door</v>
          </cell>
          <cell r="E51" t="str">
            <v>BMW X5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1.3</v>
          </cell>
          <cell r="Q51">
            <v>26.7</v>
          </cell>
          <cell r="R51">
            <v>33.5</v>
          </cell>
          <cell r="S51">
            <v>31.9</v>
          </cell>
          <cell r="T51">
            <v>29.8</v>
          </cell>
          <cell r="U51">
            <v>31.7</v>
          </cell>
          <cell r="V51">
            <v>29.1</v>
          </cell>
          <cell r="W51">
            <v>35.6</v>
          </cell>
          <cell r="X51" t="str">
            <v>S4</v>
          </cell>
          <cell r="Y51" t="str">
            <v>GER</v>
          </cell>
          <cell r="Z51" t="str">
            <v>BMW</v>
          </cell>
          <cell r="AA51" t="str">
            <v>BMW</v>
          </cell>
          <cell r="AB51" t="str">
            <v>TLSU</v>
          </cell>
          <cell r="AC51" t="str">
            <v>I</v>
          </cell>
        </row>
        <row r="52">
          <cell r="C52" t="str">
            <v>Chevrolet</v>
          </cell>
          <cell r="D52" t="str">
            <v>S-Series Blazer 2-door</v>
          </cell>
          <cell r="E52" t="str">
            <v>Chevrolet S-Series Blazer</v>
          </cell>
          <cell r="F52">
            <v>178.7</v>
          </cell>
          <cell r="G52">
            <v>102.9</v>
          </cell>
          <cell r="H52">
            <v>55.9</v>
          </cell>
          <cell r="I52">
            <v>54.8</v>
          </cell>
          <cell r="J52">
            <v>25.2</v>
          </cell>
          <cell r="K52">
            <v>23.9</v>
          </cell>
          <cell r="L52">
            <v>29.1</v>
          </cell>
          <cell r="M52">
            <v>22</v>
          </cell>
          <cell r="N52">
            <v>15.5</v>
          </cell>
          <cell r="O52">
            <v>16.899999999999999</v>
          </cell>
          <cell r="P52">
            <v>20.5</v>
          </cell>
          <cell r="Q52">
            <v>18.899999999999999</v>
          </cell>
          <cell r="R52">
            <v>8.1</v>
          </cell>
          <cell r="S52">
            <v>0.4</v>
          </cell>
          <cell r="X52" t="str">
            <v>S2</v>
          </cell>
          <cell r="Y52" t="str">
            <v>USA</v>
          </cell>
          <cell r="Z52" t="str">
            <v>GM</v>
          </cell>
          <cell r="AA52" t="str">
            <v>CHE</v>
          </cell>
          <cell r="AB52" t="str">
            <v>TMHSU</v>
          </cell>
          <cell r="AC52" t="str">
            <v>D</v>
          </cell>
        </row>
        <row r="53">
          <cell r="C53" t="str">
            <v>Chevrolet</v>
          </cell>
          <cell r="D53" t="str">
            <v>S-Series Blazer 4-door</v>
          </cell>
          <cell r="E53" t="str">
            <v>Chevrolet S-Series Blazer</v>
          </cell>
          <cell r="F53">
            <v>0</v>
          </cell>
          <cell r="G53">
            <v>44.1</v>
          </cell>
          <cell r="H53">
            <v>67.400000000000006</v>
          </cell>
          <cell r="I53">
            <v>92.9</v>
          </cell>
          <cell r="J53">
            <v>142.19999999999999</v>
          </cell>
          <cell r="K53">
            <v>169.8</v>
          </cell>
          <cell r="L53">
            <v>193.8</v>
          </cell>
          <cell r="M53">
            <v>224.3</v>
          </cell>
          <cell r="N53">
            <v>205.9</v>
          </cell>
          <cell r="O53">
            <v>202.8</v>
          </cell>
          <cell r="P53">
            <v>211.6</v>
          </cell>
          <cell r="Q53">
            <v>207</v>
          </cell>
          <cell r="R53">
            <v>181.9</v>
          </cell>
          <cell r="S53">
            <v>219.3</v>
          </cell>
          <cell r="T53">
            <v>225.6</v>
          </cell>
          <cell r="U53">
            <v>200</v>
          </cell>
          <cell r="V53">
            <v>189.8</v>
          </cell>
          <cell r="W53">
            <v>185.4</v>
          </cell>
          <cell r="X53" t="str">
            <v>S4</v>
          </cell>
          <cell r="Y53" t="str">
            <v>USA</v>
          </cell>
          <cell r="Z53" t="str">
            <v>GM</v>
          </cell>
          <cell r="AA53" t="str">
            <v>CHE</v>
          </cell>
          <cell r="AB53" t="str">
            <v>TMHSU</v>
          </cell>
          <cell r="AC53" t="str">
            <v>D</v>
          </cell>
        </row>
        <row r="54">
          <cell r="C54" t="str">
            <v>Dodge</v>
          </cell>
          <cell r="D54" t="str">
            <v>Durango 4-door</v>
          </cell>
          <cell r="E54" t="str">
            <v>Dodge Durango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20.3</v>
          </cell>
          <cell r="O54">
            <v>156.9</v>
          </cell>
          <cell r="P54">
            <v>189.8</v>
          </cell>
          <cell r="Q54">
            <v>173.6</v>
          </cell>
          <cell r="R54">
            <v>159.9</v>
          </cell>
          <cell r="S54">
            <v>153.6</v>
          </cell>
          <cell r="T54">
            <v>159</v>
          </cell>
          <cell r="U54">
            <v>174.5</v>
          </cell>
          <cell r="V54">
            <v>181.1</v>
          </cell>
          <cell r="W54">
            <v>166.9</v>
          </cell>
          <cell r="X54" t="str">
            <v>S4</v>
          </cell>
          <cell r="Y54" t="str">
            <v>USA</v>
          </cell>
          <cell r="Z54" t="str">
            <v>CH</v>
          </cell>
          <cell r="AA54" t="str">
            <v>DOD</v>
          </cell>
          <cell r="AB54" t="str">
            <v>TMHSU</v>
          </cell>
          <cell r="AC54" t="str">
            <v>D</v>
          </cell>
        </row>
        <row r="55">
          <cell r="C55" t="str">
            <v>Dodge</v>
          </cell>
          <cell r="D55" t="str">
            <v>Dodge Raider 2-door</v>
          </cell>
          <cell r="E55" t="str">
            <v>Raider</v>
          </cell>
          <cell r="F55">
            <v>9</v>
          </cell>
          <cell r="G55">
            <v>1</v>
          </cell>
          <cell r="X55" t="str">
            <v>S2</v>
          </cell>
          <cell r="Y55" t="str">
            <v>JPNC</v>
          </cell>
          <cell r="Z55" t="str">
            <v>MI</v>
          </cell>
          <cell r="AA55" t="str">
            <v>DOG</v>
          </cell>
          <cell r="AB55" t="str">
            <v>TMLSU</v>
          </cell>
          <cell r="AC55" t="str">
            <v>C</v>
          </cell>
        </row>
        <row r="56">
          <cell r="C56" t="str">
            <v>Ford</v>
          </cell>
          <cell r="D56" t="str">
            <v>Explorer 2-door</v>
          </cell>
          <cell r="E56" t="str">
            <v>Ford Explorer</v>
          </cell>
          <cell r="F56">
            <v>109</v>
          </cell>
          <cell r="G56">
            <v>58.7</v>
          </cell>
          <cell r="H56">
            <v>30.9</v>
          </cell>
          <cell r="I56">
            <v>41.6</v>
          </cell>
          <cell r="J56">
            <v>39.1</v>
          </cell>
          <cell r="K56">
            <v>33.9</v>
          </cell>
          <cell r="L56">
            <v>47.9</v>
          </cell>
          <cell r="M56">
            <v>49.3</v>
          </cell>
          <cell r="N56">
            <v>26.9</v>
          </cell>
          <cell r="O56">
            <v>35.1</v>
          </cell>
          <cell r="P56">
            <v>32.700000000000003</v>
          </cell>
          <cell r="Q56">
            <v>5.6</v>
          </cell>
          <cell r="R56">
            <v>0</v>
          </cell>
          <cell r="X56" t="str">
            <v>S2</v>
          </cell>
          <cell r="Y56" t="str">
            <v>USA</v>
          </cell>
          <cell r="Z56" t="str">
            <v>FO</v>
          </cell>
          <cell r="AA56" t="str">
            <v>FOR</v>
          </cell>
          <cell r="AB56" t="str">
            <v>TMHSU</v>
          </cell>
          <cell r="AC56" t="str">
            <v>D</v>
          </cell>
        </row>
        <row r="57">
          <cell r="C57" t="str">
            <v>Ford</v>
          </cell>
          <cell r="D57" t="str">
            <v>Explorer 4-door</v>
          </cell>
          <cell r="E57" t="str">
            <v>Ford Explorer</v>
          </cell>
          <cell r="F57">
            <v>0</v>
          </cell>
          <cell r="G57">
            <v>123</v>
          </cell>
          <cell r="H57">
            <v>219.2</v>
          </cell>
          <cell r="I57">
            <v>265.10000000000002</v>
          </cell>
          <cell r="J57">
            <v>263.10000000000002</v>
          </cell>
          <cell r="K57">
            <v>244.2</v>
          </cell>
          <cell r="L57">
            <v>336.8</v>
          </cell>
          <cell r="M57">
            <v>352.6</v>
          </cell>
          <cell r="N57">
            <v>357</v>
          </cell>
          <cell r="O57">
            <v>396.4</v>
          </cell>
          <cell r="P57">
            <v>396.1</v>
          </cell>
          <cell r="Q57">
            <v>359.8</v>
          </cell>
          <cell r="R57">
            <v>380</v>
          </cell>
          <cell r="S57">
            <v>371.3</v>
          </cell>
          <cell r="T57">
            <v>368.9</v>
          </cell>
          <cell r="U57">
            <v>370.5</v>
          </cell>
          <cell r="V57">
            <v>349.9</v>
          </cell>
          <cell r="W57">
            <v>359.7</v>
          </cell>
          <cell r="X57" t="str">
            <v>S4</v>
          </cell>
          <cell r="Y57" t="str">
            <v>USA</v>
          </cell>
          <cell r="Z57" t="str">
            <v>FO</v>
          </cell>
          <cell r="AA57" t="str">
            <v>FOR</v>
          </cell>
          <cell r="AB57" t="str">
            <v>TMHSU</v>
          </cell>
          <cell r="AC57" t="str">
            <v>D</v>
          </cell>
        </row>
        <row r="58">
          <cell r="C58" t="str">
            <v>Ford</v>
          </cell>
          <cell r="D58" t="str">
            <v>Explorer Sport 2-door</v>
          </cell>
          <cell r="E58" t="str">
            <v>Ford Explorer Sport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37.799999999999997</v>
          </cell>
          <cell r="R58">
            <v>46.3</v>
          </cell>
          <cell r="S58">
            <v>40.5</v>
          </cell>
          <cell r="T58">
            <v>44.7</v>
          </cell>
          <cell r="U58">
            <v>41.1</v>
          </cell>
          <cell r="V58">
            <v>40.5</v>
          </cell>
          <cell r="W58">
            <v>19.7</v>
          </cell>
          <cell r="X58" t="str">
            <v>S2</v>
          </cell>
          <cell r="Y58" t="str">
            <v>USA</v>
          </cell>
          <cell r="Z58" t="str">
            <v>FO</v>
          </cell>
          <cell r="AA58" t="str">
            <v>FOR</v>
          </cell>
          <cell r="AB58" t="str">
            <v>TMHSU</v>
          </cell>
          <cell r="AC58" t="str">
            <v>D</v>
          </cell>
        </row>
        <row r="59">
          <cell r="C59" t="str">
            <v>GMC</v>
          </cell>
          <cell r="D59" t="str">
            <v>Jimmy 2-door</v>
          </cell>
          <cell r="E59" t="str">
            <v>GMC Jimmy</v>
          </cell>
          <cell r="F59">
            <v>44.9</v>
          </cell>
          <cell r="G59">
            <v>24.7</v>
          </cell>
          <cell r="H59">
            <v>12.9</v>
          </cell>
          <cell r="I59">
            <v>9</v>
          </cell>
          <cell r="J59">
            <v>8.4</v>
          </cell>
          <cell r="K59">
            <v>7</v>
          </cell>
          <cell r="L59">
            <v>9.3000000000000007</v>
          </cell>
          <cell r="M59">
            <v>9.1</v>
          </cell>
          <cell r="N59">
            <v>8.3000000000000007</v>
          </cell>
          <cell r="O59">
            <v>6.6</v>
          </cell>
          <cell r="P59">
            <v>6.1</v>
          </cell>
          <cell r="Q59">
            <v>5.9</v>
          </cell>
          <cell r="R59">
            <v>5</v>
          </cell>
          <cell r="S59">
            <v>0.3</v>
          </cell>
          <cell r="X59" t="str">
            <v>S2</v>
          </cell>
          <cell r="Y59" t="str">
            <v>USA</v>
          </cell>
          <cell r="Z59" t="str">
            <v>GM</v>
          </cell>
          <cell r="AA59" t="str">
            <v>GMC</v>
          </cell>
          <cell r="AB59" t="str">
            <v>TMHSU</v>
          </cell>
          <cell r="AC59" t="str">
            <v>D</v>
          </cell>
        </row>
        <row r="60">
          <cell r="C60" t="str">
            <v>GMC</v>
          </cell>
          <cell r="D60" t="str">
            <v>Jimmy 4-door</v>
          </cell>
          <cell r="E60" t="str">
            <v>GMC Jimmy</v>
          </cell>
          <cell r="F60">
            <v>0</v>
          </cell>
          <cell r="G60">
            <v>11.8</v>
          </cell>
          <cell r="H60">
            <v>17.100000000000001</v>
          </cell>
          <cell r="I60">
            <v>32.299999999999997</v>
          </cell>
          <cell r="J60">
            <v>39.4</v>
          </cell>
          <cell r="K60">
            <v>58</v>
          </cell>
          <cell r="L60">
            <v>65.099999999999994</v>
          </cell>
          <cell r="M60">
            <v>68.7</v>
          </cell>
          <cell r="N60">
            <v>67.5</v>
          </cell>
          <cell r="O60">
            <v>65.7</v>
          </cell>
          <cell r="P60">
            <v>73.3</v>
          </cell>
          <cell r="Q60">
            <v>73.599999999999994</v>
          </cell>
          <cell r="R60">
            <v>59.4</v>
          </cell>
          <cell r="S60">
            <v>71.099999999999994</v>
          </cell>
          <cell r="T60">
            <v>70</v>
          </cell>
          <cell r="U60">
            <v>63.2</v>
          </cell>
          <cell r="V60">
            <v>59.9</v>
          </cell>
          <cell r="W60">
            <v>66.900000000000006</v>
          </cell>
          <cell r="X60" t="str">
            <v>S4</v>
          </cell>
          <cell r="Y60" t="str">
            <v>USA</v>
          </cell>
          <cell r="Z60" t="str">
            <v>GM</v>
          </cell>
          <cell r="AA60" t="str">
            <v>GMC</v>
          </cell>
          <cell r="AB60" t="str">
            <v>TMHSU</v>
          </cell>
          <cell r="AC60" t="str">
            <v>D</v>
          </cell>
        </row>
        <row r="61">
          <cell r="C61" t="str">
            <v>Honda</v>
          </cell>
          <cell r="D61" t="str">
            <v>Passport 4-door</v>
          </cell>
          <cell r="E61" t="str">
            <v>Honda Passport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0.1</v>
          </cell>
          <cell r="K61">
            <v>25.8</v>
          </cell>
          <cell r="L61">
            <v>28</v>
          </cell>
          <cell r="M61">
            <v>28.2</v>
          </cell>
          <cell r="N61">
            <v>22.6</v>
          </cell>
          <cell r="O61">
            <v>26.1</v>
          </cell>
          <cell r="P61">
            <v>23</v>
          </cell>
          <cell r="Q61">
            <v>21.9</v>
          </cell>
          <cell r="R61">
            <v>15.3</v>
          </cell>
          <cell r="S61">
            <v>14.5</v>
          </cell>
          <cell r="T61">
            <v>0.2</v>
          </cell>
          <cell r="X61" t="str">
            <v>S4</v>
          </cell>
          <cell r="Y61" t="str">
            <v>USAJ</v>
          </cell>
          <cell r="Z61" t="str">
            <v>IS</v>
          </cell>
          <cell r="AA61" t="str">
            <v>HON</v>
          </cell>
          <cell r="AB61" t="str">
            <v>TMLSU</v>
          </cell>
          <cell r="AC61" t="str">
            <v>U</v>
          </cell>
        </row>
        <row r="62">
          <cell r="C62" t="str">
            <v>Infiniti</v>
          </cell>
          <cell r="D62" t="str">
            <v>QX4 4-door</v>
          </cell>
          <cell r="E62" t="str">
            <v>Infiniti QX4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2</v>
          </cell>
          <cell r="N62">
            <v>18.8</v>
          </cell>
          <cell r="O62">
            <v>20.100000000000001</v>
          </cell>
          <cell r="P62">
            <v>19.2</v>
          </cell>
          <cell r="Q62">
            <v>21.5</v>
          </cell>
          <cell r="R62">
            <v>16.899999999999999</v>
          </cell>
          <cell r="S62">
            <v>20.399999999999999</v>
          </cell>
          <cell r="T62">
            <v>18.5</v>
          </cell>
          <cell r="U62">
            <v>17.7</v>
          </cell>
          <cell r="V62">
            <v>17.899999999999999</v>
          </cell>
          <cell r="W62">
            <v>13.5</v>
          </cell>
          <cell r="X62" t="str">
            <v>S4</v>
          </cell>
          <cell r="Y62" t="str">
            <v>JPN</v>
          </cell>
          <cell r="Z62" t="str">
            <v>NI</v>
          </cell>
          <cell r="AA62" t="str">
            <v>INF</v>
          </cell>
          <cell r="AB62" t="str">
            <v>TLSU</v>
          </cell>
          <cell r="AC62" t="str">
            <v>I</v>
          </cell>
        </row>
        <row r="63">
          <cell r="C63" t="str">
            <v>Isuzu</v>
          </cell>
          <cell r="D63" t="str">
            <v xml:space="preserve">Amigo 2-door </v>
          </cell>
          <cell r="E63" t="str">
            <v>Isuzu Amigo</v>
          </cell>
          <cell r="F63">
            <v>6.3</v>
          </cell>
          <cell r="G63">
            <v>9.8000000000000007</v>
          </cell>
          <cell r="H63">
            <v>7.8</v>
          </cell>
          <cell r="I63">
            <v>8.5</v>
          </cell>
          <cell r="J63">
            <v>8.6</v>
          </cell>
          <cell r="K63">
            <v>6</v>
          </cell>
          <cell r="L63">
            <v>2</v>
          </cell>
          <cell r="M63">
            <v>0</v>
          </cell>
          <cell r="N63">
            <v>0</v>
          </cell>
          <cell r="O63">
            <v>7.1</v>
          </cell>
          <cell r="P63">
            <v>8.3000000000000007</v>
          </cell>
          <cell r="Q63">
            <v>9.1999999999999993</v>
          </cell>
          <cell r="R63">
            <v>7.7</v>
          </cell>
          <cell r="S63">
            <v>8</v>
          </cell>
          <cell r="T63">
            <v>10.1</v>
          </cell>
          <cell r="U63">
            <v>11.9</v>
          </cell>
          <cell r="V63">
            <v>9.6</v>
          </cell>
          <cell r="W63">
            <v>3.3</v>
          </cell>
          <cell r="X63" t="str">
            <v>S2</v>
          </cell>
          <cell r="Y63" t="str">
            <v>JPN/USA</v>
          </cell>
          <cell r="Z63" t="str">
            <v>IS</v>
          </cell>
          <cell r="AA63" t="str">
            <v>ISU</v>
          </cell>
          <cell r="AB63" t="str">
            <v>TSHSU</v>
          </cell>
          <cell r="AC63" t="str">
            <v>U</v>
          </cell>
        </row>
        <row r="64">
          <cell r="C64" t="str">
            <v>Isuzu</v>
          </cell>
          <cell r="D64" t="str">
            <v>Rodeo 4-door</v>
          </cell>
          <cell r="E64" t="str">
            <v>Isuzu Rodeo</v>
          </cell>
          <cell r="F64">
            <v>0</v>
          </cell>
          <cell r="G64">
            <v>5.7</v>
          </cell>
          <cell r="H64">
            <v>24.6</v>
          </cell>
          <cell r="I64">
            <v>45.3</v>
          </cell>
          <cell r="J64">
            <v>48.9</v>
          </cell>
          <cell r="K64">
            <v>59.7</v>
          </cell>
          <cell r="L64">
            <v>60.5</v>
          </cell>
          <cell r="M64">
            <v>61.1</v>
          </cell>
          <cell r="N64">
            <v>63.6</v>
          </cell>
          <cell r="O64">
            <v>59.9</v>
          </cell>
          <cell r="P64">
            <v>64.8</v>
          </cell>
          <cell r="Q64">
            <v>59.6</v>
          </cell>
          <cell r="R64">
            <v>51</v>
          </cell>
          <cell r="S64">
            <v>48.6</v>
          </cell>
          <cell r="T64">
            <v>48.9</v>
          </cell>
          <cell r="U64">
            <v>60.2</v>
          </cell>
          <cell r="V64">
            <v>55</v>
          </cell>
          <cell r="W64">
            <v>32.5</v>
          </cell>
          <cell r="X64" t="str">
            <v>S4</v>
          </cell>
          <cell r="Y64" t="str">
            <v>USAJ</v>
          </cell>
          <cell r="Z64" t="str">
            <v>IS</v>
          </cell>
          <cell r="AA64" t="str">
            <v>ISU</v>
          </cell>
          <cell r="AB64" t="str">
            <v>TMLSU</v>
          </cell>
          <cell r="AC64" t="str">
            <v>U</v>
          </cell>
        </row>
        <row r="65">
          <cell r="C65" t="str">
            <v>Isuzu</v>
          </cell>
          <cell r="D65" t="str">
            <v>VehiCross 2-door</v>
          </cell>
          <cell r="E65" t="str">
            <v>Isuzu VehiCross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1.3</v>
          </cell>
          <cell r="Q65">
            <v>1.2</v>
          </cell>
          <cell r="R65">
            <v>1</v>
          </cell>
          <cell r="S65">
            <v>1.2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 t="str">
            <v>S2</v>
          </cell>
          <cell r="Y65" t="str">
            <v>JPN</v>
          </cell>
          <cell r="Z65" t="str">
            <v>IS</v>
          </cell>
          <cell r="AA65" t="str">
            <v>ISU</v>
          </cell>
          <cell r="AB65" t="str">
            <v>TNLSU</v>
          </cell>
          <cell r="AC65" t="str">
            <v>I</v>
          </cell>
        </row>
        <row r="66">
          <cell r="C66" t="str">
            <v>Jeep</v>
          </cell>
          <cell r="D66" t="str">
            <v xml:space="preserve">Grand Cherokee 4-door </v>
          </cell>
          <cell r="E66" t="str">
            <v>Jeep Grand Cherokee</v>
          </cell>
          <cell r="F66">
            <v>0</v>
          </cell>
          <cell r="G66">
            <v>0</v>
          </cell>
          <cell r="H66">
            <v>0</v>
          </cell>
          <cell r="I66">
            <v>86.9</v>
          </cell>
          <cell r="J66">
            <v>217.2</v>
          </cell>
          <cell r="K66">
            <v>238.5</v>
          </cell>
          <cell r="L66">
            <v>252.9</v>
          </cell>
          <cell r="M66">
            <v>279.2</v>
          </cell>
          <cell r="N66">
            <v>260.89999999999998</v>
          </cell>
          <cell r="O66">
            <v>229.1</v>
          </cell>
          <cell r="P66">
            <v>300</v>
          </cell>
          <cell r="Q66">
            <v>271.7</v>
          </cell>
          <cell r="R66">
            <v>259.89999999999998</v>
          </cell>
          <cell r="S66">
            <v>243.5</v>
          </cell>
          <cell r="T66">
            <v>257.3</v>
          </cell>
          <cell r="U66">
            <v>266.89999999999998</v>
          </cell>
          <cell r="V66">
            <v>257</v>
          </cell>
          <cell r="W66">
            <v>220</v>
          </cell>
          <cell r="X66" t="str">
            <v>S4</v>
          </cell>
          <cell r="Y66" t="str">
            <v>USA</v>
          </cell>
          <cell r="Z66" t="str">
            <v>CH</v>
          </cell>
          <cell r="AA66" t="str">
            <v>JEE</v>
          </cell>
          <cell r="AB66" t="str">
            <v>TMHSU</v>
          </cell>
          <cell r="AC66" t="str">
            <v>D</v>
          </cell>
        </row>
        <row r="67">
          <cell r="C67" t="str">
            <v>Jeep</v>
          </cell>
          <cell r="D67" t="str">
            <v>Grand Wagoneer SJ 4-door</v>
          </cell>
          <cell r="E67" t="str">
            <v>Jeep Grand Wagoneer</v>
          </cell>
          <cell r="F67">
            <v>10.7</v>
          </cell>
          <cell r="G67">
            <v>6.2</v>
          </cell>
          <cell r="H67">
            <v>3.2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 t="str">
            <v>S4</v>
          </cell>
          <cell r="Y67" t="str">
            <v>USA</v>
          </cell>
          <cell r="Z67" t="str">
            <v>CH</v>
          </cell>
          <cell r="AA67" t="str">
            <v>JEE</v>
          </cell>
          <cell r="AB67" t="str">
            <v>TLSU</v>
          </cell>
          <cell r="AC67" t="str">
            <v>D</v>
          </cell>
        </row>
        <row r="68">
          <cell r="C68" t="str">
            <v>Lexus</v>
          </cell>
          <cell r="D68" t="str">
            <v>RX 300 4-door</v>
          </cell>
          <cell r="E68" t="str">
            <v>Lexus RX 300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42.2</v>
          </cell>
          <cell r="P68">
            <v>73.5</v>
          </cell>
          <cell r="Q68">
            <v>89.9</v>
          </cell>
          <cell r="R68">
            <v>77.8</v>
          </cell>
          <cell r="S68">
            <v>81</v>
          </cell>
          <cell r="T68">
            <v>79.5</v>
          </cell>
          <cell r="U68">
            <v>74</v>
          </cell>
          <cell r="V68">
            <v>66.900000000000006</v>
          </cell>
          <cell r="W68">
            <v>94.1</v>
          </cell>
          <cell r="X68" t="str">
            <v>S4</v>
          </cell>
          <cell r="Y68" t="str">
            <v>JPN</v>
          </cell>
          <cell r="Z68" t="str">
            <v>TO</v>
          </cell>
          <cell r="AA68" t="str">
            <v>LEX</v>
          </cell>
          <cell r="AB68" t="str">
            <v>TLSU</v>
          </cell>
          <cell r="AC68" t="str">
            <v>I</v>
          </cell>
        </row>
        <row r="69">
          <cell r="C69" t="str">
            <v>Lincoln</v>
          </cell>
          <cell r="D69" t="str">
            <v>U231 4-door</v>
          </cell>
          <cell r="E69" t="str">
            <v>Lincoln U231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26.1</v>
          </cell>
          <cell r="S69">
            <v>46.9</v>
          </cell>
          <cell r="T69">
            <v>41</v>
          </cell>
          <cell r="U69">
            <v>44.9</v>
          </cell>
          <cell r="V69">
            <v>47.3</v>
          </cell>
          <cell r="W69">
            <v>60.5</v>
          </cell>
          <cell r="X69" t="str">
            <v>S4</v>
          </cell>
          <cell r="Y69" t="str">
            <v>USA</v>
          </cell>
          <cell r="Z69" t="str">
            <v>FO</v>
          </cell>
          <cell r="AA69" t="str">
            <v>LIN</v>
          </cell>
          <cell r="AB69" t="str">
            <v>TLSU</v>
          </cell>
          <cell r="AC69" t="str">
            <v>D</v>
          </cell>
        </row>
        <row r="70">
          <cell r="C70" t="str">
            <v>Mazda</v>
          </cell>
          <cell r="D70" t="str">
            <v xml:space="preserve">Navajo 2-door </v>
          </cell>
          <cell r="E70" t="str">
            <v>Mazda Navajo</v>
          </cell>
          <cell r="F70">
            <v>0</v>
          </cell>
          <cell r="G70">
            <v>3.4</v>
          </cell>
          <cell r="H70">
            <v>11.4</v>
          </cell>
          <cell r="I70">
            <v>8.1999999999999993</v>
          </cell>
          <cell r="J70">
            <v>6.9</v>
          </cell>
          <cell r="K70">
            <v>6.2</v>
          </cell>
          <cell r="L70">
            <v>2.2000000000000002</v>
          </cell>
          <cell r="X70" t="str">
            <v>S2</v>
          </cell>
          <cell r="Y70" t="str">
            <v>USAJ</v>
          </cell>
          <cell r="Z70" t="str">
            <v>FO</v>
          </cell>
          <cell r="AA70" t="str">
            <v>MAZ</v>
          </cell>
          <cell r="AB70" t="str">
            <v>TMHSU</v>
          </cell>
          <cell r="AC70" t="str">
            <v>U</v>
          </cell>
        </row>
        <row r="71">
          <cell r="C71" t="str">
            <v>Mercury</v>
          </cell>
          <cell r="D71" t="str">
            <v>Mountaineer 4-door</v>
          </cell>
          <cell r="E71" t="str">
            <v>Mercury Mountaineer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26.7</v>
          </cell>
          <cell r="N71">
            <v>45.4</v>
          </cell>
          <cell r="O71">
            <v>47.6</v>
          </cell>
          <cell r="P71">
            <v>49.3</v>
          </cell>
          <cell r="Q71">
            <v>46.5</v>
          </cell>
          <cell r="R71">
            <v>50.1</v>
          </cell>
          <cell r="S71">
            <v>46.6</v>
          </cell>
          <cell r="T71">
            <v>40.200000000000003</v>
          </cell>
          <cell r="U71">
            <v>37.299999999999997</v>
          </cell>
          <cell r="V71">
            <v>46</v>
          </cell>
          <cell r="W71">
            <v>70.8</v>
          </cell>
          <cell r="X71" t="str">
            <v>S4</v>
          </cell>
          <cell r="Y71" t="str">
            <v>USA</v>
          </cell>
          <cell r="Z71" t="str">
            <v>FO</v>
          </cell>
          <cell r="AA71" t="str">
            <v>MER</v>
          </cell>
          <cell r="AB71" t="str">
            <v>TNLSU</v>
          </cell>
          <cell r="AC71" t="str">
            <v>D</v>
          </cell>
        </row>
        <row r="72">
          <cell r="C72" t="str">
            <v>Mitsubishi</v>
          </cell>
          <cell r="D72" t="str">
            <v>Montero Sport 4-door</v>
          </cell>
          <cell r="E72" t="str">
            <v>Mitsubishi Montero Sport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0.2</v>
          </cell>
          <cell r="N72">
            <v>31.7</v>
          </cell>
          <cell r="O72">
            <v>38.4</v>
          </cell>
          <cell r="P72">
            <v>59</v>
          </cell>
          <cell r="Q72">
            <v>66.400000000000006</v>
          </cell>
          <cell r="R72">
            <v>46.9</v>
          </cell>
          <cell r="S72">
            <v>48</v>
          </cell>
          <cell r="T72">
            <v>47.2</v>
          </cell>
          <cell r="U72">
            <v>44.1</v>
          </cell>
          <cell r="V72">
            <v>37.9</v>
          </cell>
          <cell r="W72">
            <v>71.2</v>
          </cell>
          <cell r="X72" t="str">
            <v>S4</v>
          </cell>
          <cell r="Y72" t="str">
            <v>JPN</v>
          </cell>
          <cell r="Z72" t="str">
            <v>MI</v>
          </cell>
          <cell r="AA72" t="str">
            <v>MIT</v>
          </cell>
          <cell r="AB72" t="str">
            <v>TMLSU</v>
          </cell>
          <cell r="AC72" t="str">
            <v>I</v>
          </cell>
        </row>
        <row r="73">
          <cell r="C73" t="str">
            <v>Nissan</v>
          </cell>
          <cell r="D73" t="str">
            <v xml:space="preserve">Pathfinder 2-door </v>
          </cell>
          <cell r="E73" t="str">
            <v>Nissan Pathfinder</v>
          </cell>
          <cell r="F73">
            <v>14</v>
          </cell>
          <cell r="G73">
            <v>5.6</v>
          </cell>
          <cell r="H73">
            <v>0.4</v>
          </cell>
          <cell r="X73" t="str">
            <v>S2</v>
          </cell>
          <cell r="Y73" t="str">
            <v>JPN</v>
          </cell>
          <cell r="Z73" t="str">
            <v>NI</v>
          </cell>
          <cell r="AA73" t="str">
            <v>NIS</v>
          </cell>
          <cell r="AB73" t="str">
            <v>TMHSU</v>
          </cell>
          <cell r="AC73" t="str">
            <v>I</v>
          </cell>
        </row>
        <row r="74">
          <cell r="C74" t="str">
            <v>Nissan</v>
          </cell>
          <cell r="D74" t="str">
            <v xml:space="preserve">Pathfinder 4-door </v>
          </cell>
          <cell r="E74" t="str">
            <v>Nissan Pathfinder</v>
          </cell>
          <cell r="F74">
            <v>3</v>
          </cell>
          <cell r="G74">
            <v>27.4</v>
          </cell>
          <cell r="H74">
            <v>39.1</v>
          </cell>
          <cell r="I74">
            <v>36.700000000000003</v>
          </cell>
          <cell r="J74">
            <v>49.1</v>
          </cell>
          <cell r="K74">
            <v>64.2</v>
          </cell>
          <cell r="L74">
            <v>70.900000000000006</v>
          </cell>
          <cell r="M74">
            <v>73.7</v>
          </cell>
          <cell r="N74">
            <v>73.400000000000006</v>
          </cell>
          <cell r="O74">
            <v>68</v>
          </cell>
          <cell r="P74">
            <v>66</v>
          </cell>
          <cell r="Q74">
            <v>68.5</v>
          </cell>
          <cell r="R74">
            <v>54.1</v>
          </cell>
          <cell r="S74">
            <v>60.2</v>
          </cell>
          <cell r="T74">
            <v>62.5</v>
          </cell>
          <cell r="U74">
            <v>58.9</v>
          </cell>
          <cell r="V74">
            <v>53.1</v>
          </cell>
          <cell r="W74">
            <v>50.3</v>
          </cell>
          <cell r="X74" t="str">
            <v>S4</v>
          </cell>
          <cell r="Y74" t="str">
            <v>JPN</v>
          </cell>
          <cell r="Z74" t="str">
            <v>NI</v>
          </cell>
          <cell r="AA74" t="str">
            <v>NIS</v>
          </cell>
          <cell r="AB74" t="str">
            <v>TMHSU</v>
          </cell>
          <cell r="AC74" t="str">
            <v>I</v>
          </cell>
        </row>
        <row r="75">
          <cell r="C75" t="str">
            <v>Nissan</v>
          </cell>
          <cell r="D75" t="str">
            <v>WQW 4-door</v>
          </cell>
          <cell r="E75" t="str">
            <v>Nissan X-Terra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47.8</v>
          </cell>
          <cell r="Q75">
            <v>88.6</v>
          </cell>
          <cell r="R75">
            <v>63</v>
          </cell>
          <cell r="S75">
            <v>48.3</v>
          </cell>
          <cell r="T75">
            <v>42.3</v>
          </cell>
          <cell r="U75">
            <v>44.5</v>
          </cell>
          <cell r="V75">
            <v>50.3</v>
          </cell>
          <cell r="W75">
            <v>68.3</v>
          </cell>
          <cell r="X75" t="str">
            <v>S4</v>
          </cell>
          <cell r="Y75" t="str">
            <v>USAJ</v>
          </cell>
          <cell r="Z75" t="str">
            <v>NI</v>
          </cell>
          <cell r="AA75" t="str">
            <v>NIS</v>
          </cell>
          <cell r="AB75" t="str">
            <v>TMLSU</v>
          </cell>
          <cell r="AC75" t="str">
            <v>U</v>
          </cell>
        </row>
        <row r="76">
          <cell r="C76" t="str">
            <v>Oldsmobile</v>
          </cell>
          <cell r="D76" t="str">
            <v>Bravada 4-door</v>
          </cell>
          <cell r="E76" t="str">
            <v>Oldsmobile Bravada</v>
          </cell>
          <cell r="F76">
            <v>0</v>
          </cell>
          <cell r="G76">
            <v>0.3</v>
          </cell>
          <cell r="H76">
            <v>12.8</v>
          </cell>
          <cell r="I76">
            <v>12.1</v>
          </cell>
          <cell r="J76">
            <v>10.5</v>
          </cell>
          <cell r="K76">
            <v>10.6</v>
          </cell>
          <cell r="L76">
            <v>5</v>
          </cell>
          <cell r="M76">
            <v>15.5</v>
          </cell>
          <cell r="N76">
            <v>28.5</v>
          </cell>
          <cell r="O76">
            <v>30.2</v>
          </cell>
          <cell r="P76">
            <v>29.3</v>
          </cell>
          <cell r="Q76">
            <v>31.2</v>
          </cell>
          <cell r="R76">
            <v>25</v>
          </cell>
          <cell r="S76">
            <v>30.7</v>
          </cell>
          <cell r="T76">
            <v>34</v>
          </cell>
          <cell r="U76">
            <v>32.200000000000003</v>
          </cell>
          <cell r="V76">
            <v>30.1</v>
          </cell>
          <cell r="W76">
            <v>30.1</v>
          </cell>
          <cell r="X76" t="str">
            <v>S4</v>
          </cell>
          <cell r="Y76" t="str">
            <v>USA</v>
          </cell>
          <cell r="Z76" t="str">
            <v>GM</v>
          </cell>
          <cell r="AA76" t="str">
            <v>OLD</v>
          </cell>
          <cell r="AB76" t="str">
            <v>TNLSU</v>
          </cell>
          <cell r="AC76" t="str">
            <v>D</v>
          </cell>
        </row>
        <row r="77">
          <cell r="C77" t="str">
            <v>Porsche</v>
          </cell>
          <cell r="D77" t="str">
            <v>Cayenne 4-door</v>
          </cell>
          <cell r="E77" t="str">
            <v>Porsche Cayenne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0.6</v>
          </cell>
          <cell r="U77">
            <v>3.5</v>
          </cell>
          <cell r="V77">
            <v>3</v>
          </cell>
          <cell r="W77">
            <v>3</v>
          </cell>
          <cell r="X77" t="str">
            <v>S4</v>
          </cell>
          <cell r="Y77" t="str">
            <v>GER</v>
          </cell>
          <cell r="Z77" t="str">
            <v>VW</v>
          </cell>
          <cell r="AA77" t="str">
            <v>POR</v>
          </cell>
          <cell r="AB77" t="str">
            <v>TLSU</v>
          </cell>
          <cell r="AC77" t="str">
            <v>I</v>
          </cell>
        </row>
        <row r="78">
          <cell r="C78" t="str">
            <v>Toyota</v>
          </cell>
          <cell r="D78" t="str">
            <v>038N 4-door</v>
          </cell>
          <cell r="E78" t="str">
            <v>Toyota 013N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8.9</v>
          </cell>
          <cell r="S78">
            <v>46.9</v>
          </cell>
          <cell r="T78">
            <v>66.900000000000006</v>
          </cell>
          <cell r="U78">
            <v>77.099999999999994</v>
          </cell>
          <cell r="V78">
            <v>76</v>
          </cell>
          <cell r="W78">
            <v>76</v>
          </cell>
          <cell r="X78" t="str">
            <v>S4</v>
          </cell>
          <cell r="Y78" t="str">
            <v>USAJ</v>
          </cell>
          <cell r="Z78" t="str">
            <v>TO</v>
          </cell>
          <cell r="AA78" t="str">
            <v>TOY</v>
          </cell>
          <cell r="AB78" t="str">
            <v>TMLSU</v>
          </cell>
          <cell r="AC78" t="str">
            <v>U</v>
          </cell>
        </row>
        <row r="79">
          <cell r="C79" t="str">
            <v>Toyota</v>
          </cell>
          <cell r="D79" t="str">
            <v>4-Runner 2-door</v>
          </cell>
          <cell r="E79" t="str">
            <v>Toyota 4-Runner</v>
          </cell>
          <cell r="F79">
            <v>16.600000000000001</v>
          </cell>
          <cell r="G79">
            <v>1.7</v>
          </cell>
          <cell r="H79">
            <v>0.3</v>
          </cell>
          <cell r="X79" t="str">
            <v>S2</v>
          </cell>
          <cell r="Y79" t="str">
            <v>JPN</v>
          </cell>
          <cell r="Z79" t="str">
            <v>TO</v>
          </cell>
          <cell r="AA79" t="str">
            <v>TOY</v>
          </cell>
          <cell r="AB79" t="str">
            <v>TMHSU</v>
          </cell>
          <cell r="AC79" t="str">
            <v>I</v>
          </cell>
        </row>
        <row r="80">
          <cell r="C80" t="str">
            <v>Toyota</v>
          </cell>
          <cell r="D80" t="str">
            <v>4-Runner 4-door</v>
          </cell>
          <cell r="E80" t="str">
            <v>Toyota 4-Runner</v>
          </cell>
          <cell r="F80">
            <v>28</v>
          </cell>
          <cell r="G80">
            <v>46.8</v>
          </cell>
          <cell r="H80">
            <v>44.6</v>
          </cell>
          <cell r="I80">
            <v>39.9</v>
          </cell>
          <cell r="J80">
            <v>46.7</v>
          </cell>
          <cell r="K80">
            <v>74.599999999999994</v>
          </cell>
          <cell r="L80">
            <v>75.900000000000006</v>
          </cell>
          <cell r="M80">
            <v>99.6</v>
          </cell>
          <cell r="N80">
            <v>128.5</v>
          </cell>
          <cell r="O80">
            <v>118.5</v>
          </cell>
          <cell r="P80">
            <v>124.2</v>
          </cell>
          <cell r="Q80">
            <v>111.8</v>
          </cell>
          <cell r="R80">
            <v>105.9</v>
          </cell>
          <cell r="S80">
            <v>96</v>
          </cell>
          <cell r="T80">
            <v>88.8</v>
          </cell>
          <cell r="U80">
            <v>81.7</v>
          </cell>
          <cell r="V80">
            <v>83</v>
          </cell>
          <cell r="W80">
            <v>64.5</v>
          </cell>
          <cell r="X80" t="str">
            <v>S4</v>
          </cell>
          <cell r="Y80" t="str">
            <v>JPN</v>
          </cell>
          <cell r="Z80" t="str">
            <v>TO</v>
          </cell>
          <cell r="AA80" t="str">
            <v>TOY</v>
          </cell>
          <cell r="AB80" t="str">
            <v>TMHSU</v>
          </cell>
          <cell r="AC80" t="str">
            <v>I</v>
          </cell>
        </row>
        <row r="82">
          <cell r="C82" t="str">
            <v>Cadillac</v>
          </cell>
          <cell r="D82" t="str">
            <v>Escalade 4-door</v>
          </cell>
          <cell r="E82" t="str">
            <v>Cadillac Escalade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3.1</v>
          </cell>
          <cell r="P82">
            <v>23.9</v>
          </cell>
          <cell r="Q82">
            <v>23.3</v>
          </cell>
          <cell r="R82">
            <v>26.9</v>
          </cell>
          <cell r="S82">
            <v>30.1</v>
          </cell>
          <cell r="T82">
            <v>33.6</v>
          </cell>
          <cell r="U82">
            <v>34.700000000000003</v>
          </cell>
          <cell r="V82">
            <v>28</v>
          </cell>
          <cell r="W82">
            <v>39.299999999999997</v>
          </cell>
          <cell r="X82" t="str">
            <v>S4</v>
          </cell>
          <cell r="Y82" t="str">
            <v>USA</v>
          </cell>
          <cell r="Z82" t="str">
            <v>GM</v>
          </cell>
          <cell r="AA82" t="str">
            <v>CAD</v>
          </cell>
          <cell r="AB82" t="str">
            <v>TLSU</v>
          </cell>
          <cell r="AC82" t="str">
            <v>D</v>
          </cell>
        </row>
        <row r="83">
          <cell r="C83" t="str">
            <v>Chevrolet</v>
          </cell>
          <cell r="D83" t="str">
            <v>Suburban 4-door</v>
          </cell>
          <cell r="E83" t="str">
            <v>Chevrolet Suburban</v>
          </cell>
          <cell r="F83">
            <v>65.400000000000006</v>
          </cell>
          <cell r="G83">
            <v>55.1</v>
          </cell>
          <cell r="H83">
            <v>36</v>
          </cell>
          <cell r="I83">
            <v>56.8</v>
          </cell>
          <cell r="J83">
            <v>82.6</v>
          </cell>
          <cell r="K83">
            <v>91.4</v>
          </cell>
          <cell r="L83">
            <v>81.7</v>
          </cell>
          <cell r="M83">
            <v>94</v>
          </cell>
          <cell r="N83">
            <v>99.1</v>
          </cell>
          <cell r="O83">
            <v>108.9</v>
          </cell>
          <cell r="P83">
            <v>139</v>
          </cell>
          <cell r="Q83">
            <v>133.1</v>
          </cell>
          <cell r="R83">
            <v>138.4</v>
          </cell>
          <cell r="S83">
            <v>124</v>
          </cell>
          <cell r="T83">
            <v>119.5</v>
          </cell>
          <cell r="U83">
            <v>123.1</v>
          </cell>
          <cell r="V83">
            <v>118.9</v>
          </cell>
          <cell r="W83">
            <v>113.5</v>
          </cell>
          <cell r="X83" t="str">
            <v>S4</v>
          </cell>
          <cell r="Y83" t="str">
            <v>USA</v>
          </cell>
          <cell r="Z83" t="str">
            <v>GM</v>
          </cell>
          <cell r="AA83" t="str">
            <v>CHE</v>
          </cell>
          <cell r="AB83" t="str">
            <v>TTLSU</v>
          </cell>
          <cell r="AC83" t="str">
            <v>D</v>
          </cell>
        </row>
        <row r="84">
          <cell r="C84" t="str">
            <v>Chevrolet</v>
          </cell>
          <cell r="D84" t="str">
            <v>Tahoe 2-door</v>
          </cell>
          <cell r="E84" t="str">
            <v>Chevrolet Tahoe</v>
          </cell>
          <cell r="F84">
            <v>22.8</v>
          </cell>
          <cell r="G84">
            <v>16.100000000000001</v>
          </cell>
          <cell r="H84">
            <v>9.3000000000000007</v>
          </cell>
          <cell r="I84">
            <v>20.6</v>
          </cell>
          <cell r="J84">
            <v>22.9</v>
          </cell>
          <cell r="K84">
            <v>24.3</v>
          </cell>
          <cell r="L84">
            <v>14.5</v>
          </cell>
          <cell r="M84">
            <v>15</v>
          </cell>
          <cell r="N84">
            <v>12.4</v>
          </cell>
          <cell r="O84">
            <v>11.5</v>
          </cell>
          <cell r="P84">
            <v>7.4</v>
          </cell>
          <cell r="Q84">
            <v>0.6</v>
          </cell>
          <cell r="X84" t="str">
            <v>S2</v>
          </cell>
          <cell r="Y84" t="str">
            <v>USA</v>
          </cell>
          <cell r="Z84" t="str">
            <v>GM</v>
          </cell>
          <cell r="AA84" t="str">
            <v>CHE</v>
          </cell>
          <cell r="AB84" t="str">
            <v>TTLSU</v>
          </cell>
          <cell r="AC84" t="str">
            <v>D</v>
          </cell>
        </row>
        <row r="85">
          <cell r="C85" t="str">
            <v>Chevrolet</v>
          </cell>
          <cell r="D85" t="str">
            <v>Tahoe 4-door</v>
          </cell>
          <cell r="E85" t="str">
            <v>Chevrolet Tahoe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60.6</v>
          </cell>
          <cell r="M85">
            <v>109</v>
          </cell>
          <cell r="N85">
            <v>111.7</v>
          </cell>
          <cell r="O85">
            <v>121.7</v>
          </cell>
          <cell r="P85">
            <v>114.8</v>
          </cell>
          <cell r="Q85">
            <v>149.19999999999999</v>
          </cell>
          <cell r="R85">
            <v>135.5</v>
          </cell>
          <cell r="S85">
            <v>128.9</v>
          </cell>
          <cell r="T85">
            <v>125.4</v>
          </cell>
          <cell r="U85">
            <v>131.5</v>
          </cell>
          <cell r="V85">
            <v>122.5</v>
          </cell>
          <cell r="W85">
            <v>140.69999999999999</v>
          </cell>
          <cell r="X85" t="str">
            <v>S4</v>
          </cell>
          <cell r="Y85" t="str">
            <v>USA</v>
          </cell>
          <cell r="Z85" t="str">
            <v>GM</v>
          </cell>
          <cell r="AA85" t="str">
            <v>CHE</v>
          </cell>
          <cell r="AB85" t="str">
            <v>TTLSU</v>
          </cell>
          <cell r="AC85" t="str">
            <v>D</v>
          </cell>
        </row>
        <row r="86">
          <cell r="C86" t="str">
            <v>Dodge</v>
          </cell>
          <cell r="D86" t="str">
            <v>Ram Charger 2-door</v>
          </cell>
          <cell r="E86" t="str">
            <v>Dodge Ram Charger</v>
          </cell>
          <cell r="F86">
            <v>18.899999999999999</v>
          </cell>
          <cell r="G86">
            <v>10.3</v>
          </cell>
          <cell r="H86">
            <v>5.6</v>
          </cell>
          <cell r="I86">
            <v>3.7</v>
          </cell>
          <cell r="J86">
            <v>1.9</v>
          </cell>
          <cell r="X86" t="str">
            <v>S2</v>
          </cell>
          <cell r="Y86" t="str">
            <v>USA</v>
          </cell>
          <cell r="Z86" t="str">
            <v>CH</v>
          </cell>
          <cell r="AA86" t="str">
            <v>DOD</v>
          </cell>
          <cell r="AB86" t="str">
            <v>TTLSU</v>
          </cell>
          <cell r="AC86" t="str">
            <v>D</v>
          </cell>
        </row>
        <row r="87">
          <cell r="C87" t="str">
            <v>Ford</v>
          </cell>
          <cell r="D87" t="str">
            <v>Bronco 2-door</v>
          </cell>
          <cell r="E87" t="str">
            <v>Ford Bronco</v>
          </cell>
          <cell r="F87">
            <v>62.6</v>
          </cell>
          <cell r="G87">
            <v>46.8</v>
          </cell>
          <cell r="H87">
            <v>25.7</v>
          </cell>
          <cell r="I87">
            <v>24.8</v>
          </cell>
          <cell r="J87">
            <v>29.7</v>
          </cell>
          <cell r="K87">
            <v>37.4</v>
          </cell>
          <cell r="L87">
            <v>34.1</v>
          </cell>
          <cell r="M87">
            <v>36.799999999999997</v>
          </cell>
          <cell r="X87" t="str">
            <v>S2</v>
          </cell>
          <cell r="Y87" t="str">
            <v>USA</v>
          </cell>
          <cell r="Z87" t="str">
            <v>FO</v>
          </cell>
          <cell r="AA87" t="str">
            <v>FOR</v>
          </cell>
          <cell r="AB87" t="str">
            <v>TTLSU</v>
          </cell>
          <cell r="AC87" t="str">
            <v>D</v>
          </cell>
        </row>
        <row r="88">
          <cell r="C88" t="str">
            <v>Ford</v>
          </cell>
          <cell r="D88" t="str">
            <v>Excursion 4-door</v>
          </cell>
          <cell r="E88" t="str">
            <v>Ford Excursion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18.3</v>
          </cell>
          <cell r="Q88">
            <v>50.8</v>
          </cell>
          <cell r="R88">
            <v>48</v>
          </cell>
          <cell r="S88">
            <v>45.7</v>
          </cell>
          <cell r="T88">
            <v>38.9</v>
          </cell>
          <cell r="U88">
            <v>42.6</v>
          </cell>
          <cell r="V88">
            <v>36.799999999999997</v>
          </cell>
          <cell r="W88">
            <v>32.799999999999997</v>
          </cell>
          <cell r="X88" t="str">
            <v>S4</v>
          </cell>
          <cell r="Y88" t="str">
            <v>USA</v>
          </cell>
          <cell r="Z88" t="str">
            <v>FO</v>
          </cell>
          <cell r="AA88" t="str">
            <v>FOR</v>
          </cell>
          <cell r="AB88" t="str">
            <v>TTLSU</v>
          </cell>
          <cell r="AC88" t="str">
            <v>D</v>
          </cell>
        </row>
        <row r="89">
          <cell r="C89" t="str">
            <v>Ford</v>
          </cell>
          <cell r="D89" t="str">
            <v>Expedition 4-door</v>
          </cell>
          <cell r="E89" t="str">
            <v>Ford Expedition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46</v>
          </cell>
          <cell r="N89">
            <v>214.5</v>
          </cell>
          <cell r="O89">
            <v>225.7</v>
          </cell>
          <cell r="P89">
            <v>233.1</v>
          </cell>
          <cell r="Q89">
            <v>213.5</v>
          </cell>
          <cell r="R89">
            <v>200.1</v>
          </cell>
          <cell r="S89">
            <v>236.8</v>
          </cell>
          <cell r="T89">
            <v>221.5</v>
          </cell>
          <cell r="U89">
            <v>223.2</v>
          </cell>
          <cell r="V89">
            <v>189.4</v>
          </cell>
          <cell r="W89">
            <v>190.7</v>
          </cell>
          <cell r="X89" t="str">
            <v>S4</v>
          </cell>
          <cell r="Y89" t="str">
            <v>USA</v>
          </cell>
          <cell r="Z89" t="str">
            <v>FO</v>
          </cell>
          <cell r="AA89" t="str">
            <v>FOR</v>
          </cell>
          <cell r="AB89" t="str">
            <v>TTLSU</v>
          </cell>
          <cell r="AC89" t="str">
            <v>D</v>
          </cell>
        </row>
        <row r="90">
          <cell r="C90" t="str">
            <v>GMC</v>
          </cell>
          <cell r="D90" t="str">
            <v>Yukon 2-door</v>
          </cell>
          <cell r="E90" t="str">
            <v>GMC Yukon</v>
          </cell>
          <cell r="F90">
            <v>6.7</v>
          </cell>
          <cell r="G90">
            <v>4.7</v>
          </cell>
          <cell r="H90">
            <v>2.4</v>
          </cell>
          <cell r="I90">
            <v>6.1</v>
          </cell>
          <cell r="J90">
            <v>7.4</v>
          </cell>
          <cell r="K90">
            <v>10.3</v>
          </cell>
          <cell r="L90">
            <v>6.6</v>
          </cell>
          <cell r="M90">
            <v>2.6</v>
          </cell>
          <cell r="N90">
            <v>2.1</v>
          </cell>
          <cell r="O90">
            <v>0.3</v>
          </cell>
          <cell r="X90" t="str">
            <v>S2</v>
          </cell>
          <cell r="Y90" t="str">
            <v>USA</v>
          </cell>
          <cell r="Z90" t="str">
            <v>GM</v>
          </cell>
          <cell r="AA90" t="str">
            <v>GMC</v>
          </cell>
          <cell r="AB90" t="str">
            <v>TTLSU</v>
          </cell>
          <cell r="AC90" t="str">
            <v>D</v>
          </cell>
        </row>
        <row r="91">
          <cell r="C91" t="str">
            <v>GMC</v>
          </cell>
          <cell r="D91" t="str">
            <v>Yukon 4-door</v>
          </cell>
          <cell r="E91" t="str">
            <v>GMC Yukon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20.6</v>
          </cell>
          <cell r="M91">
            <v>34</v>
          </cell>
          <cell r="N91">
            <v>39</v>
          </cell>
          <cell r="O91">
            <v>49.1</v>
          </cell>
          <cell r="P91">
            <v>53.3</v>
          </cell>
          <cell r="Q91">
            <v>56.3</v>
          </cell>
          <cell r="R91">
            <v>59</v>
          </cell>
          <cell r="S91">
            <v>55.6</v>
          </cell>
          <cell r="T91">
            <v>52</v>
          </cell>
          <cell r="U91">
            <v>49.9</v>
          </cell>
          <cell r="V91">
            <v>45</v>
          </cell>
          <cell r="W91">
            <v>60.6</v>
          </cell>
          <cell r="X91" t="str">
            <v>S4</v>
          </cell>
          <cell r="Y91" t="str">
            <v>USA</v>
          </cell>
          <cell r="Z91" t="str">
            <v>GM</v>
          </cell>
          <cell r="AA91" t="str">
            <v>GMC</v>
          </cell>
          <cell r="AB91" t="str">
            <v>TTLSU</v>
          </cell>
          <cell r="AC91" t="str">
            <v>D</v>
          </cell>
        </row>
        <row r="92">
          <cell r="C92" t="str">
            <v>GMC</v>
          </cell>
          <cell r="D92" t="str">
            <v>Yukon XL 4-door</v>
          </cell>
          <cell r="E92" t="str">
            <v>GMC Yukon XL</v>
          </cell>
          <cell r="F92">
            <v>23.7</v>
          </cell>
          <cell r="G92">
            <v>24.1</v>
          </cell>
          <cell r="H92">
            <v>16.100000000000001</v>
          </cell>
          <cell r="I92">
            <v>22.8</v>
          </cell>
          <cell r="J92">
            <v>32.1</v>
          </cell>
          <cell r="K92">
            <v>33.6</v>
          </cell>
          <cell r="L92">
            <v>31.5</v>
          </cell>
          <cell r="M92">
            <v>43.2</v>
          </cell>
          <cell r="N92">
            <v>43.1</v>
          </cell>
          <cell r="O92">
            <v>42.4</v>
          </cell>
          <cell r="P92">
            <v>46.7</v>
          </cell>
          <cell r="Q92">
            <v>51.8</v>
          </cell>
          <cell r="R92">
            <v>57</v>
          </cell>
          <cell r="S92">
            <v>53.5</v>
          </cell>
          <cell r="T92">
            <v>49.5</v>
          </cell>
          <cell r="U92">
            <v>46.8</v>
          </cell>
          <cell r="V92">
            <v>40.700000000000003</v>
          </cell>
          <cell r="W92">
            <v>51.4</v>
          </cell>
          <cell r="X92" t="str">
            <v>S4</v>
          </cell>
          <cell r="Y92" t="str">
            <v>USA</v>
          </cell>
          <cell r="Z92" t="str">
            <v>GM</v>
          </cell>
          <cell r="AA92" t="str">
            <v>GMC</v>
          </cell>
          <cell r="AB92" t="str">
            <v>TTLSU</v>
          </cell>
          <cell r="AC92" t="str">
            <v>D</v>
          </cell>
        </row>
        <row r="93">
          <cell r="C93" t="str">
            <v>Lincoln</v>
          </cell>
          <cell r="D93" t="str">
            <v xml:space="preserve">Navigator 4-door </v>
          </cell>
          <cell r="E93" t="str">
            <v>Lincoln Navigator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26.8</v>
          </cell>
          <cell r="O93">
            <v>43.9</v>
          </cell>
          <cell r="P93">
            <v>39.299999999999997</v>
          </cell>
          <cell r="Q93">
            <v>37.9</v>
          </cell>
          <cell r="R93">
            <v>34.6</v>
          </cell>
          <cell r="S93">
            <v>41.3</v>
          </cell>
          <cell r="T93">
            <v>42.8</v>
          </cell>
          <cell r="U93">
            <v>39.6</v>
          </cell>
          <cell r="V93">
            <v>40</v>
          </cell>
          <cell r="W93">
            <v>44.2</v>
          </cell>
          <cell r="X93" t="str">
            <v>S4</v>
          </cell>
          <cell r="Y93" t="str">
            <v>USA</v>
          </cell>
          <cell r="Z93" t="str">
            <v>FO</v>
          </cell>
          <cell r="AA93" t="str">
            <v>LIN</v>
          </cell>
          <cell r="AB93" t="str">
            <v>TLSU</v>
          </cell>
          <cell r="AC93" t="str">
            <v>D</v>
          </cell>
        </row>
        <row r="94">
          <cell r="C94" t="str">
            <v>Lincoln</v>
          </cell>
          <cell r="D94" t="str">
            <v>U263 4-door</v>
          </cell>
          <cell r="E94" t="str">
            <v>Lincoln U263</v>
          </cell>
          <cell r="P94">
            <v>0</v>
          </cell>
          <cell r="Q94">
            <v>0</v>
          </cell>
          <cell r="R94">
            <v>8.6</v>
          </cell>
          <cell r="S94">
            <v>30.1</v>
          </cell>
          <cell r="T94">
            <v>36.700000000000003</v>
          </cell>
          <cell r="U94">
            <v>37.299999999999997</v>
          </cell>
          <cell r="V94">
            <v>36.299999999999997</v>
          </cell>
          <cell r="W94">
            <v>55</v>
          </cell>
          <cell r="X94" t="str">
            <v>S4</v>
          </cell>
          <cell r="Y94" t="str">
            <v>USA</v>
          </cell>
          <cell r="Z94" t="str">
            <v>FO</v>
          </cell>
          <cell r="AA94" t="str">
            <v>LIN</v>
          </cell>
          <cell r="AB94" t="str">
            <v>TNLSU</v>
          </cell>
          <cell r="AC94" t="str">
            <v>D</v>
          </cell>
        </row>
        <row r="95">
          <cell r="C95" t="str">
            <v>Toyota</v>
          </cell>
          <cell r="D95" t="str">
            <v>Sequoia 4-door</v>
          </cell>
          <cell r="E95" t="str">
            <v>Toyota Sequoia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9.9</v>
          </cell>
          <cell r="R95">
            <v>48.6</v>
          </cell>
          <cell r="S95">
            <v>77.2</v>
          </cell>
          <cell r="T95">
            <v>105.9</v>
          </cell>
          <cell r="U95">
            <v>111.1</v>
          </cell>
          <cell r="V95">
            <v>119.5</v>
          </cell>
          <cell r="W95">
            <v>79.2</v>
          </cell>
          <cell r="X95" t="str">
            <v>S4</v>
          </cell>
          <cell r="Y95" t="str">
            <v>USAJ</v>
          </cell>
          <cell r="Z95" t="str">
            <v>TO</v>
          </cell>
          <cell r="AA95" t="str">
            <v>TOY</v>
          </cell>
          <cell r="AB95" t="str">
            <v>TTLSU</v>
          </cell>
          <cell r="AC95" t="str">
            <v>U</v>
          </cell>
        </row>
        <row r="96">
          <cell r="C96" t="str">
            <v>Volkswagen</v>
          </cell>
          <cell r="D96" t="str">
            <v>Colorado 4-door</v>
          </cell>
          <cell r="E96" t="str">
            <v>Volkswagen Colorado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0.9</v>
          </cell>
          <cell r="U96">
            <v>22.6</v>
          </cell>
          <cell r="V96">
            <v>25.6</v>
          </cell>
          <cell r="W96">
            <v>25.4</v>
          </cell>
          <cell r="X96" t="str">
            <v>S4</v>
          </cell>
          <cell r="Y96" t="str">
            <v>GER</v>
          </cell>
          <cell r="Z96" t="str">
            <v>VW</v>
          </cell>
          <cell r="AA96" t="str">
            <v>VW</v>
          </cell>
          <cell r="AB96" t="str">
            <v>TLSU</v>
          </cell>
          <cell r="AC96" t="str">
            <v>I</v>
          </cell>
        </row>
        <row r="98">
          <cell r="C98" t="str">
            <v>Chrysler</v>
          </cell>
          <cell r="D98" t="str">
            <v>Chrysler PT Cruiser 4-door Wagon</v>
          </cell>
          <cell r="E98" t="str">
            <v>Chrysler PT Cruiser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92</v>
          </cell>
          <cell r="R98">
            <v>155.19999999999999</v>
          </cell>
          <cell r="S98">
            <v>162.30000000000001</v>
          </cell>
          <cell r="T98">
            <v>157.80000000000001</v>
          </cell>
          <cell r="U98">
            <v>167.1</v>
          </cell>
          <cell r="V98">
            <v>155.4</v>
          </cell>
          <cell r="X98" t="str">
            <v>S4</v>
          </cell>
          <cell r="Y98" t="str">
            <v>USA</v>
          </cell>
          <cell r="Z98" t="str">
            <v>CH</v>
          </cell>
          <cell r="AA98" t="str">
            <v>PLY</v>
          </cell>
          <cell r="AB98" t="str">
            <v>TSHSU</v>
          </cell>
          <cell r="AC98" t="str">
            <v>D</v>
          </cell>
        </row>
        <row r="99">
          <cell r="C99" t="str">
            <v>Honda</v>
          </cell>
          <cell r="D99" t="str">
            <v>Odyssey I</v>
          </cell>
          <cell r="E99" t="str">
            <v>Honda Odyssey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0.2</v>
          </cell>
          <cell r="L99">
            <v>23.6</v>
          </cell>
          <cell r="M99">
            <v>27</v>
          </cell>
          <cell r="N99">
            <v>20.3</v>
          </cell>
          <cell r="O99">
            <v>13.7</v>
          </cell>
          <cell r="X99" t="str">
            <v>PV</v>
          </cell>
          <cell r="Y99" t="str">
            <v>JPN</v>
          </cell>
          <cell r="Z99" t="str">
            <v>HO</v>
          </cell>
          <cell r="AA99" t="str">
            <v>HON</v>
          </cell>
          <cell r="AB99" t="str">
            <v>TCPV</v>
          </cell>
          <cell r="AC99" t="str">
            <v>I</v>
          </cell>
        </row>
        <row r="100">
          <cell r="C100" t="str">
            <v>Honda</v>
          </cell>
          <cell r="D100" t="str">
            <v>Odyssey</v>
          </cell>
          <cell r="E100" t="str">
            <v>Honda Odyssey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7.2</v>
          </cell>
          <cell r="P100">
            <v>77.8</v>
          </cell>
          <cell r="Q100">
            <v>126.7</v>
          </cell>
          <cell r="R100">
            <v>124.5</v>
          </cell>
          <cell r="S100">
            <v>118.9</v>
          </cell>
          <cell r="T100">
            <v>125.4</v>
          </cell>
          <cell r="U100">
            <v>129.9</v>
          </cell>
          <cell r="V100">
            <v>129</v>
          </cell>
          <cell r="X100" t="str">
            <v>PV</v>
          </cell>
          <cell r="Y100" t="str">
            <v>USAJ</v>
          </cell>
          <cell r="Z100" t="str">
            <v>HO</v>
          </cell>
          <cell r="AA100" t="str">
            <v>HON</v>
          </cell>
          <cell r="AB100" t="str">
            <v>TCPV</v>
          </cell>
          <cell r="AC100" t="str">
            <v>U</v>
          </cell>
        </row>
        <row r="101">
          <cell r="C101" t="str">
            <v>Isuzu</v>
          </cell>
          <cell r="D101" t="str">
            <v>Oasis Van</v>
          </cell>
          <cell r="E101" t="str">
            <v>Isuzu Oasis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2.1</v>
          </cell>
          <cell r="N101">
            <v>2.9</v>
          </cell>
          <cell r="O101">
            <v>1.7</v>
          </cell>
          <cell r="P101">
            <v>1.1000000000000001</v>
          </cell>
          <cell r="Q101">
            <v>0</v>
          </cell>
          <cell r="X101" t="str">
            <v>PV</v>
          </cell>
          <cell r="Y101" t="str">
            <v>JPN</v>
          </cell>
          <cell r="Z101" t="str">
            <v>HO</v>
          </cell>
          <cell r="AA101" t="str">
            <v>ISU</v>
          </cell>
          <cell r="AB101" t="str">
            <v>TCPV</v>
          </cell>
          <cell r="AC101" t="str">
            <v>I</v>
          </cell>
        </row>
        <row r="102">
          <cell r="C102" t="str">
            <v>Mitsubishi</v>
          </cell>
          <cell r="D102" t="str">
            <v xml:space="preserve">Expo LRV </v>
          </cell>
          <cell r="E102" t="str">
            <v>Mitsubishi Expo LRV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0.1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X102" t="str">
            <v>PV</v>
          </cell>
          <cell r="Y102" t="str">
            <v>USAJ</v>
          </cell>
          <cell r="Z102" t="str">
            <v>MI</v>
          </cell>
          <cell r="AA102" t="str">
            <v>MIT</v>
          </cell>
          <cell r="AB102" t="str">
            <v>TCPV</v>
          </cell>
          <cell r="AC102" t="str">
            <v>U</v>
          </cell>
        </row>
        <row r="104">
          <cell r="C104" t="str">
            <v>Chevrolet</v>
          </cell>
          <cell r="D104" t="str">
            <v>Astro Passenger Van</v>
          </cell>
          <cell r="E104" t="str">
            <v>Chevrolet Astro</v>
          </cell>
          <cell r="F104">
            <v>89.2</v>
          </cell>
          <cell r="G104">
            <v>76.599999999999994</v>
          </cell>
          <cell r="H104">
            <v>71.2</v>
          </cell>
          <cell r="I104">
            <v>80.099999999999994</v>
          </cell>
          <cell r="J104">
            <v>86.6</v>
          </cell>
          <cell r="K104">
            <v>81.099999999999994</v>
          </cell>
          <cell r="L104">
            <v>71.7</v>
          </cell>
          <cell r="M104">
            <v>85.9</v>
          </cell>
          <cell r="N104">
            <v>74.5</v>
          </cell>
          <cell r="O104">
            <v>63.2</v>
          </cell>
          <cell r="P104">
            <v>69.099999999999994</v>
          </cell>
          <cell r="Q104">
            <v>60.3</v>
          </cell>
          <cell r="R104">
            <v>61</v>
          </cell>
          <cell r="S104">
            <v>55</v>
          </cell>
          <cell r="T104">
            <v>58.5</v>
          </cell>
          <cell r="U104">
            <v>64.2</v>
          </cell>
          <cell r="V104">
            <v>59.8</v>
          </cell>
          <cell r="X104" t="str">
            <v>PV</v>
          </cell>
          <cell r="Y104" t="str">
            <v>USA</v>
          </cell>
          <cell r="Z104" t="str">
            <v>GM</v>
          </cell>
          <cell r="AA104" t="str">
            <v>CHE</v>
          </cell>
          <cell r="AB104" t="str">
            <v>TCPV</v>
          </cell>
          <cell r="AC104" t="str">
            <v>D</v>
          </cell>
        </row>
        <row r="105">
          <cell r="C105" t="str">
            <v>Chevrolet</v>
          </cell>
          <cell r="D105" t="str">
            <v>Venture Passenger Van</v>
          </cell>
          <cell r="E105" t="str">
            <v>Chevrolet Venture</v>
          </cell>
          <cell r="F105">
            <v>9.8000000000000007</v>
          </cell>
          <cell r="G105">
            <v>60</v>
          </cell>
          <cell r="H105">
            <v>46</v>
          </cell>
          <cell r="I105">
            <v>43.2</v>
          </cell>
          <cell r="J105">
            <v>41</v>
          </cell>
          <cell r="K105">
            <v>45.7</v>
          </cell>
          <cell r="L105">
            <v>46.6</v>
          </cell>
          <cell r="M105">
            <v>30.8</v>
          </cell>
          <cell r="N105">
            <v>77.400000000000006</v>
          </cell>
          <cell r="O105">
            <v>97.4</v>
          </cell>
          <cell r="P105">
            <v>96.6</v>
          </cell>
          <cell r="Q105">
            <v>97.5</v>
          </cell>
          <cell r="R105">
            <v>121.6</v>
          </cell>
          <cell r="S105">
            <v>109</v>
          </cell>
          <cell r="T105">
            <v>93.9</v>
          </cell>
          <cell r="U105">
            <v>99.9</v>
          </cell>
          <cell r="V105">
            <v>90</v>
          </cell>
          <cell r="X105" t="str">
            <v>PV</v>
          </cell>
          <cell r="Y105" t="str">
            <v>USA</v>
          </cell>
          <cell r="Z105" t="str">
            <v>GM</v>
          </cell>
          <cell r="AA105" t="str">
            <v>CHE</v>
          </cell>
          <cell r="AB105" t="str">
            <v>TCPV</v>
          </cell>
          <cell r="AC105" t="str">
            <v>D</v>
          </cell>
        </row>
        <row r="106">
          <cell r="C106" t="str">
            <v>Chrysler</v>
          </cell>
          <cell r="D106" t="str">
            <v>Town &amp; Country</v>
          </cell>
          <cell r="E106" t="str">
            <v>Chrysler Town &amp; Country</v>
          </cell>
          <cell r="F106">
            <v>1.8</v>
          </cell>
          <cell r="G106">
            <v>2.9</v>
          </cell>
          <cell r="H106">
            <v>5.2</v>
          </cell>
          <cell r="I106">
            <v>16.899999999999999</v>
          </cell>
          <cell r="J106">
            <v>27.4</v>
          </cell>
          <cell r="K106">
            <v>33.700000000000003</v>
          </cell>
          <cell r="L106">
            <v>48</v>
          </cell>
          <cell r="M106">
            <v>84.8</v>
          </cell>
          <cell r="N106">
            <v>76.7</v>
          </cell>
          <cell r="O106">
            <v>72</v>
          </cell>
          <cell r="P106">
            <v>72</v>
          </cell>
          <cell r="Q106">
            <v>99.3</v>
          </cell>
          <cell r="R106">
            <v>91.3</v>
          </cell>
          <cell r="S106">
            <v>113.4</v>
          </cell>
          <cell r="T106">
            <v>119</v>
          </cell>
          <cell r="U106">
            <v>108.6</v>
          </cell>
          <cell r="V106">
            <v>113.2</v>
          </cell>
          <cell r="X106" t="str">
            <v>PV</v>
          </cell>
          <cell r="Y106" t="str">
            <v>USA</v>
          </cell>
          <cell r="Z106" t="str">
            <v>CH</v>
          </cell>
          <cell r="AA106" t="str">
            <v>CHR</v>
          </cell>
          <cell r="AB106" t="str">
            <v>TCPV</v>
          </cell>
          <cell r="AC106" t="str">
            <v>D</v>
          </cell>
        </row>
        <row r="107">
          <cell r="C107" t="str">
            <v>Chrysler</v>
          </cell>
          <cell r="D107" t="str">
            <v xml:space="preserve">Voyager </v>
          </cell>
          <cell r="E107" t="str">
            <v>Chrysler Voyager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0.1</v>
          </cell>
          <cell r="Q107">
            <v>70.5</v>
          </cell>
          <cell r="R107">
            <v>155.5</v>
          </cell>
          <cell r="S107">
            <v>162.1</v>
          </cell>
          <cell r="T107">
            <v>151.69999999999999</v>
          </cell>
          <cell r="U107">
            <v>136.69999999999999</v>
          </cell>
          <cell r="V107">
            <v>122.9</v>
          </cell>
          <cell r="X107" t="str">
            <v>PV</v>
          </cell>
          <cell r="Y107" t="str">
            <v>USA</v>
          </cell>
          <cell r="Z107" t="str">
            <v>DC</v>
          </cell>
          <cell r="AA107" t="str">
            <v>CHR</v>
          </cell>
          <cell r="AB107" t="str">
            <v>TCPV</v>
          </cell>
          <cell r="AC107" t="str">
            <v>D</v>
          </cell>
        </row>
        <row r="108">
          <cell r="C108" t="str">
            <v>Daewoo</v>
          </cell>
          <cell r="D108" t="str">
            <v>R100</v>
          </cell>
          <cell r="E108" t="str">
            <v>Daewoo R100 Passenger Van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5.9</v>
          </cell>
          <cell r="S108">
            <v>8.6</v>
          </cell>
          <cell r="T108">
            <v>9.8000000000000007</v>
          </cell>
          <cell r="U108">
            <v>11</v>
          </cell>
          <cell r="V108">
            <v>8.5</v>
          </cell>
          <cell r="X108" t="str">
            <v>PV</v>
          </cell>
          <cell r="Y108" t="str">
            <v>KOR</v>
          </cell>
          <cell r="Z108" t="str">
            <v>DA</v>
          </cell>
          <cell r="AA108" t="str">
            <v>DAE</v>
          </cell>
          <cell r="AB108" t="str">
            <v>TCPV</v>
          </cell>
          <cell r="AC108" t="str">
            <v>I</v>
          </cell>
        </row>
        <row r="109">
          <cell r="C109" t="str">
            <v>Dodge</v>
          </cell>
          <cell r="D109" t="str">
            <v>Caravan</v>
          </cell>
          <cell r="E109" t="str">
            <v>Dodge Caravan</v>
          </cell>
          <cell r="F109">
            <v>206.4</v>
          </cell>
          <cell r="G109">
            <v>195.3</v>
          </cell>
          <cell r="H109">
            <v>207.9</v>
          </cell>
          <cell r="I109">
            <v>244.1</v>
          </cell>
          <cell r="J109">
            <v>262.8</v>
          </cell>
          <cell r="K109">
            <v>268</v>
          </cell>
          <cell r="L109">
            <v>264.7</v>
          </cell>
          <cell r="M109">
            <v>300.3</v>
          </cell>
          <cell r="N109">
            <v>285.7</v>
          </cell>
          <cell r="O109">
            <v>293.8</v>
          </cell>
          <cell r="P109">
            <v>293.10000000000002</v>
          </cell>
          <cell r="Q109">
            <v>285.7</v>
          </cell>
          <cell r="R109">
            <v>336.5</v>
          </cell>
          <cell r="S109">
            <v>319</v>
          </cell>
          <cell r="T109">
            <v>293.10000000000002</v>
          </cell>
          <cell r="U109">
            <v>267</v>
          </cell>
          <cell r="V109">
            <v>260.3</v>
          </cell>
          <cell r="X109" t="str">
            <v>PV</v>
          </cell>
          <cell r="Y109" t="str">
            <v>USA</v>
          </cell>
          <cell r="Z109" t="str">
            <v>CH</v>
          </cell>
          <cell r="AA109" t="str">
            <v>DOD</v>
          </cell>
          <cell r="AB109" t="str">
            <v>TCPV</v>
          </cell>
          <cell r="AC109" t="str">
            <v>D</v>
          </cell>
        </row>
        <row r="110">
          <cell r="C110" t="str">
            <v>Ford</v>
          </cell>
          <cell r="D110" t="str">
            <v>Aerostar Passenger Van</v>
          </cell>
          <cell r="E110" t="str">
            <v>Ford Aerostar</v>
          </cell>
          <cell r="F110">
            <v>170.7</v>
          </cell>
          <cell r="G110">
            <v>164.3</v>
          </cell>
          <cell r="H110">
            <v>137.1</v>
          </cell>
          <cell r="I110">
            <v>157.4</v>
          </cell>
          <cell r="J110">
            <v>181.7</v>
          </cell>
          <cell r="K110">
            <v>159.5</v>
          </cell>
          <cell r="L110">
            <v>79.8</v>
          </cell>
          <cell r="M110">
            <v>64.3</v>
          </cell>
          <cell r="N110">
            <v>38</v>
          </cell>
          <cell r="O110">
            <v>1</v>
          </cell>
          <cell r="X110" t="str">
            <v>PV</v>
          </cell>
          <cell r="Y110" t="str">
            <v>USA</v>
          </cell>
          <cell r="Z110" t="str">
            <v>FO</v>
          </cell>
          <cell r="AA110" t="str">
            <v>FOR</v>
          </cell>
          <cell r="AB110" t="str">
            <v>TCPV</v>
          </cell>
          <cell r="AC110" t="str">
            <v>D</v>
          </cell>
        </row>
        <row r="111">
          <cell r="C111" t="str">
            <v>Ford</v>
          </cell>
          <cell r="D111" t="str">
            <v>Windstar Passenger Van</v>
          </cell>
          <cell r="E111" t="str">
            <v>Ford Windstar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123.7</v>
          </cell>
          <cell r="L111">
            <v>222.8</v>
          </cell>
          <cell r="M111">
            <v>207.1</v>
          </cell>
          <cell r="N111">
            <v>195.2</v>
          </cell>
          <cell r="O111">
            <v>185.5</v>
          </cell>
          <cell r="P111">
            <v>208.6</v>
          </cell>
          <cell r="Q111">
            <v>217.9</v>
          </cell>
          <cell r="R111">
            <v>232</v>
          </cell>
          <cell r="S111">
            <v>241.5</v>
          </cell>
          <cell r="T111">
            <v>228.6</v>
          </cell>
          <cell r="U111">
            <v>215</v>
          </cell>
          <cell r="V111">
            <v>200.9</v>
          </cell>
          <cell r="X111" t="str">
            <v>PV</v>
          </cell>
          <cell r="Y111" t="str">
            <v>USA</v>
          </cell>
          <cell r="Z111" t="str">
            <v>FO</v>
          </cell>
          <cell r="AA111" t="str">
            <v>FOR</v>
          </cell>
          <cell r="AB111" t="str">
            <v>TCPV</v>
          </cell>
          <cell r="AC111" t="str">
            <v>D</v>
          </cell>
        </row>
        <row r="112">
          <cell r="C112" t="str">
            <v>GMC</v>
          </cell>
          <cell r="D112" t="str">
            <v>Safari Passenger Van</v>
          </cell>
          <cell r="E112" t="str">
            <v>GMC Safari</v>
          </cell>
          <cell r="F112">
            <v>19.600000000000001</v>
          </cell>
          <cell r="G112">
            <v>23.3</v>
          </cell>
          <cell r="H112">
            <v>22.6</v>
          </cell>
          <cell r="I112">
            <v>29.3</v>
          </cell>
          <cell r="J112">
            <v>34</v>
          </cell>
          <cell r="K112">
            <v>33.200000000000003</v>
          </cell>
          <cell r="L112">
            <v>27.1</v>
          </cell>
          <cell r="M112">
            <v>27.9</v>
          </cell>
          <cell r="N112">
            <v>25.7</v>
          </cell>
          <cell r="O112">
            <v>24.5</v>
          </cell>
          <cell r="P112">
            <v>24.1</v>
          </cell>
          <cell r="Q112">
            <v>24</v>
          </cell>
          <cell r="R112">
            <v>20.5</v>
          </cell>
          <cell r="S112">
            <v>19.3</v>
          </cell>
          <cell r="T112">
            <v>22.5</v>
          </cell>
          <cell r="U112">
            <v>26</v>
          </cell>
          <cell r="V112">
            <v>27</v>
          </cell>
          <cell r="X112" t="str">
            <v>PV</v>
          </cell>
          <cell r="Y112" t="str">
            <v>USA</v>
          </cell>
          <cell r="Z112" t="str">
            <v>GM</v>
          </cell>
          <cell r="AA112" t="str">
            <v>GMC</v>
          </cell>
          <cell r="AB112" t="str">
            <v>TCPV</v>
          </cell>
          <cell r="AC112" t="str">
            <v>D</v>
          </cell>
        </row>
        <row r="113">
          <cell r="C113" t="str">
            <v>Honda</v>
          </cell>
          <cell r="D113" t="str">
            <v>MAV 4-door</v>
          </cell>
          <cell r="E113" t="str">
            <v>Honda MAV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6.8</v>
          </cell>
          <cell r="T113">
            <v>71</v>
          </cell>
          <cell r="U113">
            <v>81.5</v>
          </cell>
          <cell r="V113">
            <v>93.5</v>
          </cell>
          <cell r="X113" t="str">
            <v>S4</v>
          </cell>
          <cell r="Y113" t="str">
            <v>USAJ</v>
          </cell>
          <cell r="Z113" t="str">
            <v>HO</v>
          </cell>
          <cell r="AA113" t="str">
            <v>HON</v>
          </cell>
          <cell r="AB113" t="str">
            <v>TMLSU</v>
          </cell>
          <cell r="AC113" t="str">
            <v>U</v>
          </cell>
        </row>
        <row r="114">
          <cell r="C114" t="str">
            <v>Kia</v>
          </cell>
          <cell r="D114" t="str">
            <v>Sedona Passenger Van</v>
          </cell>
          <cell r="E114" t="str">
            <v>Kia Sedona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7.3</v>
          </cell>
          <cell r="V114">
            <v>11.5</v>
          </cell>
          <cell r="X114" t="str">
            <v>PV</v>
          </cell>
          <cell r="Y114" t="str">
            <v>KOR</v>
          </cell>
          <cell r="Z114" t="str">
            <v>KI</v>
          </cell>
          <cell r="AA114" t="str">
            <v>KIA</v>
          </cell>
          <cell r="AB114" t="str">
            <v>TCPV</v>
          </cell>
          <cell r="AC114" t="str">
            <v>I</v>
          </cell>
        </row>
        <row r="115">
          <cell r="C115" t="str">
            <v>Mazda</v>
          </cell>
          <cell r="D115" t="str">
            <v>MPV Passenger Van</v>
          </cell>
          <cell r="E115" t="str">
            <v>Mazda MPV</v>
          </cell>
          <cell r="F115">
            <v>37.299999999999997</v>
          </cell>
          <cell r="G115">
            <v>43.1</v>
          </cell>
          <cell r="H115">
            <v>48.1</v>
          </cell>
          <cell r="I115">
            <v>32.5</v>
          </cell>
          <cell r="J115">
            <v>30.6</v>
          </cell>
          <cell r="K115">
            <v>28.2</v>
          </cell>
          <cell r="L115">
            <v>15.7</v>
          </cell>
          <cell r="M115">
            <v>14.4</v>
          </cell>
          <cell r="N115">
            <v>15.6</v>
          </cell>
          <cell r="O115">
            <v>12.4</v>
          </cell>
          <cell r="P115">
            <v>16.100000000000001</v>
          </cell>
          <cell r="Q115">
            <v>35.6</v>
          </cell>
          <cell r="R115">
            <v>33.6</v>
          </cell>
          <cell r="S115">
            <v>25.9</v>
          </cell>
          <cell r="T115">
            <v>22.2</v>
          </cell>
          <cell r="U115">
            <v>17.600000000000001</v>
          </cell>
          <cell r="V115">
            <v>21.4</v>
          </cell>
          <cell r="X115" t="str">
            <v>PV</v>
          </cell>
          <cell r="Y115" t="str">
            <v>JPN</v>
          </cell>
          <cell r="Z115" t="str">
            <v>MA</v>
          </cell>
          <cell r="AA115" t="str">
            <v>MAZ</v>
          </cell>
          <cell r="AB115" t="str">
            <v>TCPV</v>
          </cell>
          <cell r="AC115" t="str">
            <v>I</v>
          </cell>
        </row>
        <row r="116">
          <cell r="C116" t="str">
            <v>Mercury</v>
          </cell>
          <cell r="D116" t="str">
            <v>D219 Lifestyle Wagon</v>
          </cell>
          <cell r="E116" t="str">
            <v>Mercury D219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T116">
            <v>13.8</v>
          </cell>
          <cell r="U116">
            <v>59.3</v>
          </cell>
          <cell r="V116">
            <v>50.7</v>
          </cell>
          <cell r="X116" t="str">
            <v>S4</v>
          </cell>
          <cell r="Y116" t="str">
            <v>USA</v>
          </cell>
          <cell r="Z116" t="str">
            <v>FO</v>
          </cell>
          <cell r="AA116" t="str">
            <v>MER</v>
          </cell>
          <cell r="AB116" t="str">
            <v>TMHSU</v>
          </cell>
          <cell r="AC116" t="str">
            <v>D</v>
          </cell>
        </row>
        <row r="117">
          <cell r="C117" t="str">
            <v>Mercury</v>
          </cell>
          <cell r="D117" t="str">
            <v>Villager</v>
          </cell>
          <cell r="E117" t="str">
            <v>Mercury Villager</v>
          </cell>
          <cell r="F117">
            <v>0</v>
          </cell>
          <cell r="G117">
            <v>0</v>
          </cell>
          <cell r="H117">
            <v>0</v>
          </cell>
          <cell r="I117">
            <v>14.7</v>
          </cell>
          <cell r="J117">
            <v>71.599999999999994</v>
          </cell>
          <cell r="K117">
            <v>76.8</v>
          </cell>
          <cell r="L117">
            <v>75.8</v>
          </cell>
          <cell r="M117">
            <v>65.599999999999994</v>
          </cell>
          <cell r="N117">
            <v>55.2</v>
          </cell>
          <cell r="O117">
            <v>38.5</v>
          </cell>
          <cell r="P117">
            <v>45.3</v>
          </cell>
          <cell r="Q117">
            <v>30.4</v>
          </cell>
          <cell r="R117">
            <v>14.1</v>
          </cell>
          <cell r="U117">
            <v>0</v>
          </cell>
          <cell r="V117">
            <v>0</v>
          </cell>
          <cell r="X117" t="str">
            <v>PV</v>
          </cell>
          <cell r="Y117" t="str">
            <v>USA-JV</v>
          </cell>
          <cell r="Z117" t="str">
            <v>FO</v>
          </cell>
          <cell r="AA117" t="str">
            <v>MER</v>
          </cell>
          <cell r="AB117" t="str">
            <v>TCPV</v>
          </cell>
          <cell r="AC117" t="str">
            <v>JV</v>
          </cell>
        </row>
        <row r="118">
          <cell r="C118" t="str">
            <v>Mitsubishi</v>
          </cell>
          <cell r="D118" t="str">
            <v>Passenger Van</v>
          </cell>
          <cell r="E118" t="str">
            <v>Mitsubishi Passenger Van</v>
          </cell>
          <cell r="F118">
            <v>1.9</v>
          </cell>
          <cell r="G118">
            <v>1.2</v>
          </cell>
          <cell r="H118">
            <v>0.2</v>
          </cell>
          <cell r="X118" t="str">
            <v>PV</v>
          </cell>
          <cell r="Y118" t="str">
            <v>JPN</v>
          </cell>
          <cell r="Z118" t="str">
            <v>MI</v>
          </cell>
          <cell r="AA118" t="str">
            <v>MIT</v>
          </cell>
          <cell r="AB118" t="str">
            <v>TCPV</v>
          </cell>
          <cell r="AC118" t="str">
            <v>I</v>
          </cell>
        </row>
        <row r="119">
          <cell r="C119" t="str">
            <v>Nissan</v>
          </cell>
          <cell r="D119" t="str">
            <v>Quest</v>
          </cell>
          <cell r="E119" t="str">
            <v>Nissan Quest</v>
          </cell>
          <cell r="F119">
            <v>0</v>
          </cell>
          <cell r="G119">
            <v>0</v>
          </cell>
          <cell r="H119">
            <v>0</v>
          </cell>
          <cell r="I119">
            <v>8.5</v>
          </cell>
          <cell r="J119">
            <v>45.4</v>
          </cell>
          <cell r="K119">
            <v>49.7</v>
          </cell>
          <cell r="L119">
            <v>53.6</v>
          </cell>
          <cell r="M119">
            <v>46.6</v>
          </cell>
          <cell r="N119">
            <v>46.9</v>
          </cell>
          <cell r="O119">
            <v>30.5</v>
          </cell>
          <cell r="P119">
            <v>44.5</v>
          </cell>
          <cell r="Q119">
            <v>42.8</v>
          </cell>
          <cell r="R119">
            <v>30.3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X119" t="str">
            <v>PV</v>
          </cell>
          <cell r="Y119" t="str">
            <v>USAJ</v>
          </cell>
          <cell r="Z119" t="str">
            <v>FO</v>
          </cell>
          <cell r="AA119" t="str">
            <v>NIS</v>
          </cell>
          <cell r="AB119" t="str">
            <v>TCPV</v>
          </cell>
          <cell r="AC119" t="str">
            <v>U</v>
          </cell>
        </row>
        <row r="120">
          <cell r="C120" t="str">
            <v>Oldsmobile</v>
          </cell>
          <cell r="D120" t="str">
            <v>Silhouette</v>
          </cell>
          <cell r="E120" t="str">
            <v>Oldsmobile Silhouette</v>
          </cell>
          <cell r="F120">
            <v>2.1</v>
          </cell>
          <cell r="G120">
            <v>25.8</v>
          </cell>
          <cell r="H120">
            <v>19</v>
          </cell>
          <cell r="I120">
            <v>14.8</v>
          </cell>
          <cell r="J120">
            <v>11.9</v>
          </cell>
          <cell r="K120">
            <v>14.5</v>
          </cell>
          <cell r="L120">
            <v>12.3</v>
          </cell>
          <cell r="M120">
            <v>9.3000000000000007</v>
          </cell>
          <cell r="N120">
            <v>24.6</v>
          </cell>
          <cell r="O120">
            <v>37.6</v>
          </cell>
          <cell r="P120">
            <v>41</v>
          </cell>
          <cell r="Q120">
            <v>41.2</v>
          </cell>
          <cell r="R120">
            <v>44</v>
          </cell>
          <cell r="S120">
            <v>40.6</v>
          </cell>
          <cell r="T120">
            <v>45</v>
          </cell>
          <cell r="U120">
            <v>43.1</v>
          </cell>
          <cell r="V120">
            <v>40.6</v>
          </cell>
          <cell r="X120" t="str">
            <v>PV</v>
          </cell>
          <cell r="Y120" t="str">
            <v>USA</v>
          </cell>
          <cell r="Z120" t="str">
            <v>GM</v>
          </cell>
          <cell r="AA120" t="str">
            <v>OLD</v>
          </cell>
          <cell r="AB120" t="str">
            <v>TCPV</v>
          </cell>
          <cell r="AC120" t="str">
            <v>D</v>
          </cell>
        </row>
        <row r="121">
          <cell r="C121" t="str">
            <v>Plymouth</v>
          </cell>
          <cell r="D121" t="str">
            <v xml:space="preserve">Voyager </v>
          </cell>
          <cell r="E121" t="str">
            <v>Plymouth Voyager</v>
          </cell>
          <cell r="F121">
            <v>184.9</v>
          </cell>
          <cell r="G121">
            <v>171.5</v>
          </cell>
          <cell r="H121">
            <v>173.4</v>
          </cell>
          <cell r="I121">
            <v>201</v>
          </cell>
          <cell r="J121">
            <v>211.8</v>
          </cell>
          <cell r="K121">
            <v>211.5</v>
          </cell>
          <cell r="L121">
            <v>181.25700000000001</v>
          </cell>
          <cell r="M121">
            <v>153.9</v>
          </cell>
          <cell r="N121">
            <v>156.1</v>
          </cell>
          <cell r="O121">
            <v>157</v>
          </cell>
          <cell r="P121">
            <v>138.6</v>
          </cell>
          <cell r="Q121">
            <v>28.3</v>
          </cell>
          <cell r="X121" t="str">
            <v>PV</v>
          </cell>
          <cell r="Y121" t="str">
            <v>USA</v>
          </cell>
          <cell r="Z121" t="str">
            <v>CH</v>
          </cell>
          <cell r="AA121" t="str">
            <v>PLY</v>
          </cell>
          <cell r="AB121" t="str">
            <v>TCPV</v>
          </cell>
          <cell r="AC121" t="str">
            <v>D</v>
          </cell>
        </row>
        <row r="122">
          <cell r="C122" t="str">
            <v>Pontiac</v>
          </cell>
          <cell r="D122" t="str">
            <v>Montana</v>
          </cell>
          <cell r="E122" t="str">
            <v>Pontiac Montana</v>
          </cell>
          <cell r="F122">
            <v>2.1</v>
          </cell>
          <cell r="G122">
            <v>29.9</v>
          </cell>
          <cell r="H122">
            <v>23.7</v>
          </cell>
          <cell r="I122">
            <v>29.9</v>
          </cell>
          <cell r="J122">
            <v>28.3</v>
          </cell>
          <cell r="K122">
            <v>34.799999999999997</v>
          </cell>
          <cell r="L122">
            <v>32.5</v>
          </cell>
          <cell r="M122">
            <v>21.4</v>
          </cell>
          <cell r="N122">
            <v>52</v>
          </cell>
          <cell r="O122">
            <v>59</v>
          </cell>
          <cell r="P122">
            <v>64.099999999999994</v>
          </cell>
          <cell r="Q122">
            <v>59.9</v>
          </cell>
          <cell r="R122">
            <v>66.7</v>
          </cell>
          <cell r="S122">
            <v>59.2</v>
          </cell>
          <cell r="T122">
            <v>69.3</v>
          </cell>
          <cell r="U122">
            <v>64</v>
          </cell>
          <cell r="V122">
            <v>59.9</v>
          </cell>
          <cell r="X122" t="str">
            <v>PV</v>
          </cell>
          <cell r="Y122" t="str">
            <v>USA</v>
          </cell>
          <cell r="Z122" t="str">
            <v>GM</v>
          </cell>
          <cell r="AA122" t="str">
            <v>PON</v>
          </cell>
          <cell r="AB122" t="str">
            <v>TCPV</v>
          </cell>
          <cell r="AC122" t="str">
            <v>D</v>
          </cell>
        </row>
        <row r="123">
          <cell r="C123" t="str">
            <v>Toyota</v>
          </cell>
          <cell r="D123" t="str">
            <v>Previa</v>
          </cell>
          <cell r="E123" t="str">
            <v>Toyota Previa</v>
          </cell>
          <cell r="F123">
            <v>4.7</v>
          </cell>
          <cell r="G123">
            <v>42.2</v>
          </cell>
          <cell r="H123">
            <v>52.1</v>
          </cell>
          <cell r="I123">
            <v>39</v>
          </cell>
          <cell r="J123">
            <v>31.2</v>
          </cell>
          <cell r="K123">
            <v>18</v>
          </cell>
          <cell r="L123">
            <v>18.5</v>
          </cell>
          <cell r="M123">
            <v>8.5</v>
          </cell>
          <cell r="N123">
            <v>3.8</v>
          </cell>
          <cell r="X123" t="str">
            <v>PV</v>
          </cell>
          <cell r="Y123" t="str">
            <v>JPN</v>
          </cell>
          <cell r="Z123" t="str">
            <v>TO</v>
          </cell>
          <cell r="AA123" t="str">
            <v>TOY</v>
          </cell>
          <cell r="AB123" t="str">
            <v>TCPV</v>
          </cell>
          <cell r="AC123" t="str">
            <v>I</v>
          </cell>
        </row>
        <row r="124">
          <cell r="C124" t="str">
            <v>Toyota</v>
          </cell>
          <cell r="D124" t="str">
            <v>Sienna (NA)</v>
          </cell>
          <cell r="E124" t="str">
            <v>Toyota Sienna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15.2</v>
          </cell>
          <cell r="O124">
            <v>81.400000000000006</v>
          </cell>
          <cell r="P124">
            <v>98.8</v>
          </cell>
          <cell r="Q124">
            <v>103.1</v>
          </cell>
          <cell r="R124">
            <v>100</v>
          </cell>
          <cell r="S124">
            <v>92.5</v>
          </cell>
          <cell r="T124">
            <v>95.7</v>
          </cell>
          <cell r="U124">
            <v>110.9</v>
          </cell>
          <cell r="V124">
            <v>129</v>
          </cell>
          <cell r="X124" t="str">
            <v>PV</v>
          </cell>
          <cell r="Y124" t="str">
            <v>USAJ</v>
          </cell>
          <cell r="Z124" t="str">
            <v>TO</v>
          </cell>
          <cell r="AA124" t="str">
            <v>TOY</v>
          </cell>
          <cell r="AB124" t="str">
            <v>TCPV</v>
          </cell>
          <cell r="AC124" t="str">
            <v>U</v>
          </cell>
        </row>
        <row r="125">
          <cell r="C125" t="str">
            <v>Volkswagen</v>
          </cell>
          <cell r="D125" t="str">
            <v>Vanagon/Euro Van</v>
          </cell>
          <cell r="E125" t="str">
            <v>Volkswagen Vanagon/Euro Van</v>
          </cell>
          <cell r="F125">
            <v>5</v>
          </cell>
          <cell r="G125">
            <v>6.4</v>
          </cell>
          <cell r="H125">
            <v>5</v>
          </cell>
          <cell r="I125">
            <v>2.7</v>
          </cell>
          <cell r="J125">
            <v>5.6</v>
          </cell>
          <cell r="K125">
            <v>4.7</v>
          </cell>
          <cell r="L125">
            <v>1</v>
          </cell>
          <cell r="M125">
            <v>1</v>
          </cell>
          <cell r="N125">
            <v>1.8</v>
          </cell>
          <cell r="O125">
            <v>1.7</v>
          </cell>
          <cell r="P125">
            <v>3.4</v>
          </cell>
          <cell r="Q125">
            <v>2.7</v>
          </cell>
          <cell r="R125">
            <v>1.9</v>
          </cell>
          <cell r="S125">
            <v>1.2</v>
          </cell>
          <cell r="T125">
            <v>0.9</v>
          </cell>
          <cell r="U125">
            <v>1</v>
          </cell>
          <cell r="V125">
            <v>1.3</v>
          </cell>
          <cell r="X125" t="str">
            <v>PV</v>
          </cell>
          <cell r="Y125" t="str">
            <v>GER</v>
          </cell>
          <cell r="Z125" t="str">
            <v>VW</v>
          </cell>
          <cell r="AA125" t="str">
            <v>VOK</v>
          </cell>
          <cell r="AB125" t="str">
            <v>TCPV</v>
          </cell>
          <cell r="AC125" t="str">
            <v>I</v>
          </cell>
        </row>
        <row r="126">
          <cell r="C126" t="str">
            <v>Volvo</v>
          </cell>
          <cell r="D126" t="str">
            <v>D-Van</v>
          </cell>
          <cell r="E126" t="str">
            <v>Volvo D-Van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1.4</v>
          </cell>
          <cell r="U126">
            <v>40.9</v>
          </cell>
          <cell r="V126">
            <v>46.7</v>
          </cell>
          <cell r="X126" t="str">
            <v>PV</v>
          </cell>
          <cell r="Y126" t="str">
            <v>USAS</v>
          </cell>
          <cell r="Z126" t="str">
            <v>FO</v>
          </cell>
          <cell r="AA126" t="str">
            <v>VOL</v>
          </cell>
          <cell r="AB126" t="str">
            <v>TCPV</v>
          </cell>
          <cell r="AC126" t="str">
            <v>U</v>
          </cell>
        </row>
        <row r="128">
          <cell r="C128" t="str">
            <v>Cadillac</v>
          </cell>
          <cell r="D128" t="str">
            <v>LAV 4-door</v>
          </cell>
          <cell r="E128" t="str">
            <v>Cadillac LAV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11.4</v>
          </cell>
          <cell r="T128">
            <v>38</v>
          </cell>
          <cell r="U128">
            <v>43.9</v>
          </cell>
          <cell r="V128">
            <v>45.6</v>
          </cell>
          <cell r="X128" t="str">
            <v>S4</v>
          </cell>
          <cell r="Y128" t="str">
            <v>USA</v>
          </cell>
          <cell r="Z128" t="str">
            <v>GM</v>
          </cell>
          <cell r="AA128" t="str">
            <v>CAD</v>
          </cell>
          <cell r="AB128" t="str">
            <v>TLSU</v>
          </cell>
          <cell r="AC128" t="str">
            <v>D</v>
          </cell>
        </row>
        <row r="129">
          <cell r="C129" t="str">
            <v>Chevrolet</v>
          </cell>
          <cell r="D129" t="str">
            <v xml:space="preserve">Express Passenger Van </v>
          </cell>
          <cell r="E129" t="str">
            <v>Chevrolet Express Passenger Van</v>
          </cell>
          <cell r="F129">
            <v>10.3</v>
          </cell>
          <cell r="G129">
            <v>8.3000000000000007</v>
          </cell>
          <cell r="H129">
            <v>8.5</v>
          </cell>
          <cell r="I129">
            <v>7.3</v>
          </cell>
          <cell r="J129">
            <v>6.3</v>
          </cell>
          <cell r="K129">
            <v>6.1</v>
          </cell>
          <cell r="L129">
            <v>6.9</v>
          </cell>
          <cell r="M129">
            <v>4.2</v>
          </cell>
          <cell r="N129">
            <v>6</v>
          </cell>
          <cell r="O129">
            <v>8.6999999999999993</v>
          </cell>
          <cell r="P129">
            <v>13.2</v>
          </cell>
          <cell r="Q129">
            <v>14.5</v>
          </cell>
          <cell r="R129">
            <v>12</v>
          </cell>
          <cell r="S129">
            <v>10.7</v>
          </cell>
          <cell r="T129">
            <v>9.5</v>
          </cell>
          <cell r="U129">
            <v>7.6</v>
          </cell>
          <cell r="V129">
            <v>6.8</v>
          </cell>
          <cell r="X129" t="str">
            <v>PV</v>
          </cell>
          <cell r="Y129" t="str">
            <v>USA</v>
          </cell>
          <cell r="Z129" t="str">
            <v>GM</v>
          </cell>
          <cell r="AA129" t="str">
            <v>CHE</v>
          </cell>
          <cell r="AB129" t="str">
            <v>TFSPV</v>
          </cell>
          <cell r="AC129" t="str">
            <v>D</v>
          </cell>
        </row>
        <row r="130">
          <cell r="C130" t="str">
            <v>Dodge</v>
          </cell>
          <cell r="D130" t="str">
            <v>Ram Passenger Wagon</v>
          </cell>
          <cell r="E130" t="str">
            <v>Dodge Ram Passenger Van</v>
          </cell>
          <cell r="F130">
            <v>24.1</v>
          </cell>
          <cell r="G130">
            <v>20.6</v>
          </cell>
          <cell r="H130">
            <v>17</v>
          </cell>
          <cell r="I130">
            <v>18.5</v>
          </cell>
          <cell r="J130">
            <v>19.2</v>
          </cell>
          <cell r="K130">
            <v>26</v>
          </cell>
          <cell r="L130">
            <v>17.100000000000001</v>
          </cell>
          <cell r="M130">
            <v>20.100000000000001</v>
          </cell>
          <cell r="N130">
            <v>17.399999999999999</v>
          </cell>
          <cell r="O130">
            <v>16.899999999999999</v>
          </cell>
          <cell r="P130">
            <v>19.8</v>
          </cell>
          <cell r="Q130">
            <v>20.6</v>
          </cell>
          <cell r="R130">
            <v>19.100000000000001</v>
          </cell>
          <cell r="S130">
            <v>17.5</v>
          </cell>
          <cell r="T130">
            <v>14.8</v>
          </cell>
          <cell r="U130">
            <v>14</v>
          </cell>
          <cell r="V130">
            <v>13.5</v>
          </cell>
          <cell r="X130" t="str">
            <v>PV</v>
          </cell>
          <cell r="Y130" t="str">
            <v>USA</v>
          </cell>
          <cell r="Z130" t="str">
            <v>CH</v>
          </cell>
          <cell r="AA130" t="str">
            <v>DOD</v>
          </cell>
          <cell r="AB130" t="str">
            <v>TFSPV</v>
          </cell>
          <cell r="AC130" t="str">
            <v>D</v>
          </cell>
        </row>
        <row r="131">
          <cell r="C131" t="str">
            <v>Ford</v>
          </cell>
          <cell r="D131" t="str">
            <v>Club Wagon</v>
          </cell>
          <cell r="E131" t="str">
            <v>Ford Econoline Wagon</v>
          </cell>
          <cell r="F131">
            <v>25.6</v>
          </cell>
          <cell r="G131">
            <v>20.9</v>
          </cell>
          <cell r="H131">
            <v>20</v>
          </cell>
          <cell r="I131">
            <v>32.9</v>
          </cell>
          <cell r="J131">
            <v>32.1</v>
          </cell>
          <cell r="K131">
            <v>32.200000000000003</v>
          </cell>
          <cell r="L131">
            <v>37</v>
          </cell>
          <cell r="M131">
            <v>32.700000000000003</v>
          </cell>
          <cell r="N131">
            <v>36.6</v>
          </cell>
          <cell r="O131">
            <v>36.1</v>
          </cell>
          <cell r="P131">
            <v>32.1</v>
          </cell>
          <cell r="Q131">
            <v>29</v>
          </cell>
          <cell r="R131">
            <v>29</v>
          </cell>
          <cell r="S131">
            <v>34.799999999999997</v>
          </cell>
          <cell r="T131">
            <v>40.1</v>
          </cell>
          <cell r="U131">
            <v>39</v>
          </cell>
          <cell r="V131">
            <v>36.1</v>
          </cell>
          <cell r="X131" t="str">
            <v>PV</v>
          </cell>
          <cell r="Y131" t="str">
            <v>USA</v>
          </cell>
          <cell r="Z131" t="str">
            <v>FO</v>
          </cell>
          <cell r="AA131" t="str">
            <v>FOR</v>
          </cell>
          <cell r="AB131" t="str">
            <v>TFSPV</v>
          </cell>
          <cell r="AC131" t="str">
            <v>D</v>
          </cell>
        </row>
        <row r="132">
          <cell r="C132" t="str">
            <v>GMC</v>
          </cell>
          <cell r="D132" t="str">
            <v>Savana Passenger Van</v>
          </cell>
          <cell r="E132" t="str">
            <v>GMC Savana Van</v>
          </cell>
          <cell r="F132">
            <v>7.3</v>
          </cell>
          <cell r="G132">
            <v>5.8</v>
          </cell>
          <cell r="H132">
            <v>5.2</v>
          </cell>
          <cell r="I132">
            <v>3.1</v>
          </cell>
          <cell r="J132">
            <v>2.2000000000000002</v>
          </cell>
          <cell r="K132">
            <v>1.8</v>
          </cell>
          <cell r="L132">
            <v>2.6</v>
          </cell>
          <cell r="M132">
            <v>1.3</v>
          </cell>
          <cell r="N132">
            <v>2.2000000000000002</v>
          </cell>
          <cell r="O132">
            <v>2.9</v>
          </cell>
          <cell r="P132">
            <v>3</v>
          </cell>
          <cell r="Q132">
            <v>3.8</v>
          </cell>
          <cell r="R132">
            <v>2.7</v>
          </cell>
          <cell r="S132">
            <v>2.2999999999999998</v>
          </cell>
          <cell r="T132">
            <v>2</v>
          </cell>
          <cell r="U132">
            <v>2.2000000000000002</v>
          </cell>
          <cell r="V132">
            <v>1.9</v>
          </cell>
          <cell r="X132" t="str">
            <v>PV</v>
          </cell>
          <cell r="Y132" t="str">
            <v>USA</v>
          </cell>
          <cell r="Z132" t="str">
            <v>GM</v>
          </cell>
          <cell r="AA132" t="str">
            <v>GMC</v>
          </cell>
          <cell r="AB132" t="str">
            <v>TFSPV</v>
          </cell>
          <cell r="AC132" t="str">
            <v>D</v>
          </cell>
        </row>
        <row r="134">
          <cell r="C134" t="str">
            <v>Chevrolet</v>
          </cell>
          <cell r="D134" t="str">
            <v>Astro Cargo Van</v>
          </cell>
          <cell r="E134" t="str">
            <v>Chevrolet Astro</v>
          </cell>
          <cell r="F134">
            <v>54.7</v>
          </cell>
          <cell r="G134">
            <v>44.5</v>
          </cell>
          <cell r="H134">
            <v>34.6</v>
          </cell>
          <cell r="I134">
            <v>35.700000000000003</v>
          </cell>
          <cell r="J134">
            <v>39</v>
          </cell>
          <cell r="K134">
            <v>50.2</v>
          </cell>
          <cell r="L134">
            <v>46.8</v>
          </cell>
          <cell r="M134">
            <v>40.1</v>
          </cell>
          <cell r="N134">
            <v>36.9</v>
          </cell>
          <cell r="O134">
            <v>32.700000000000003</v>
          </cell>
          <cell r="P134">
            <v>33.4</v>
          </cell>
          <cell r="Q134">
            <v>32.299999999999997</v>
          </cell>
          <cell r="R134">
            <v>25</v>
          </cell>
          <cell r="S134">
            <v>21.6</v>
          </cell>
          <cell r="T134">
            <v>23</v>
          </cell>
          <cell r="U134">
            <v>30.4</v>
          </cell>
          <cell r="V134">
            <v>28.8</v>
          </cell>
          <cell r="X134" t="str">
            <v>CV</v>
          </cell>
          <cell r="Y134" t="str">
            <v>USA</v>
          </cell>
          <cell r="Z134" t="str">
            <v>GM</v>
          </cell>
          <cell r="AA134" t="str">
            <v>CHE</v>
          </cell>
          <cell r="AB134" t="str">
            <v>TCCV</v>
          </cell>
          <cell r="AC134" t="str">
            <v>D</v>
          </cell>
        </row>
        <row r="135">
          <cell r="C135" t="str">
            <v>Chevrolet</v>
          </cell>
          <cell r="D135" t="str">
            <v>Lumina Cargo Van</v>
          </cell>
          <cell r="E135" t="str">
            <v>Chevrolet Lumina</v>
          </cell>
          <cell r="F135">
            <v>0</v>
          </cell>
          <cell r="G135">
            <v>3.1</v>
          </cell>
          <cell r="H135">
            <v>2.1</v>
          </cell>
          <cell r="I135">
            <v>0.6</v>
          </cell>
          <cell r="J135">
            <v>0.4</v>
          </cell>
          <cell r="K135">
            <v>1.3</v>
          </cell>
          <cell r="L135">
            <v>1.4</v>
          </cell>
          <cell r="M135">
            <v>0.4</v>
          </cell>
          <cell r="N135">
            <v>0</v>
          </cell>
          <cell r="X135" t="str">
            <v>CV</v>
          </cell>
          <cell r="Y135" t="str">
            <v>USA</v>
          </cell>
          <cell r="Z135" t="str">
            <v>GM</v>
          </cell>
          <cell r="AA135" t="str">
            <v>CHE</v>
          </cell>
          <cell r="AB135" t="str">
            <v>TCCV</v>
          </cell>
          <cell r="AC135" t="str">
            <v>D</v>
          </cell>
        </row>
        <row r="136">
          <cell r="C136" t="str">
            <v>Dodge</v>
          </cell>
          <cell r="D136" t="str">
            <v>Caravan C/V</v>
          </cell>
          <cell r="E136" t="str">
            <v>Dodge Caravan C/V</v>
          </cell>
          <cell r="F136">
            <v>13.2</v>
          </cell>
          <cell r="G136">
            <v>10.7</v>
          </cell>
          <cell r="H136">
            <v>8.6</v>
          </cell>
          <cell r="I136">
            <v>7.8</v>
          </cell>
          <cell r="J136">
            <v>8.6999999999999993</v>
          </cell>
          <cell r="K136">
            <v>9</v>
          </cell>
          <cell r="L136">
            <v>2.9</v>
          </cell>
          <cell r="X136" t="str">
            <v>CV</v>
          </cell>
          <cell r="Y136" t="str">
            <v>USA</v>
          </cell>
          <cell r="Z136" t="str">
            <v>CH</v>
          </cell>
          <cell r="AA136" t="str">
            <v>DOD</v>
          </cell>
          <cell r="AB136" t="str">
            <v>TCCV</v>
          </cell>
          <cell r="AC136" t="str">
            <v>D</v>
          </cell>
        </row>
        <row r="137">
          <cell r="C137" t="str">
            <v>Ford</v>
          </cell>
          <cell r="D137" t="str">
            <v>Aerostar Cargo Van</v>
          </cell>
          <cell r="E137" t="str">
            <v>Ford Aerostar</v>
          </cell>
          <cell r="F137">
            <v>17.2</v>
          </cell>
          <cell r="G137">
            <v>13.6</v>
          </cell>
          <cell r="H137">
            <v>10.3</v>
          </cell>
          <cell r="I137">
            <v>9.5</v>
          </cell>
          <cell r="J137">
            <v>9.4</v>
          </cell>
          <cell r="K137">
            <v>8.6</v>
          </cell>
          <cell r="L137">
            <v>7.8</v>
          </cell>
          <cell r="M137">
            <v>9.3000000000000007</v>
          </cell>
          <cell r="N137">
            <v>6.8</v>
          </cell>
          <cell r="X137" t="str">
            <v>CV</v>
          </cell>
          <cell r="Y137" t="str">
            <v>USA</v>
          </cell>
          <cell r="Z137" t="str">
            <v>FO</v>
          </cell>
          <cell r="AA137" t="str">
            <v>FOR</v>
          </cell>
          <cell r="AB137" t="str">
            <v>TCCV</v>
          </cell>
          <cell r="AC137" t="str">
            <v>D</v>
          </cell>
        </row>
        <row r="138">
          <cell r="C138" t="str">
            <v>Ford</v>
          </cell>
          <cell r="D138" t="str">
            <v>Windstar Cargo Van</v>
          </cell>
          <cell r="E138" t="str">
            <v>Ford Windstar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0.2</v>
          </cell>
          <cell r="L138">
            <v>1</v>
          </cell>
          <cell r="M138">
            <v>1.9</v>
          </cell>
          <cell r="N138">
            <v>10.199999999999999</v>
          </cell>
          <cell r="O138">
            <v>4.7</v>
          </cell>
          <cell r="P138">
            <v>5.3</v>
          </cell>
          <cell r="Q138">
            <v>4.4000000000000004</v>
          </cell>
          <cell r="R138">
            <v>5</v>
          </cell>
          <cell r="S138">
            <v>4.9000000000000004</v>
          </cell>
          <cell r="T138">
            <v>4.8</v>
          </cell>
          <cell r="U138">
            <v>5</v>
          </cell>
          <cell r="V138">
            <v>0.1</v>
          </cell>
          <cell r="X138" t="str">
            <v>CV</v>
          </cell>
          <cell r="Y138" t="str">
            <v>USA</v>
          </cell>
          <cell r="Z138" t="str">
            <v>FO</v>
          </cell>
          <cell r="AA138" t="str">
            <v>FOR</v>
          </cell>
          <cell r="AB138" t="str">
            <v>TCCV</v>
          </cell>
          <cell r="AC138" t="str">
            <v>D</v>
          </cell>
        </row>
        <row r="139">
          <cell r="C139" t="str">
            <v>GMC</v>
          </cell>
          <cell r="D139" t="str">
            <v>Safari Cargo Van</v>
          </cell>
          <cell r="E139" t="str">
            <v>GMC Safari</v>
          </cell>
          <cell r="F139">
            <v>12.1</v>
          </cell>
          <cell r="G139">
            <v>11.4</v>
          </cell>
          <cell r="H139">
            <v>10.5</v>
          </cell>
          <cell r="I139">
            <v>9.6</v>
          </cell>
          <cell r="J139">
            <v>12.1</v>
          </cell>
          <cell r="K139">
            <v>13</v>
          </cell>
          <cell r="L139">
            <v>12.1</v>
          </cell>
          <cell r="M139">
            <v>12.1</v>
          </cell>
          <cell r="N139">
            <v>10.1</v>
          </cell>
          <cell r="O139">
            <v>6.4</v>
          </cell>
          <cell r="P139">
            <v>7.7</v>
          </cell>
          <cell r="Q139">
            <v>8.4</v>
          </cell>
          <cell r="R139">
            <v>6.3</v>
          </cell>
          <cell r="S139">
            <v>5.5</v>
          </cell>
          <cell r="T139">
            <v>5.5</v>
          </cell>
          <cell r="U139">
            <v>6</v>
          </cell>
          <cell r="V139">
            <v>5</v>
          </cell>
          <cell r="X139" t="str">
            <v>CV</v>
          </cell>
          <cell r="Y139" t="str">
            <v>USA</v>
          </cell>
          <cell r="Z139" t="str">
            <v>GM</v>
          </cell>
          <cell r="AA139" t="str">
            <v>GMC</v>
          </cell>
          <cell r="AB139" t="str">
            <v>TCCV</v>
          </cell>
          <cell r="AC139" t="str">
            <v>D</v>
          </cell>
        </row>
        <row r="140">
          <cell r="C140" t="str">
            <v>Mitsubishi</v>
          </cell>
          <cell r="D140" t="str">
            <v>Cargo Van</v>
          </cell>
          <cell r="E140" t="str">
            <v>Mitsubishi Cargo Van</v>
          </cell>
          <cell r="F140">
            <v>0.9</v>
          </cell>
          <cell r="G140">
            <v>0.7</v>
          </cell>
          <cell r="H140">
            <v>0.1</v>
          </cell>
          <cell r="X140" t="str">
            <v>CV</v>
          </cell>
          <cell r="Y140" t="str">
            <v>JPN</v>
          </cell>
          <cell r="Z140" t="str">
            <v>MI</v>
          </cell>
          <cell r="AA140" t="str">
            <v>MIT</v>
          </cell>
          <cell r="AB140" t="str">
            <v>TCCV</v>
          </cell>
          <cell r="AC140" t="str">
            <v>I</v>
          </cell>
        </row>
        <row r="141">
          <cell r="C141" t="str">
            <v>Nissan</v>
          </cell>
          <cell r="D141" t="str">
            <v>Passenger Van</v>
          </cell>
          <cell r="E141" t="str">
            <v>Nissan Passenger Van</v>
          </cell>
          <cell r="F141">
            <v>3.4</v>
          </cell>
          <cell r="G141">
            <v>0.1</v>
          </cell>
          <cell r="H141">
            <v>0</v>
          </cell>
          <cell r="X141" t="str">
            <v>PV</v>
          </cell>
          <cell r="AA141" t="str">
            <v>NIS</v>
          </cell>
          <cell r="AB141" t="str">
            <v>TCPV</v>
          </cell>
        </row>
        <row r="142">
          <cell r="C142" t="str">
            <v>Toyota</v>
          </cell>
          <cell r="D142" t="str">
            <v>Cargo Van</v>
          </cell>
          <cell r="E142" t="str">
            <v>Toyota Cargo Van</v>
          </cell>
          <cell r="F142">
            <v>5.3</v>
          </cell>
          <cell r="X142" t="str">
            <v>CV</v>
          </cell>
          <cell r="Y142" t="str">
            <v>JPN</v>
          </cell>
          <cell r="Z142" t="str">
            <v>MI</v>
          </cell>
          <cell r="AA142" t="str">
            <v>MIT</v>
          </cell>
          <cell r="AB142" t="str">
            <v>TCCV</v>
          </cell>
          <cell r="AC142" t="str">
            <v>I</v>
          </cell>
        </row>
        <row r="144">
          <cell r="C144" t="str">
            <v>Chevrolet</v>
          </cell>
          <cell r="D144" t="str">
            <v>Express Cargo Van</v>
          </cell>
          <cell r="E144" t="str">
            <v>Chevrolet Express Cargo Van</v>
          </cell>
          <cell r="F144">
            <v>116.3</v>
          </cell>
          <cell r="G144">
            <v>100.1</v>
          </cell>
          <cell r="H144">
            <v>79.8</v>
          </cell>
          <cell r="I144">
            <v>84</v>
          </cell>
          <cell r="J144">
            <v>98.2</v>
          </cell>
          <cell r="K144">
            <v>81.900000000000006</v>
          </cell>
          <cell r="L144">
            <v>80.2</v>
          </cell>
          <cell r="M144">
            <v>76</v>
          </cell>
          <cell r="N144">
            <v>77.400000000000006</v>
          </cell>
          <cell r="O144">
            <v>73.8</v>
          </cell>
          <cell r="P144">
            <v>92.6</v>
          </cell>
          <cell r="Q144">
            <v>98.7</v>
          </cell>
          <cell r="R144">
            <v>90</v>
          </cell>
          <cell r="S144">
            <v>86.6</v>
          </cell>
          <cell r="T144">
            <v>80.3</v>
          </cell>
          <cell r="U144">
            <v>82.1</v>
          </cell>
          <cell r="V144">
            <v>75</v>
          </cell>
          <cell r="X144" t="str">
            <v>CV</v>
          </cell>
          <cell r="Y144" t="str">
            <v>USA</v>
          </cell>
          <cell r="Z144" t="str">
            <v>GM</v>
          </cell>
          <cell r="AA144" t="str">
            <v>CHE</v>
          </cell>
          <cell r="AB144" t="str">
            <v>TFSCV</v>
          </cell>
          <cell r="AC144" t="str">
            <v>D</v>
          </cell>
        </row>
        <row r="145">
          <cell r="C145" t="str">
            <v>Dodge</v>
          </cell>
          <cell r="D145" t="str">
            <v>Ram Cargo Van</v>
          </cell>
          <cell r="E145" t="str">
            <v>Dodge Ram Cargo Van</v>
          </cell>
          <cell r="F145">
            <v>67.8</v>
          </cell>
          <cell r="G145">
            <v>53.4</v>
          </cell>
          <cell r="H145">
            <v>42.5</v>
          </cell>
          <cell r="I145">
            <v>55.3</v>
          </cell>
          <cell r="J145">
            <v>57</v>
          </cell>
          <cell r="K145">
            <v>59.1</v>
          </cell>
          <cell r="L145">
            <v>56.5</v>
          </cell>
          <cell r="M145">
            <v>61.4</v>
          </cell>
          <cell r="N145">
            <v>56.1</v>
          </cell>
          <cell r="O145">
            <v>52.1</v>
          </cell>
          <cell r="P145">
            <v>52.2</v>
          </cell>
          <cell r="Q145">
            <v>49.6</v>
          </cell>
          <cell r="R145">
            <v>49.9</v>
          </cell>
          <cell r="S145">
            <v>50.2</v>
          </cell>
          <cell r="T145">
            <v>45.2</v>
          </cell>
          <cell r="U145">
            <v>40.700000000000003</v>
          </cell>
          <cell r="V145">
            <v>36.1</v>
          </cell>
          <cell r="X145" t="str">
            <v>CV</v>
          </cell>
          <cell r="Y145" t="str">
            <v>USA</v>
          </cell>
          <cell r="Z145" t="str">
            <v>CH</v>
          </cell>
          <cell r="AA145" t="str">
            <v>DOD</v>
          </cell>
          <cell r="AB145" t="str">
            <v>TFSCV</v>
          </cell>
          <cell r="AC145" t="str">
            <v>D</v>
          </cell>
        </row>
        <row r="146">
          <cell r="C146" t="str">
            <v>Ford</v>
          </cell>
          <cell r="D146" t="str">
            <v>Econoline Van</v>
          </cell>
          <cell r="E146" t="str">
            <v>Ford Econoline Van</v>
          </cell>
          <cell r="F146">
            <v>166.2</v>
          </cell>
          <cell r="G146">
            <v>143.6</v>
          </cell>
          <cell r="H146">
            <v>102.3</v>
          </cell>
          <cell r="I146">
            <v>132.6</v>
          </cell>
          <cell r="J146">
            <v>152.30000000000001</v>
          </cell>
          <cell r="K146">
            <v>171.9</v>
          </cell>
          <cell r="L146">
            <v>122.8</v>
          </cell>
          <cell r="M146">
            <v>143.80000000000001</v>
          </cell>
          <cell r="N146">
            <v>150.1</v>
          </cell>
          <cell r="O146">
            <v>169.9</v>
          </cell>
          <cell r="P146">
            <v>170</v>
          </cell>
          <cell r="Q146">
            <v>158</v>
          </cell>
          <cell r="R146">
            <v>166.7</v>
          </cell>
          <cell r="S146">
            <v>159.9</v>
          </cell>
          <cell r="T146">
            <v>172</v>
          </cell>
          <cell r="U146">
            <v>169.9</v>
          </cell>
          <cell r="V146">
            <v>155.1</v>
          </cell>
          <cell r="X146" t="str">
            <v>CV</v>
          </cell>
          <cell r="Y146" t="str">
            <v>USA</v>
          </cell>
          <cell r="Z146" t="str">
            <v>FO</v>
          </cell>
          <cell r="AA146" t="str">
            <v>FOR</v>
          </cell>
          <cell r="AB146" t="str">
            <v>TFSCV</v>
          </cell>
          <cell r="AC146" t="str">
            <v>D</v>
          </cell>
        </row>
        <row r="147">
          <cell r="C147" t="str">
            <v>GMC</v>
          </cell>
          <cell r="D147" t="str">
            <v>Savana Cargo Van</v>
          </cell>
          <cell r="E147" t="str">
            <v>Savana Cargo Van</v>
          </cell>
          <cell r="F147">
            <v>33.200000000000003</v>
          </cell>
          <cell r="G147">
            <v>30.2</v>
          </cell>
          <cell r="H147">
            <v>28.5</v>
          </cell>
          <cell r="I147">
            <v>30.1</v>
          </cell>
          <cell r="J147">
            <v>34.299999999999997</v>
          </cell>
          <cell r="K147">
            <v>30.1</v>
          </cell>
          <cell r="L147">
            <v>25.9</v>
          </cell>
          <cell r="M147">
            <v>28.4</v>
          </cell>
          <cell r="N147">
            <v>31.7</v>
          </cell>
          <cell r="O147">
            <v>32.700000000000003</v>
          </cell>
          <cell r="P147">
            <v>36</v>
          </cell>
          <cell r="Q147">
            <v>38.6</v>
          </cell>
          <cell r="R147">
            <v>33.5</v>
          </cell>
          <cell r="S147">
            <v>29</v>
          </cell>
          <cell r="T147">
            <v>30.5</v>
          </cell>
          <cell r="U147">
            <v>29.2</v>
          </cell>
          <cell r="V147">
            <v>27</v>
          </cell>
          <cell r="X147" t="str">
            <v>CV</v>
          </cell>
          <cell r="Y147" t="str">
            <v>USA</v>
          </cell>
          <cell r="Z147" t="str">
            <v>GM</v>
          </cell>
          <cell r="AA147" t="str">
            <v>GMC</v>
          </cell>
          <cell r="AB147" t="str">
            <v>TFSCV</v>
          </cell>
          <cell r="AC147" t="str">
            <v>D</v>
          </cell>
        </row>
        <row r="149">
          <cell r="C149" t="str">
            <v>Cadillac</v>
          </cell>
          <cell r="D149" t="str">
            <v>Escalade UUV 4-door Pickup</v>
          </cell>
          <cell r="E149" t="str">
            <v>Cadillac Escalade UUV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6.8</v>
          </cell>
          <cell r="S149">
            <v>15.9</v>
          </cell>
          <cell r="T149">
            <v>17.5</v>
          </cell>
          <cell r="U149">
            <v>16.7</v>
          </cell>
          <cell r="V149">
            <v>15.8</v>
          </cell>
          <cell r="X149" t="str">
            <v>4C</v>
          </cell>
          <cell r="Y149" t="str">
            <v>USA</v>
          </cell>
          <cell r="Z149" t="str">
            <v>GM</v>
          </cell>
          <cell r="AA149" t="str">
            <v>CAD</v>
          </cell>
          <cell r="AB149" t="str">
            <v>TFSPU</v>
          </cell>
          <cell r="AC149" t="str">
            <v>D</v>
          </cell>
        </row>
        <row r="150">
          <cell r="C150" t="str">
            <v>Chevrolet</v>
          </cell>
          <cell r="D150" t="str">
            <v>Avalanche 4-door Pickup</v>
          </cell>
          <cell r="E150" t="str">
            <v>Chevrolet Avalanche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9.3000000000000007</v>
          </cell>
          <cell r="R150">
            <v>67.900000000000006</v>
          </cell>
          <cell r="S150">
            <v>72.599999999999994</v>
          </cell>
          <cell r="T150">
            <v>75</v>
          </cell>
          <cell r="U150">
            <v>70.099999999999994</v>
          </cell>
          <cell r="V150">
            <v>71.5</v>
          </cell>
          <cell r="X150" t="str">
            <v>4C</v>
          </cell>
          <cell r="Y150" t="str">
            <v>USA</v>
          </cell>
          <cell r="Z150" t="str">
            <v>GM</v>
          </cell>
          <cell r="AA150" t="str">
            <v>CHE</v>
          </cell>
          <cell r="AB150" t="str">
            <v>TFSPU</v>
          </cell>
          <cell r="AC150" t="str">
            <v>D</v>
          </cell>
        </row>
        <row r="151">
          <cell r="C151" t="str">
            <v>Chevrolet</v>
          </cell>
          <cell r="D151" t="str">
            <v>Blazer Highlander GMT305 4-door</v>
          </cell>
          <cell r="E151" t="str">
            <v>Chevrolet Blazer Highlander (GMT305)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20.3</v>
          </cell>
          <cell r="S151">
            <v>19.7</v>
          </cell>
          <cell r="T151">
            <v>34.6</v>
          </cell>
          <cell r="U151">
            <v>34</v>
          </cell>
          <cell r="V151">
            <v>30.3</v>
          </cell>
          <cell r="X151" t="str">
            <v>4C</v>
          </cell>
          <cell r="Y151" t="str">
            <v>USA</v>
          </cell>
          <cell r="Z151" t="str">
            <v>GM</v>
          </cell>
          <cell r="AA151" t="str">
            <v>CHE</v>
          </cell>
          <cell r="AB151" t="str">
            <v>TCPU</v>
          </cell>
          <cell r="AC151" t="str">
            <v>D</v>
          </cell>
        </row>
        <row r="152">
          <cell r="C152" t="str">
            <v>Chevrolet</v>
          </cell>
          <cell r="D152" t="str">
            <v>S-Series Extended Cab</v>
          </cell>
          <cell r="E152" t="str">
            <v>Chevrolet S-Series Pickup</v>
          </cell>
          <cell r="F152">
            <v>42.3</v>
          </cell>
          <cell r="G152">
            <v>38.299999999999997</v>
          </cell>
          <cell r="H152">
            <v>42.6</v>
          </cell>
          <cell r="I152">
            <v>51.1</v>
          </cell>
          <cell r="J152">
            <v>44.9</v>
          </cell>
          <cell r="K152">
            <v>100.9</v>
          </cell>
          <cell r="L152">
            <v>96.8</v>
          </cell>
          <cell r="M152">
            <v>86.7</v>
          </cell>
          <cell r="N152">
            <v>86.5</v>
          </cell>
          <cell r="O152">
            <v>109.9</v>
          </cell>
          <cell r="P152">
            <v>111.7</v>
          </cell>
          <cell r="Q152">
            <v>99.9</v>
          </cell>
          <cell r="R152">
            <v>86.7</v>
          </cell>
          <cell r="S152">
            <v>81.900000000000006</v>
          </cell>
          <cell r="T152">
            <v>96.3</v>
          </cell>
          <cell r="U152">
            <v>86.8</v>
          </cell>
          <cell r="V152">
            <v>88.2</v>
          </cell>
          <cell r="X152" t="str">
            <v>EC</v>
          </cell>
          <cell r="Y152" t="str">
            <v>USA</v>
          </cell>
          <cell r="Z152" t="str">
            <v>GM</v>
          </cell>
          <cell r="AA152" t="str">
            <v>CHE</v>
          </cell>
          <cell r="AB152" t="str">
            <v>TCPU</v>
          </cell>
          <cell r="AC152" t="str">
            <v>D</v>
          </cell>
        </row>
        <row r="153">
          <cell r="C153" t="str">
            <v>Chevrolet</v>
          </cell>
          <cell r="D153" t="str">
            <v>S-Series Regular Cab</v>
          </cell>
          <cell r="E153" t="str">
            <v>Chevrolet S-Series Pickup</v>
          </cell>
          <cell r="F153">
            <v>186.4</v>
          </cell>
          <cell r="G153">
            <v>172</v>
          </cell>
          <cell r="H153">
            <v>157.6</v>
          </cell>
          <cell r="I153">
            <v>140.9</v>
          </cell>
          <cell r="J153">
            <v>138.80000000000001</v>
          </cell>
          <cell r="K153">
            <v>150.1</v>
          </cell>
          <cell r="L153">
            <v>115.6</v>
          </cell>
          <cell r="M153">
            <v>103.5</v>
          </cell>
          <cell r="N153">
            <v>105.8</v>
          </cell>
          <cell r="O153">
            <v>118.2</v>
          </cell>
          <cell r="P153">
            <v>122</v>
          </cell>
          <cell r="Q153">
            <v>113.3</v>
          </cell>
          <cell r="R153">
            <v>100</v>
          </cell>
          <cell r="S153">
            <v>91.5</v>
          </cell>
          <cell r="T153">
            <v>104.3</v>
          </cell>
          <cell r="U153">
            <v>100.9</v>
          </cell>
          <cell r="V153">
            <v>101.1</v>
          </cell>
          <cell r="X153" t="str">
            <v>RC</v>
          </cell>
          <cell r="Y153" t="str">
            <v>USA</v>
          </cell>
          <cell r="Z153" t="str">
            <v>GM</v>
          </cell>
          <cell r="AA153" t="str">
            <v>CHE</v>
          </cell>
          <cell r="AB153" t="str">
            <v>TCPU</v>
          </cell>
          <cell r="AC153" t="str">
            <v>D</v>
          </cell>
        </row>
        <row r="154">
          <cell r="C154" t="str">
            <v>Dodge</v>
          </cell>
          <cell r="D154" t="str">
            <v>Dakota Quad Cab</v>
          </cell>
          <cell r="E154" t="str">
            <v>Dodge Dakota</v>
          </cell>
          <cell r="O154">
            <v>0</v>
          </cell>
          <cell r="P154">
            <v>11.9</v>
          </cell>
          <cell r="Q154">
            <v>50.4</v>
          </cell>
          <cell r="R154">
            <v>47</v>
          </cell>
          <cell r="S154">
            <v>45.2</v>
          </cell>
          <cell r="T154">
            <v>50</v>
          </cell>
          <cell r="U154">
            <v>47.3</v>
          </cell>
          <cell r="V154">
            <v>45.2</v>
          </cell>
          <cell r="X154" t="str">
            <v>4C</v>
          </cell>
          <cell r="Y154" t="str">
            <v>USA</v>
          </cell>
          <cell r="Z154" t="str">
            <v>CH</v>
          </cell>
          <cell r="AA154" t="str">
            <v>DOD</v>
          </cell>
          <cell r="AB154" t="str">
            <v>TCPU</v>
          </cell>
        </row>
        <row r="155">
          <cell r="C155" t="str">
            <v>Dodge</v>
          </cell>
          <cell r="D155" t="str">
            <v>Dakota Extended Cab</v>
          </cell>
          <cell r="E155" t="str">
            <v>Dodge Dakota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35.4</v>
          </cell>
          <cell r="O155">
            <v>92.7</v>
          </cell>
          <cell r="P155">
            <v>82.5</v>
          </cell>
          <cell r="Q155">
            <v>69.7</v>
          </cell>
          <cell r="R155">
            <v>66.3</v>
          </cell>
          <cell r="S155">
            <v>60.5</v>
          </cell>
          <cell r="T155">
            <v>54.1</v>
          </cell>
          <cell r="U155">
            <v>66.8</v>
          </cell>
          <cell r="V155">
            <v>60.6</v>
          </cell>
          <cell r="X155" t="str">
            <v>EC</v>
          </cell>
          <cell r="Y155" t="str">
            <v>USA</v>
          </cell>
          <cell r="Z155" t="str">
            <v>CH</v>
          </cell>
          <cell r="AA155" t="str">
            <v>DOD</v>
          </cell>
          <cell r="AB155" t="str">
            <v>TCPU</v>
          </cell>
          <cell r="AC155" t="str">
            <v>D</v>
          </cell>
        </row>
        <row r="156">
          <cell r="C156" t="str">
            <v>Dodge</v>
          </cell>
          <cell r="D156" t="str">
            <v>Dakota Extended Cab</v>
          </cell>
          <cell r="E156" t="str">
            <v>Dodge Dakota</v>
          </cell>
          <cell r="F156">
            <v>3.7</v>
          </cell>
          <cell r="G156">
            <v>18.3</v>
          </cell>
          <cell r="H156">
            <v>30.5</v>
          </cell>
          <cell r="I156">
            <v>73.3</v>
          </cell>
          <cell r="J156">
            <v>72.3</v>
          </cell>
          <cell r="K156">
            <v>74.400000000000006</v>
          </cell>
          <cell r="L156">
            <v>71.599999999999994</v>
          </cell>
          <cell r="M156">
            <v>60.6</v>
          </cell>
          <cell r="N156">
            <v>41.2</v>
          </cell>
          <cell r="X156" t="str">
            <v>EC</v>
          </cell>
          <cell r="Y156" t="str">
            <v>USA</v>
          </cell>
          <cell r="Z156" t="str">
            <v>CH</v>
          </cell>
          <cell r="AA156" t="str">
            <v>DOD</v>
          </cell>
          <cell r="AB156" t="str">
            <v>TMPU</v>
          </cell>
          <cell r="AC156" t="str">
            <v>D</v>
          </cell>
        </row>
        <row r="157">
          <cell r="C157" t="str">
            <v>Dodge</v>
          </cell>
          <cell r="D157" t="str">
            <v>Dakota Regular Cab</v>
          </cell>
          <cell r="E157" t="str">
            <v>Dodge Dakota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25.4</v>
          </cell>
          <cell r="O157">
            <v>59.9</v>
          </cell>
          <cell r="P157">
            <v>49.8</v>
          </cell>
          <cell r="Q157">
            <v>55.9</v>
          </cell>
          <cell r="R157">
            <v>57.9</v>
          </cell>
          <cell r="S157">
            <v>50.1</v>
          </cell>
          <cell r="T157">
            <v>58</v>
          </cell>
          <cell r="U157">
            <v>60.6</v>
          </cell>
          <cell r="V157">
            <v>55.5</v>
          </cell>
          <cell r="X157" t="str">
            <v>RC</v>
          </cell>
          <cell r="Y157" t="str">
            <v>USA</v>
          </cell>
          <cell r="Z157" t="str">
            <v>CH</v>
          </cell>
          <cell r="AA157" t="str">
            <v>DOD</v>
          </cell>
          <cell r="AB157" t="str">
            <v>TCPU</v>
          </cell>
          <cell r="AC157" t="str">
            <v>D</v>
          </cell>
        </row>
        <row r="158">
          <cell r="C158" t="str">
            <v>Dodge</v>
          </cell>
          <cell r="D158" t="str">
            <v>Dakota Regular Cab</v>
          </cell>
          <cell r="E158" t="str">
            <v>Dodge Dakota</v>
          </cell>
          <cell r="F158">
            <v>85.6</v>
          </cell>
          <cell r="G158">
            <v>56.5</v>
          </cell>
          <cell r="H158">
            <v>51.8</v>
          </cell>
          <cell r="I158">
            <v>58.8</v>
          </cell>
          <cell r="J158">
            <v>47</v>
          </cell>
          <cell r="K158">
            <v>42</v>
          </cell>
          <cell r="L158">
            <v>42.9</v>
          </cell>
          <cell r="M158">
            <v>44.2</v>
          </cell>
          <cell r="N158">
            <v>30</v>
          </cell>
          <cell r="X158" t="str">
            <v>RC</v>
          </cell>
          <cell r="Y158" t="str">
            <v>USA</v>
          </cell>
          <cell r="Z158" t="str">
            <v>CH</v>
          </cell>
          <cell r="AA158" t="str">
            <v>DOD</v>
          </cell>
          <cell r="AB158" t="str">
            <v>TMPU</v>
          </cell>
          <cell r="AC158" t="str">
            <v>D</v>
          </cell>
        </row>
        <row r="159">
          <cell r="C159" t="str">
            <v>Dodge</v>
          </cell>
          <cell r="D159" t="str">
            <v>Ram 50 Extended Cab</v>
          </cell>
          <cell r="E159" t="str">
            <v>Dodge Ram 50</v>
          </cell>
          <cell r="F159">
            <v>7.5</v>
          </cell>
          <cell r="G159">
            <v>1.4</v>
          </cell>
          <cell r="H159">
            <v>4</v>
          </cell>
          <cell r="I159">
            <v>5</v>
          </cell>
          <cell r="J159">
            <v>2</v>
          </cell>
          <cell r="X159" t="str">
            <v>EC</v>
          </cell>
          <cell r="Y159" t="str">
            <v>JPNC</v>
          </cell>
          <cell r="Z159" t="str">
            <v>MI</v>
          </cell>
          <cell r="AA159" t="str">
            <v>DOD</v>
          </cell>
          <cell r="AB159" t="str">
            <v>TCPU</v>
          </cell>
          <cell r="AC159" t="str">
            <v>C</v>
          </cell>
        </row>
        <row r="160">
          <cell r="C160" t="str">
            <v>Dodge</v>
          </cell>
          <cell r="D160" t="str">
            <v>Ram 50 Regular Cab</v>
          </cell>
          <cell r="E160" t="str">
            <v>Dodge Ram 50</v>
          </cell>
          <cell r="F160">
            <v>21.5</v>
          </cell>
          <cell r="G160">
            <v>10.4</v>
          </cell>
          <cell r="H160">
            <v>1</v>
          </cell>
          <cell r="I160">
            <v>0</v>
          </cell>
          <cell r="J160">
            <v>0</v>
          </cell>
          <cell r="X160" t="str">
            <v>RC</v>
          </cell>
          <cell r="Y160" t="str">
            <v>JPNC</v>
          </cell>
          <cell r="Z160" t="str">
            <v>MI</v>
          </cell>
          <cell r="AA160" t="str">
            <v>DOD</v>
          </cell>
          <cell r="AB160" t="str">
            <v>TCPU</v>
          </cell>
          <cell r="AC160" t="str">
            <v>C</v>
          </cell>
        </row>
        <row r="161">
          <cell r="C161" t="str">
            <v>Ford</v>
          </cell>
          <cell r="D161" t="str">
            <v>Explorer Sport Trac 4-door</v>
          </cell>
          <cell r="E161" t="str">
            <v>Ford Explorer Sport Trac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42</v>
          </cell>
          <cell r="R161">
            <v>52.3</v>
          </cell>
          <cell r="S161">
            <v>54.3</v>
          </cell>
          <cell r="T161">
            <v>49.2</v>
          </cell>
          <cell r="U161">
            <v>48.5</v>
          </cell>
          <cell r="V161">
            <v>46.2</v>
          </cell>
          <cell r="X161" t="str">
            <v>4C</v>
          </cell>
          <cell r="Y161" t="str">
            <v>USA</v>
          </cell>
          <cell r="Z161" t="str">
            <v>FO</v>
          </cell>
          <cell r="AA161" t="str">
            <v>FOR</v>
          </cell>
          <cell r="AB161" t="str">
            <v>TCPU</v>
          </cell>
          <cell r="AC161" t="str">
            <v>D</v>
          </cell>
        </row>
        <row r="162">
          <cell r="C162" t="str">
            <v>Ford</v>
          </cell>
          <cell r="D162" t="str">
            <v>Ranger Extended Cab</v>
          </cell>
          <cell r="E162" t="str">
            <v>Ford Ranger</v>
          </cell>
          <cell r="F162">
            <v>102.5</v>
          </cell>
          <cell r="G162">
            <v>84.2</v>
          </cell>
          <cell r="H162">
            <v>74.8</v>
          </cell>
          <cell r="I162">
            <v>79.3</v>
          </cell>
          <cell r="J162">
            <v>128.19999999999999</v>
          </cell>
          <cell r="K162">
            <v>139</v>
          </cell>
          <cell r="L162">
            <v>145.9</v>
          </cell>
          <cell r="M162">
            <v>121.7</v>
          </cell>
          <cell r="N162">
            <v>122.5</v>
          </cell>
          <cell r="O162">
            <v>136.80000000000001</v>
          </cell>
          <cell r="P162">
            <v>143.80000000000001</v>
          </cell>
          <cell r="Q162">
            <v>145.9</v>
          </cell>
          <cell r="R162">
            <v>150</v>
          </cell>
          <cell r="S162">
            <v>142.9</v>
          </cell>
          <cell r="T162">
            <v>137.5</v>
          </cell>
          <cell r="U162">
            <v>136.9</v>
          </cell>
          <cell r="V162">
            <v>140.19999999999999</v>
          </cell>
          <cell r="X162" t="str">
            <v>EC</v>
          </cell>
          <cell r="Y162" t="str">
            <v>USA</v>
          </cell>
          <cell r="Z162" t="str">
            <v>FO</v>
          </cell>
          <cell r="AA162" t="str">
            <v>FOR</v>
          </cell>
          <cell r="AB162" t="str">
            <v>TCPU</v>
          </cell>
          <cell r="AC162" t="str">
            <v>D</v>
          </cell>
        </row>
        <row r="163">
          <cell r="C163" t="str">
            <v>Ford</v>
          </cell>
          <cell r="D163" t="str">
            <v>Ranger Regular Cab</v>
          </cell>
          <cell r="E163" t="str">
            <v>Ford Ranger</v>
          </cell>
          <cell r="F163">
            <v>181.7</v>
          </cell>
          <cell r="G163">
            <v>196.4</v>
          </cell>
          <cell r="H163">
            <v>158.69999999999999</v>
          </cell>
          <cell r="I163">
            <v>168.5</v>
          </cell>
          <cell r="J163">
            <v>212</v>
          </cell>
          <cell r="K163">
            <v>205.7</v>
          </cell>
          <cell r="L163">
            <v>165.6</v>
          </cell>
          <cell r="M163">
            <v>166.8</v>
          </cell>
          <cell r="N163">
            <v>176.3</v>
          </cell>
          <cell r="O163">
            <v>191.3</v>
          </cell>
          <cell r="P163">
            <v>204.6</v>
          </cell>
          <cell r="Q163">
            <v>207.4</v>
          </cell>
          <cell r="R163">
            <v>200.4</v>
          </cell>
          <cell r="S163">
            <v>216.6</v>
          </cell>
          <cell r="T163">
            <v>195.4</v>
          </cell>
          <cell r="U163">
            <v>188.1</v>
          </cell>
          <cell r="V163">
            <v>182.1</v>
          </cell>
          <cell r="X163" t="str">
            <v>RC</v>
          </cell>
          <cell r="Y163" t="str">
            <v>USA</v>
          </cell>
          <cell r="Z163" t="str">
            <v>FO</v>
          </cell>
          <cell r="AA163" t="str">
            <v>FOR</v>
          </cell>
          <cell r="AB163" t="str">
            <v>TCPU</v>
          </cell>
          <cell r="AC163" t="str">
            <v>D</v>
          </cell>
        </row>
        <row r="164">
          <cell r="C164" t="str">
            <v>GMC</v>
          </cell>
          <cell r="D164" t="str">
            <v>Envoy Warrior 4-door</v>
          </cell>
          <cell r="E164" t="str">
            <v>GMC Envoy Warrior (GMT305)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R164">
            <v>15.8</v>
          </cell>
          <cell r="S164">
            <v>18</v>
          </cell>
          <cell r="T164">
            <v>16.600000000000001</v>
          </cell>
          <cell r="U164">
            <v>17</v>
          </cell>
          <cell r="V164">
            <v>14.9</v>
          </cell>
          <cell r="X164" t="str">
            <v>4C</v>
          </cell>
          <cell r="Y164" t="str">
            <v>USA</v>
          </cell>
          <cell r="Z164" t="str">
            <v>GM</v>
          </cell>
          <cell r="AA164" t="str">
            <v>GMC</v>
          </cell>
          <cell r="AB164" t="str">
            <v>TCPU</v>
          </cell>
          <cell r="AC164" t="str">
            <v>D</v>
          </cell>
        </row>
        <row r="165">
          <cell r="C165" t="str">
            <v>GMC</v>
          </cell>
          <cell r="D165" t="str">
            <v>Sonoma Extended Cab</v>
          </cell>
          <cell r="E165" t="str">
            <v>GMC Sonoma</v>
          </cell>
          <cell r="F165">
            <v>12.6</v>
          </cell>
          <cell r="G165">
            <v>11.8</v>
          </cell>
          <cell r="H165">
            <v>13.2</v>
          </cell>
          <cell r="I165">
            <v>15.2</v>
          </cell>
          <cell r="J165">
            <v>14.8</v>
          </cell>
          <cell r="K165">
            <v>26.2</v>
          </cell>
          <cell r="L165">
            <v>27.2</v>
          </cell>
          <cell r="M165">
            <v>20.9</v>
          </cell>
          <cell r="N165">
            <v>20.399999999999999</v>
          </cell>
          <cell r="O165">
            <v>26.9</v>
          </cell>
          <cell r="P165">
            <v>28.4</v>
          </cell>
          <cell r="Q165">
            <v>26.2</v>
          </cell>
          <cell r="R165">
            <v>23.6</v>
          </cell>
          <cell r="S165">
            <v>21.4</v>
          </cell>
          <cell r="T165">
            <v>20.7</v>
          </cell>
          <cell r="U165">
            <v>19.600000000000001</v>
          </cell>
          <cell r="V165">
            <v>15.9</v>
          </cell>
          <cell r="X165" t="str">
            <v>EC</v>
          </cell>
          <cell r="Y165" t="str">
            <v>USA</v>
          </cell>
          <cell r="Z165" t="str">
            <v>GM</v>
          </cell>
          <cell r="AA165" t="str">
            <v>GMC</v>
          </cell>
          <cell r="AB165" t="str">
            <v>TCPU</v>
          </cell>
          <cell r="AC165" t="str">
            <v>D</v>
          </cell>
        </row>
        <row r="166">
          <cell r="C166" t="str">
            <v>GMC</v>
          </cell>
          <cell r="D166" t="str">
            <v>Sonoma Regular Cab</v>
          </cell>
          <cell r="E166" t="str">
            <v>GMC Sonoma</v>
          </cell>
          <cell r="F166">
            <v>40</v>
          </cell>
          <cell r="G166">
            <v>34.1</v>
          </cell>
          <cell r="H166">
            <v>30.9</v>
          </cell>
          <cell r="I166">
            <v>32.299999999999997</v>
          </cell>
          <cell r="J166">
            <v>30.8</v>
          </cell>
          <cell r="K166">
            <v>35.1</v>
          </cell>
          <cell r="L166">
            <v>24.3</v>
          </cell>
          <cell r="M166">
            <v>23.7</v>
          </cell>
          <cell r="N166">
            <v>21.3</v>
          </cell>
          <cell r="O166">
            <v>27.9</v>
          </cell>
          <cell r="P166">
            <v>29.6</v>
          </cell>
          <cell r="Q166">
            <v>25.1</v>
          </cell>
          <cell r="R166">
            <v>23</v>
          </cell>
          <cell r="S166">
            <v>26</v>
          </cell>
          <cell r="T166">
            <v>29.3</v>
          </cell>
          <cell r="U166">
            <v>27.1</v>
          </cell>
          <cell r="V166">
            <v>24.9</v>
          </cell>
          <cell r="X166" t="str">
            <v>RC</v>
          </cell>
          <cell r="Y166" t="str">
            <v>USA</v>
          </cell>
          <cell r="Z166" t="str">
            <v>GM</v>
          </cell>
          <cell r="AA166" t="str">
            <v>GMC</v>
          </cell>
          <cell r="AB166" t="str">
            <v>TCPU</v>
          </cell>
          <cell r="AC166" t="str">
            <v>D</v>
          </cell>
        </row>
        <row r="167">
          <cell r="C167" t="str">
            <v>Isuzu</v>
          </cell>
          <cell r="D167" t="str">
            <v>Hombre Extended Cab</v>
          </cell>
          <cell r="E167" t="str">
            <v>Isuzu Hombre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4.5</v>
          </cell>
          <cell r="O167">
            <v>4.8</v>
          </cell>
          <cell r="P167">
            <v>2.6</v>
          </cell>
          <cell r="Q167">
            <v>2.2000000000000002</v>
          </cell>
          <cell r="R167">
            <v>1.9</v>
          </cell>
          <cell r="S167">
            <v>3.3</v>
          </cell>
          <cell r="T167">
            <v>5.2</v>
          </cell>
          <cell r="U167">
            <v>6.2</v>
          </cell>
          <cell r="V167">
            <v>5.3</v>
          </cell>
          <cell r="X167" t="str">
            <v>EC</v>
          </cell>
          <cell r="Y167" t="str">
            <v>USAJ</v>
          </cell>
          <cell r="Z167" t="str">
            <v>GM</v>
          </cell>
          <cell r="AA167" t="str">
            <v>ISU</v>
          </cell>
          <cell r="AB167" t="str">
            <v>TCPU</v>
          </cell>
          <cell r="AC167" t="str">
            <v>U</v>
          </cell>
        </row>
        <row r="168">
          <cell r="C168" t="str">
            <v>Isuzu</v>
          </cell>
          <cell r="D168" t="str">
            <v>Hombre Regular Cab</v>
          </cell>
          <cell r="E168" t="str">
            <v>Isuzu Hombre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14.9</v>
          </cell>
          <cell r="M168">
            <v>10.199999999999999</v>
          </cell>
          <cell r="N168">
            <v>9.5</v>
          </cell>
          <cell r="O168">
            <v>10.199999999999999</v>
          </cell>
          <cell r="P168">
            <v>5.2</v>
          </cell>
          <cell r="Q168">
            <v>4.4000000000000004</v>
          </cell>
          <cell r="R168">
            <v>3.7</v>
          </cell>
          <cell r="S168">
            <v>4</v>
          </cell>
          <cell r="T168">
            <v>8.6999999999999993</v>
          </cell>
          <cell r="U168">
            <v>8.4</v>
          </cell>
          <cell r="V168">
            <v>8.3000000000000007</v>
          </cell>
          <cell r="X168" t="str">
            <v>RC</v>
          </cell>
          <cell r="Y168" t="str">
            <v>USAJ</v>
          </cell>
          <cell r="Z168" t="str">
            <v>GM</v>
          </cell>
          <cell r="AA168" t="str">
            <v>ISU</v>
          </cell>
          <cell r="AB168" t="str">
            <v>TCPU</v>
          </cell>
          <cell r="AC168" t="str">
            <v>U</v>
          </cell>
        </row>
        <row r="169">
          <cell r="C169" t="str">
            <v>Isuzu</v>
          </cell>
          <cell r="D169" t="str">
            <v>Pickup Extended Cab</v>
          </cell>
          <cell r="E169" t="str">
            <v>Isuzu Pickup</v>
          </cell>
          <cell r="F169">
            <v>4.9000000000000004</v>
          </cell>
          <cell r="G169">
            <v>5.5</v>
          </cell>
          <cell r="H169">
            <v>3.4</v>
          </cell>
          <cell r="I169">
            <v>2.2000000000000002</v>
          </cell>
          <cell r="J169">
            <v>2.8</v>
          </cell>
          <cell r="K169">
            <v>2.4</v>
          </cell>
          <cell r="X169" t="str">
            <v>EC</v>
          </cell>
          <cell r="Y169" t="str">
            <v>JPN/USA</v>
          </cell>
          <cell r="Z169" t="str">
            <v>IS</v>
          </cell>
          <cell r="AA169" t="str">
            <v>ISU</v>
          </cell>
          <cell r="AB169" t="str">
            <v>TCPU</v>
          </cell>
          <cell r="AC169" t="str">
            <v>I</v>
          </cell>
        </row>
        <row r="170">
          <cell r="C170" t="str">
            <v>Isuzu</v>
          </cell>
          <cell r="D170" t="str">
            <v>Pickup Regular Cab</v>
          </cell>
          <cell r="E170" t="str">
            <v>Isuzu Pickup</v>
          </cell>
          <cell r="F170">
            <v>42.1</v>
          </cell>
          <cell r="G170">
            <v>43.1</v>
          </cell>
          <cell r="H170">
            <v>32.5</v>
          </cell>
          <cell r="I170">
            <v>29.3</v>
          </cell>
          <cell r="J170">
            <v>28</v>
          </cell>
          <cell r="K170">
            <v>22.2</v>
          </cell>
          <cell r="X170" t="str">
            <v>RC</v>
          </cell>
          <cell r="Y170" t="str">
            <v>JPN/USA</v>
          </cell>
          <cell r="Z170" t="str">
            <v>IS</v>
          </cell>
          <cell r="AA170" t="str">
            <v>ISU</v>
          </cell>
          <cell r="AB170" t="str">
            <v>TCPU</v>
          </cell>
          <cell r="AC170" t="str">
            <v>I</v>
          </cell>
        </row>
        <row r="171">
          <cell r="C171" t="str">
            <v>Jeep</v>
          </cell>
          <cell r="D171" t="str">
            <v>Comanche Regular Cab</v>
          </cell>
          <cell r="E171" t="str">
            <v>Jeep Comanche</v>
          </cell>
          <cell r="F171">
            <v>25.1</v>
          </cell>
          <cell r="G171">
            <v>12.1</v>
          </cell>
          <cell r="H171">
            <v>6.7</v>
          </cell>
          <cell r="I171">
            <v>3.2</v>
          </cell>
          <cell r="X171" t="str">
            <v>RC</v>
          </cell>
          <cell r="Y171" t="str">
            <v>USA</v>
          </cell>
          <cell r="Z171" t="str">
            <v>CH</v>
          </cell>
          <cell r="AA171" t="str">
            <v>JEE</v>
          </cell>
          <cell r="AB171" t="str">
            <v>TMPU</v>
          </cell>
          <cell r="AC171" t="str">
            <v>D</v>
          </cell>
        </row>
        <row r="172">
          <cell r="C172" t="str">
            <v>Mazda</v>
          </cell>
          <cell r="D172" t="str">
            <v>B-Series Extended Cab</v>
          </cell>
          <cell r="E172" t="str">
            <v>Mazda B-Series</v>
          </cell>
          <cell r="F172">
            <v>25.1</v>
          </cell>
          <cell r="G172">
            <v>32.4</v>
          </cell>
          <cell r="H172">
            <v>26.8</v>
          </cell>
          <cell r="I172">
            <v>23.9</v>
          </cell>
          <cell r="J172">
            <v>20.6</v>
          </cell>
          <cell r="K172">
            <v>26.4</v>
          </cell>
          <cell r="L172">
            <v>25.4</v>
          </cell>
          <cell r="M172">
            <v>20.399999999999999</v>
          </cell>
          <cell r="N172">
            <v>18.399999999999999</v>
          </cell>
          <cell r="O172">
            <v>19.8</v>
          </cell>
          <cell r="P172">
            <v>18.899999999999999</v>
          </cell>
          <cell r="Q172">
            <v>16.899999999999999</v>
          </cell>
          <cell r="R172">
            <v>16</v>
          </cell>
          <cell r="S172">
            <v>19.5</v>
          </cell>
          <cell r="T172">
            <v>18.899999999999999</v>
          </cell>
          <cell r="U172">
            <v>20.3</v>
          </cell>
          <cell r="V172">
            <v>18.899999999999999</v>
          </cell>
          <cell r="X172" t="str">
            <v>EC</v>
          </cell>
          <cell r="Y172" t="str">
            <v>JPN/USA</v>
          </cell>
          <cell r="Z172" t="str">
            <v>MA</v>
          </cell>
          <cell r="AA172" t="str">
            <v>MAZ</v>
          </cell>
          <cell r="AB172" t="str">
            <v>TCPU</v>
          </cell>
          <cell r="AC172" t="str">
            <v>I</v>
          </cell>
        </row>
        <row r="173">
          <cell r="C173" t="str">
            <v>Mazda</v>
          </cell>
          <cell r="D173" t="str">
            <v>B-Series Regular Cab</v>
          </cell>
          <cell r="E173" t="str">
            <v>Mazda B-Series</v>
          </cell>
          <cell r="F173">
            <v>53.4</v>
          </cell>
          <cell r="G173">
            <v>45</v>
          </cell>
          <cell r="H173">
            <v>35.6</v>
          </cell>
          <cell r="I173">
            <v>25.8</v>
          </cell>
          <cell r="J173">
            <v>26.6</v>
          </cell>
          <cell r="K173">
            <v>31.8</v>
          </cell>
          <cell r="L173">
            <v>19.8</v>
          </cell>
          <cell r="M173">
            <v>22.4</v>
          </cell>
          <cell r="N173">
            <v>19.600000000000001</v>
          </cell>
          <cell r="O173">
            <v>21.8</v>
          </cell>
          <cell r="P173">
            <v>19.8</v>
          </cell>
          <cell r="Q173">
            <v>16.100000000000001</v>
          </cell>
          <cell r="R173">
            <v>17.7</v>
          </cell>
          <cell r="S173">
            <v>20</v>
          </cell>
          <cell r="T173">
            <v>18.3</v>
          </cell>
          <cell r="U173">
            <v>18</v>
          </cell>
          <cell r="V173">
            <v>18.399999999999999</v>
          </cell>
          <cell r="X173" t="str">
            <v>RC</v>
          </cell>
          <cell r="Y173" t="str">
            <v>JPN/USA</v>
          </cell>
          <cell r="Z173" t="str">
            <v>MA</v>
          </cell>
          <cell r="AA173" t="str">
            <v>MAZ</v>
          </cell>
          <cell r="AB173" t="str">
            <v>TCPU</v>
          </cell>
          <cell r="AC173" t="str">
            <v>I</v>
          </cell>
        </row>
        <row r="174">
          <cell r="C174" t="str">
            <v>Mitsubishi</v>
          </cell>
          <cell r="D174" t="str">
            <v>Mighty Max Pickup Extended Cab</v>
          </cell>
          <cell r="E174" t="str">
            <v>Mitsubishi Mighty Max</v>
          </cell>
          <cell r="F174">
            <v>2.2999999999999998</v>
          </cell>
          <cell r="G174">
            <v>1.8</v>
          </cell>
          <cell r="H174">
            <v>1.2</v>
          </cell>
          <cell r="I174">
            <v>0.9</v>
          </cell>
          <cell r="J174">
            <v>0.9</v>
          </cell>
          <cell r="K174">
            <v>0.7</v>
          </cell>
          <cell r="X174" t="str">
            <v>EC</v>
          </cell>
          <cell r="Y174" t="str">
            <v>JPN</v>
          </cell>
          <cell r="Z174" t="str">
            <v>MI</v>
          </cell>
          <cell r="AA174" t="str">
            <v>MIT</v>
          </cell>
          <cell r="AB174" t="str">
            <v>TCPU</v>
          </cell>
          <cell r="AC174" t="str">
            <v>I</v>
          </cell>
        </row>
        <row r="175">
          <cell r="C175" t="str">
            <v>Mitsubishi</v>
          </cell>
          <cell r="D175" t="str">
            <v>Mighty Max Pickup Regular Cab</v>
          </cell>
          <cell r="E175" t="str">
            <v>Mitsubishi Mighty Max</v>
          </cell>
          <cell r="F175">
            <v>21.4</v>
          </cell>
          <cell r="G175">
            <v>23.7</v>
          </cell>
          <cell r="H175">
            <v>17</v>
          </cell>
          <cell r="I175">
            <v>13.7</v>
          </cell>
          <cell r="J175">
            <v>10.7</v>
          </cell>
          <cell r="K175">
            <v>12.7</v>
          </cell>
          <cell r="L175">
            <v>5.5</v>
          </cell>
          <cell r="M175">
            <v>3.6</v>
          </cell>
          <cell r="X175" t="str">
            <v>RC</v>
          </cell>
          <cell r="Y175" t="str">
            <v>JPN</v>
          </cell>
          <cell r="Z175" t="str">
            <v>MI</v>
          </cell>
          <cell r="AA175" t="str">
            <v>MIT</v>
          </cell>
          <cell r="AB175" t="str">
            <v>TCPU</v>
          </cell>
          <cell r="AC175" t="str">
            <v>I</v>
          </cell>
        </row>
        <row r="176">
          <cell r="C176" t="str">
            <v>Nissan</v>
          </cell>
          <cell r="D176" t="str">
            <v>Frontier 4-door</v>
          </cell>
          <cell r="E176" t="str">
            <v>Nissan Frontier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5.2</v>
          </cell>
          <cell r="Q176">
            <v>21.5</v>
          </cell>
          <cell r="R176">
            <v>19.5</v>
          </cell>
          <cell r="S176">
            <v>17</v>
          </cell>
          <cell r="T176">
            <v>13.5</v>
          </cell>
          <cell r="U176">
            <v>14</v>
          </cell>
          <cell r="V176">
            <v>14.8</v>
          </cell>
          <cell r="X176" t="str">
            <v>4C</v>
          </cell>
          <cell r="Y176" t="str">
            <v>USAJ</v>
          </cell>
          <cell r="Z176" t="str">
            <v>NI</v>
          </cell>
          <cell r="AA176" t="str">
            <v>NIS</v>
          </cell>
          <cell r="AB176" t="str">
            <v>TCPU</v>
          </cell>
          <cell r="AC176" t="str">
            <v>U</v>
          </cell>
        </row>
        <row r="177">
          <cell r="C177" t="str">
            <v>Nissan</v>
          </cell>
          <cell r="D177" t="str">
            <v>Frontier Extended Cab</v>
          </cell>
          <cell r="E177" t="str">
            <v>Nissan Frontier</v>
          </cell>
          <cell r="F177">
            <v>34.5</v>
          </cell>
          <cell r="G177">
            <v>34.9</v>
          </cell>
          <cell r="H177">
            <v>42.8</v>
          </cell>
          <cell r="I177">
            <v>42.2</v>
          </cell>
          <cell r="J177">
            <v>40.700000000000003</v>
          </cell>
          <cell r="K177">
            <v>45.3</v>
          </cell>
          <cell r="L177">
            <v>56.4</v>
          </cell>
          <cell r="M177">
            <v>52.3</v>
          </cell>
          <cell r="N177">
            <v>46.5</v>
          </cell>
          <cell r="O177">
            <v>37</v>
          </cell>
          <cell r="P177">
            <v>37.6</v>
          </cell>
          <cell r="Q177">
            <v>21.5</v>
          </cell>
          <cell r="R177">
            <v>33.799999999999997</v>
          </cell>
          <cell r="S177">
            <v>26</v>
          </cell>
          <cell r="T177">
            <v>17.5</v>
          </cell>
          <cell r="U177">
            <v>20.3</v>
          </cell>
          <cell r="V177">
            <v>18.3</v>
          </cell>
          <cell r="X177" t="str">
            <v>EC</v>
          </cell>
          <cell r="Y177" t="str">
            <v>USAJ</v>
          </cell>
          <cell r="Z177" t="str">
            <v>NI</v>
          </cell>
          <cell r="AA177" t="str">
            <v>NIS</v>
          </cell>
          <cell r="AB177" t="str">
            <v>TCPU</v>
          </cell>
          <cell r="AC177" t="str">
            <v>U</v>
          </cell>
        </row>
        <row r="178">
          <cell r="C178" t="str">
            <v>Nissan</v>
          </cell>
          <cell r="D178" t="str">
            <v>Frontier Regular Cab</v>
          </cell>
          <cell r="E178" t="str">
            <v>Nissan Frontier</v>
          </cell>
          <cell r="F178">
            <v>98.1</v>
          </cell>
          <cell r="G178">
            <v>99.4</v>
          </cell>
          <cell r="H178">
            <v>86.8</v>
          </cell>
          <cell r="I178">
            <v>79.099999999999994</v>
          </cell>
          <cell r="J178">
            <v>70.2</v>
          </cell>
          <cell r="K178">
            <v>78</v>
          </cell>
          <cell r="L178">
            <v>72.099999999999994</v>
          </cell>
          <cell r="M178">
            <v>73.900000000000006</v>
          </cell>
          <cell r="N178">
            <v>75.400000000000006</v>
          </cell>
          <cell r="O178">
            <v>54.6</v>
          </cell>
          <cell r="P178">
            <v>53.5</v>
          </cell>
          <cell r="Q178">
            <v>49.3</v>
          </cell>
          <cell r="R178">
            <v>57.5</v>
          </cell>
          <cell r="S178">
            <v>50.1</v>
          </cell>
          <cell r="T178">
            <v>35</v>
          </cell>
          <cell r="U178">
            <v>39.9</v>
          </cell>
          <cell r="V178">
            <v>42.9</v>
          </cell>
          <cell r="X178" t="str">
            <v>RC</v>
          </cell>
          <cell r="Y178" t="str">
            <v>USAJ</v>
          </cell>
          <cell r="Z178" t="str">
            <v>NI</v>
          </cell>
          <cell r="AA178" t="str">
            <v>NIS</v>
          </cell>
          <cell r="AB178" t="str">
            <v>TCPU</v>
          </cell>
          <cell r="AC178" t="str">
            <v>U</v>
          </cell>
        </row>
        <row r="179">
          <cell r="C179" t="str">
            <v>Nissan</v>
          </cell>
          <cell r="D179" t="str">
            <v>Large Regular Cab Pickup</v>
          </cell>
          <cell r="E179" t="str">
            <v>Nissan Large Pickup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X179" t="str">
            <v>EC</v>
          </cell>
          <cell r="Y179" t="str">
            <v>USAJ</v>
          </cell>
          <cell r="Z179" t="str">
            <v>NI</v>
          </cell>
          <cell r="AA179" t="str">
            <v>NIS</v>
          </cell>
          <cell r="AB179" t="str">
            <v>TFSPU</v>
          </cell>
          <cell r="AC179" t="str">
            <v>U</v>
          </cell>
        </row>
        <row r="180">
          <cell r="C180" t="str">
            <v>Nissan</v>
          </cell>
          <cell r="D180" t="str">
            <v>Large SUT 4-door Pickup</v>
          </cell>
          <cell r="E180" t="str">
            <v>Nissan Large Sport Utility Truck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X180" t="str">
            <v>4C</v>
          </cell>
          <cell r="Y180" t="str">
            <v>USAJ</v>
          </cell>
          <cell r="Z180" t="str">
            <v>NI</v>
          </cell>
          <cell r="AA180" t="str">
            <v>NIS</v>
          </cell>
          <cell r="AB180" t="str">
            <v>TFSPU</v>
          </cell>
          <cell r="AC180" t="str">
            <v>U</v>
          </cell>
        </row>
        <row r="181">
          <cell r="C181" t="str">
            <v>Nissan</v>
          </cell>
          <cell r="D181" t="str">
            <v>Sport Utility Truck 4-door</v>
          </cell>
          <cell r="E181" t="str">
            <v>Nissan Sport Utility Truck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X181" t="str">
            <v>4C</v>
          </cell>
          <cell r="Y181" t="str">
            <v>USAJ</v>
          </cell>
          <cell r="Z181" t="str">
            <v>NI</v>
          </cell>
          <cell r="AA181" t="str">
            <v>NIS</v>
          </cell>
          <cell r="AB181" t="str">
            <v>TCPU</v>
          </cell>
          <cell r="AC181" t="str">
            <v>U</v>
          </cell>
        </row>
        <row r="182">
          <cell r="C182" t="str">
            <v>Saturn</v>
          </cell>
          <cell r="D182" t="str">
            <v xml:space="preserve">V-Series 4-Door Pickup </v>
          </cell>
          <cell r="E182" t="str">
            <v>Saturn V-Series Pickup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X182" t="str">
            <v>4C</v>
          </cell>
          <cell r="Y182" t="str">
            <v>USA</v>
          </cell>
          <cell r="Z182" t="str">
            <v>GM</v>
          </cell>
          <cell r="AA182" t="str">
            <v>SAT</v>
          </cell>
          <cell r="AB182" t="str">
            <v>TCPU</v>
          </cell>
          <cell r="AC182" t="str">
            <v>D</v>
          </cell>
        </row>
        <row r="183">
          <cell r="C183" t="str">
            <v>Toyota</v>
          </cell>
          <cell r="D183" t="str">
            <v>T-100 Pickup Extended Cab</v>
          </cell>
          <cell r="E183" t="str">
            <v>Toyota T-100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0.6</v>
          </cell>
          <cell r="L183">
            <v>24.9</v>
          </cell>
          <cell r="M183">
            <v>25.6</v>
          </cell>
          <cell r="N183">
            <v>20.7</v>
          </cell>
          <cell r="O183">
            <v>6.5</v>
          </cell>
          <cell r="P183">
            <v>0.1</v>
          </cell>
          <cell r="X183" t="str">
            <v>EC</v>
          </cell>
          <cell r="Y183" t="str">
            <v>JPN/USA</v>
          </cell>
          <cell r="Z183" t="str">
            <v>TO</v>
          </cell>
          <cell r="AA183" t="str">
            <v>TOY</v>
          </cell>
          <cell r="AB183" t="str">
            <v>TMPU</v>
          </cell>
          <cell r="AC183" t="str">
            <v>I</v>
          </cell>
        </row>
        <row r="184">
          <cell r="C184" t="str">
            <v>Toyota</v>
          </cell>
          <cell r="D184" t="str">
            <v>T-100 Pickup Regular Cab</v>
          </cell>
          <cell r="E184" t="str">
            <v>Toyota T-100</v>
          </cell>
          <cell r="F184">
            <v>0</v>
          </cell>
          <cell r="G184">
            <v>0</v>
          </cell>
          <cell r="H184">
            <v>0</v>
          </cell>
          <cell r="I184">
            <v>1.5</v>
          </cell>
          <cell r="J184">
            <v>22</v>
          </cell>
          <cell r="K184">
            <v>14.5</v>
          </cell>
          <cell r="L184">
            <v>10.7</v>
          </cell>
          <cell r="M184">
            <v>12.3</v>
          </cell>
          <cell r="N184">
            <v>7.7</v>
          </cell>
          <cell r="O184">
            <v>1.5</v>
          </cell>
          <cell r="P184">
            <v>0.1</v>
          </cell>
          <cell r="X184" t="str">
            <v>RC</v>
          </cell>
          <cell r="Y184" t="str">
            <v>JPN/USA</v>
          </cell>
          <cell r="Z184" t="str">
            <v>TO</v>
          </cell>
          <cell r="AA184" t="str">
            <v>TOY</v>
          </cell>
          <cell r="AB184" t="str">
            <v>TMPU</v>
          </cell>
          <cell r="AC184" t="str">
            <v>I</v>
          </cell>
        </row>
        <row r="185">
          <cell r="C185" t="str">
            <v>Toyota</v>
          </cell>
          <cell r="D185" t="str">
            <v>Tacoma Pickup Extended Cab</v>
          </cell>
          <cell r="E185" t="str">
            <v>Toyota Tacoma</v>
          </cell>
          <cell r="F185">
            <v>60.4</v>
          </cell>
          <cell r="G185">
            <v>66.900000000000006</v>
          </cell>
          <cell r="H185">
            <v>67.400000000000006</v>
          </cell>
          <cell r="I185">
            <v>65.5</v>
          </cell>
          <cell r="J185">
            <v>70.2</v>
          </cell>
          <cell r="K185">
            <v>84</v>
          </cell>
          <cell r="L185">
            <v>79.5</v>
          </cell>
          <cell r="M185">
            <v>83.6</v>
          </cell>
          <cell r="N185">
            <v>86.1</v>
          </cell>
          <cell r="O185">
            <v>90</v>
          </cell>
          <cell r="P185">
            <v>91.9</v>
          </cell>
          <cell r="Q185">
            <v>85</v>
          </cell>
          <cell r="R185">
            <v>88.1</v>
          </cell>
          <cell r="S185">
            <v>96.5</v>
          </cell>
          <cell r="T185">
            <v>88.9</v>
          </cell>
          <cell r="U185">
            <v>88.9</v>
          </cell>
          <cell r="V185">
            <v>90</v>
          </cell>
          <cell r="X185" t="str">
            <v>EC</v>
          </cell>
          <cell r="Y185" t="str">
            <v>JPN/USA</v>
          </cell>
          <cell r="Z185" t="str">
            <v>TO</v>
          </cell>
          <cell r="AA185" t="str">
            <v>TOY</v>
          </cell>
          <cell r="AB185" t="str">
            <v>TCPU</v>
          </cell>
          <cell r="AC185" t="str">
            <v>I</v>
          </cell>
        </row>
        <row r="186">
          <cell r="C186" t="str">
            <v>Toyota</v>
          </cell>
          <cell r="D186" t="str">
            <v>Tacoma Pickup Regular Cab</v>
          </cell>
          <cell r="E186" t="str">
            <v>Toyota Tacoma</v>
          </cell>
          <cell r="F186">
            <v>148.19999999999999</v>
          </cell>
          <cell r="G186">
            <v>114.8</v>
          </cell>
          <cell r="H186">
            <v>96</v>
          </cell>
          <cell r="I186">
            <v>110</v>
          </cell>
          <cell r="J186">
            <v>112</v>
          </cell>
          <cell r="K186">
            <v>120</v>
          </cell>
          <cell r="L186">
            <v>60</v>
          </cell>
          <cell r="M186">
            <v>59</v>
          </cell>
          <cell r="N186">
            <v>59.8</v>
          </cell>
          <cell r="O186">
            <v>62.8</v>
          </cell>
          <cell r="P186">
            <v>63.6</v>
          </cell>
          <cell r="Q186">
            <v>57.8</v>
          </cell>
          <cell r="R186">
            <v>62</v>
          </cell>
          <cell r="S186">
            <v>63.6</v>
          </cell>
          <cell r="T186">
            <v>59.2</v>
          </cell>
          <cell r="U186">
            <v>55.5</v>
          </cell>
          <cell r="V186">
            <v>56.3</v>
          </cell>
          <cell r="X186" t="str">
            <v>RC</v>
          </cell>
          <cell r="Y186" t="str">
            <v>USAJ</v>
          </cell>
          <cell r="Z186" t="str">
            <v>TO</v>
          </cell>
          <cell r="AA186" t="str">
            <v>TOY</v>
          </cell>
          <cell r="AB186" t="str">
            <v>TCPU</v>
          </cell>
          <cell r="AC186" t="str">
            <v>U</v>
          </cell>
        </row>
        <row r="187">
          <cell r="C187" t="str">
            <v>Toyota</v>
          </cell>
          <cell r="D187" t="str">
            <v>Tundra Extended Cab</v>
          </cell>
          <cell r="E187" t="str">
            <v>Toyota Tundra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28</v>
          </cell>
          <cell r="Q187">
            <v>61.8</v>
          </cell>
          <cell r="R187">
            <v>74.3</v>
          </cell>
          <cell r="S187">
            <v>75.599999999999994</v>
          </cell>
          <cell r="T187">
            <v>73.599999999999994</v>
          </cell>
          <cell r="U187">
            <v>73.400000000000006</v>
          </cell>
          <cell r="V187">
            <v>79.599999999999994</v>
          </cell>
          <cell r="X187" t="str">
            <v>EC</v>
          </cell>
          <cell r="Y187" t="str">
            <v>USAJ</v>
          </cell>
          <cell r="Z187" t="str">
            <v>TO</v>
          </cell>
          <cell r="AA187" t="str">
            <v>TOY</v>
          </cell>
          <cell r="AB187" t="str">
            <v>TFSPU</v>
          </cell>
          <cell r="AC187" t="str">
            <v>U</v>
          </cell>
        </row>
        <row r="188">
          <cell r="C188" t="str">
            <v>Toyota</v>
          </cell>
          <cell r="D188" t="str">
            <v>Tundra Regular Cab</v>
          </cell>
          <cell r="E188" t="str">
            <v>Toyota Tundra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14.8</v>
          </cell>
          <cell r="Q188">
            <v>32.200000000000003</v>
          </cell>
          <cell r="R188">
            <v>39</v>
          </cell>
          <cell r="S188">
            <v>33.200000000000003</v>
          </cell>
          <cell r="T188">
            <v>36</v>
          </cell>
          <cell r="U188">
            <v>38.1</v>
          </cell>
          <cell r="V188">
            <v>36.9</v>
          </cell>
          <cell r="X188" t="str">
            <v>RC</v>
          </cell>
          <cell r="Y188" t="str">
            <v>USAJ</v>
          </cell>
          <cell r="Z188" t="str">
            <v>TO</v>
          </cell>
          <cell r="AA188" t="str">
            <v>TOY</v>
          </cell>
          <cell r="AB188" t="str">
            <v>TFSPU</v>
          </cell>
          <cell r="AC188" t="str">
            <v>U</v>
          </cell>
        </row>
        <row r="190">
          <cell r="C190" t="str">
            <v>Chevrolet</v>
          </cell>
          <cell r="D190" t="str">
            <v>C/K-Series Extended Cab</v>
          </cell>
          <cell r="E190" t="str">
            <v>Chevrolet C/K Series</v>
          </cell>
          <cell r="F190">
            <v>126.1</v>
          </cell>
          <cell r="G190">
            <v>121.7</v>
          </cell>
          <cell r="H190">
            <v>133.5</v>
          </cell>
          <cell r="I190">
            <v>177.2</v>
          </cell>
          <cell r="J190">
            <v>240.7</v>
          </cell>
          <cell r="K190">
            <v>300.3</v>
          </cell>
          <cell r="L190">
            <v>303</v>
          </cell>
          <cell r="M190">
            <v>317.39999999999998</v>
          </cell>
          <cell r="N190">
            <v>357.9</v>
          </cell>
          <cell r="O190">
            <v>355.3</v>
          </cell>
          <cell r="P190">
            <v>423.4</v>
          </cell>
          <cell r="Q190">
            <v>438.3</v>
          </cell>
          <cell r="R190">
            <v>452</v>
          </cell>
          <cell r="S190">
            <v>433.3</v>
          </cell>
          <cell r="T190">
            <v>412.7</v>
          </cell>
          <cell r="U190">
            <v>422.5</v>
          </cell>
          <cell r="V190">
            <v>410.1</v>
          </cell>
          <cell r="X190" t="str">
            <v>EC</v>
          </cell>
          <cell r="Y190" t="str">
            <v>USA</v>
          </cell>
          <cell r="Z190" t="str">
            <v>GM</v>
          </cell>
          <cell r="AA190" t="str">
            <v>CHE</v>
          </cell>
          <cell r="AB190" t="str">
            <v>TFSPU</v>
          </cell>
          <cell r="AC190" t="str">
            <v>D</v>
          </cell>
        </row>
        <row r="191">
          <cell r="C191" t="str">
            <v>Chevrolet</v>
          </cell>
          <cell r="D191" t="str">
            <v>C/K-Series Regular Cab</v>
          </cell>
          <cell r="E191" t="str">
            <v>Chevrolet C/K Series</v>
          </cell>
          <cell r="F191">
            <v>395.2</v>
          </cell>
          <cell r="G191">
            <v>365</v>
          </cell>
          <cell r="H191">
            <v>290.7</v>
          </cell>
          <cell r="I191">
            <v>273.60000000000002</v>
          </cell>
          <cell r="J191">
            <v>272.60000000000002</v>
          </cell>
          <cell r="K191">
            <v>245.2</v>
          </cell>
          <cell r="L191">
            <v>192.7</v>
          </cell>
          <cell r="M191">
            <v>202</v>
          </cell>
          <cell r="N191">
            <v>171.7</v>
          </cell>
          <cell r="O191">
            <v>178.4</v>
          </cell>
          <cell r="P191">
            <v>205.1</v>
          </cell>
          <cell r="Q191">
            <v>204.9</v>
          </cell>
          <cell r="R191">
            <v>199.6</v>
          </cell>
          <cell r="S191">
            <v>184.8</v>
          </cell>
          <cell r="T191">
            <v>182.9</v>
          </cell>
          <cell r="U191">
            <v>180.9</v>
          </cell>
          <cell r="V191">
            <v>190.5</v>
          </cell>
          <cell r="X191" t="str">
            <v>RC</v>
          </cell>
          <cell r="Y191" t="str">
            <v>USA</v>
          </cell>
          <cell r="Z191" t="str">
            <v>GM</v>
          </cell>
          <cell r="AA191" t="str">
            <v>CHE</v>
          </cell>
          <cell r="AB191" t="str">
            <v>TFSPU</v>
          </cell>
          <cell r="AC191" t="str">
            <v>D</v>
          </cell>
        </row>
        <row r="192">
          <cell r="C192" t="str">
            <v>Chevrolet</v>
          </cell>
          <cell r="D192" t="str">
            <v>El Camino</v>
          </cell>
          <cell r="E192" t="str">
            <v>El Camino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X192" t="str">
            <v>RC</v>
          </cell>
          <cell r="Y192" t="str">
            <v>USA</v>
          </cell>
          <cell r="Z192" t="str">
            <v>GM</v>
          </cell>
          <cell r="AA192" t="str">
            <v>CHE</v>
          </cell>
          <cell r="AB192" t="str">
            <v>TFSPU</v>
          </cell>
          <cell r="AC192" t="str">
            <v>D</v>
          </cell>
        </row>
        <row r="193">
          <cell r="C193" t="str">
            <v>Dodge</v>
          </cell>
          <cell r="D193" t="str">
            <v>Ram Extended Cab</v>
          </cell>
          <cell r="E193" t="str">
            <v>Dodge Ram Pickup</v>
          </cell>
          <cell r="F193">
            <v>1.8</v>
          </cell>
          <cell r="G193">
            <v>7.7</v>
          </cell>
          <cell r="H193">
            <v>2.4</v>
          </cell>
          <cell r="I193">
            <v>19.899999999999999</v>
          </cell>
          <cell r="J193">
            <v>14.9</v>
          </cell>
          <cell r="K193">
            <v>17.2</v>
          </cell>
          <cell r="L193">
            <v>93.5</v>
          </cell>
          <cell r="M193">
            <v>228.2</v>
          </cell>
          <cell r="N193">
            <v>192.7</v>
          </cell>
          <cell r="O193">
            <v>223.5</v>
          </cell>
          <cell r="P193">
            <v>230.8</v>
          </cell>
          <cell r="Q193">
            <v>199.1</v>
          </cell>
          <cell r="R193">
            <v>221.4</v>
          </cell>
          <cell r="S193">
            <v>230.1</v>
          </cell>
          <cell r="T193">
            <v>241</v>
          </cell>
          <cell r="U193">
            <v>241.9</v>
          </cell>
          <cell r="V193">
            <v>225.9</v>
          </cell>
          <cell r="X193" t="str">
            <v>EC</v>
          </cell>
          <cell r="Y193" t="str">
            <v>USA</v>
          </cell>
          <cell r="Z193" t="str">
            <v>CH</v>
          </cell>
          <cell r="AA193" t="str">
            <v>DOD</v>
          </cell>
          <cell r="AB193" t="str">
            <v>TFSPU</v>
          </cell>
          <cell r="AC193" t="str">
            <v>D</v>
          </cell>
        </row>
        <row r="194">
          <cell r="C194" t="str">
            <v>Dodge</v>
          </cell>
          <cell r="D194" t="str">
            <v>Ram Regular Cab</v>
          </cell>
          <cell r="E194" t="str">
            <v>Dodge Ram Pickup</v>
          </cell>
          <cell r="F194">
            <v>88.5</v>
          </cell>
          <cell r="G194">
            <v>80.3</v>
          </cell>
          <cell r="H194">
            <v>77.8</v>
          </cell>
          <cell r="I194">
            <v>60.2</v>
          </cell>
          <cell r="J194">
            <v>80.599999999999994</v>
          </cell>
          <cell r="K194">
            <v>214.9</v>
          </cell>
          <cell r="L194">
            <v>163.30000000000001</v>
          </cell>
          <cell r="M194">
            <v>155.80000000000001</v>
          </cell>
          <cell r="N194">
            <v>157.6</v>
          </cell>
          <cell r="O194">
            <v>186.6</v>
          </cell>
          <cell r="P194">
            <v>198.1</v>
          </cell>
          <cell r="Q194">
            <v>171</v>
          </cell>
          <cell r="R194">
            <v>176.4</v>
          </cell>
          <cell r="S194">
            <v>188.6</v>
          </cell>
          <cell r="T194">
            <v>198.8</v>
          </cell>
          <cell r="U194">
            <v>190.1</v>
          </cell>
          <cell r="V194">
            <v>184</v>
          </cell>
          <cell r="X194" t="str">
            <v>RC</v>
          </cell>
          <cell r="Y194" t="str">
            <v>USA</v>
          </cell>
          <cell r="Z194" t="str">
            <v>CH</v>
          </cell>
          <cell r="AA194" t="str">
            <v>DOD</v>
          </cell>
          <cell r="AB194" t="str">
            <v>TFSPU</v>
          </cell>
          <cell r="AC194" t="str">
            <v>D</v>
          </cell>
        </row>
        <row r="195">
          <cell r="C195" t="str">
            <v>Ford</v>
          </cell>
          <cell r="D195" t="str">
            <v>F-150 SuperCrew 4-door Pickup</v>
          </cell>
          <cell r="E195" t="str">
            <v>Ford F-150 SuperCrew (P225)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65.3</v>
          </cell>
          <cell r="R195">
            <v>76.7</v>
          </cell>
          <cell r="S195">
            <v>80.599999999999994</v>
          </cell>
          <cell r="T195">
            <v>83.1</v>
          </cell>
          <cell r="U195">
            <v>79.8</v>
          </cell>
          <cell r="V195">
            <v>76.7</v>
          </cell>
          <cell r="X195" t="str">
            <v>4C</v>
          </cell>
          <cell r="Y195" t="str">
            <v>USA</v>
          </cell>
          <cell r="Z195" t="str">
            <v>FO</v>
          </cell>
          <cell r="AA195" t="str">
            <v>FOR</v>
          </cell>
          <cell r="AB195" t="str">
            <v>TFSPU</v>
          </cell>
          <cell r="AC195" t="str">
            <v>D</v>
          </cell>
        </row>
        <row r="196">
          <cell r="C196" t="str">
            <v>Ford</v>
          </cell>
          <cell r="D196" t="str">
            <v>F-Series Extended Cab</v>
          </cell>
          <cell r="E196" t="str">
            <v>Ford F-Series</v>
          </cell>
          <cell r="F196">
            <v>145.30000000000001</v>
          </cell>
          <cell r="G196">
            <v>130.9</v>
          </cell>
          <cell r="H196">
            <v>121.5</v>
          </cell>
          <cell r="I196">
            <v>176.2</v>
          </cell>
          <cell r="J196">
            <v>221.9</v>
          </cell>
          <cell r="K196">
            <v>256.2</v>
          </cell>
          <cell r="L196">
            <v>249.1</v>
          </cell>
          <cell r="M196">
            <v>436.8</v>
          </cell>
          <cell r="N196">
            <v>423</v>
          </cell>
          <cell r="O196">
            <v>451.3</v>
          </cell>
          <cell r="P196">
            <v>481.7</v>
          </cell>
          <cell r="Q196">
            <v>440.1</v>
          </cell>
          <cell r="R196">
            <v>422.4</v>
          </cell>
          <cell r="S196">
            <v>425.8</v>
          </cell>
          <cell r="T196">
            <v>423.3</v>
          </cell>
          <cell r="U196">
            <v>416.2</v>
          </cell>
          <cell r="V196">
            <v>398.8</v>
          </cell>
          <cell r="X196" t="str">
            <v>EC</v>
          </cell>
          <cell r="Y196" t="str">
            <v>USA</v>
          </cell>
          <cell r="Z196" t="str">
            <v>FO</v>
          </cell>
          <cell r="AA196" t="str">
            <v>FOR</v>
          </cell>
          <cell r="AB196" t="str">
            <v>TFSPU</v>
          </cell>
          <cell r="AC196" t="str">
            <v>D</v>
          </cell>
        </row>
        <row r="197">
          <cell r="C197" t="str">
            <v>Ford</v>
          </cell>
          <cell r="D197" t="str">
            <v>F-Series Regular Cab</v>
          </cell>
          <cell r="E197" t="str">
            <v>Ford F-Series</v>
          </cell>
          <cell r="F197">
            <v>413.6</v>
          </cell>
          <cell r="G197">
            <v>365.1</v>
          </cell>
          <cell r="H197">
            <v>310.60000000000002</v>
          </cell>
          <cell r="I197">
            <v>294.8</v>
          </cell>
          <cell r="J197">
            <v>322.5</v>
          </cell>
          <cell r="K197">
            <v>363.3</v>
          </cell>
          <cell r="L197">
            <v>397.5</v>
          </cell>
          <cell r="M197">
            <v>309.2</v>
          </cell>
          <cell r="N197">
            <v>294</v>
          </cell>
          <cell r="O197">
            <v>337.2</v>
          </cell>
          <cell r="P197">
            <v>322.5</v>
          </cell>
          <cell r="Q197">
            <v>306.5</v>
          </cell>
          <cell r="R197">
            <v>309</v>
          </cell>
          <cell r="S197">
            <v>320.10000000000002</v>
          </cell>
          <cell r="T197">
            <v>318</v>
          </cell>
          <cell r="U197">
            <v>315.8</v>
          </cell>
          <cell r="V197">
            <v>310</v>
          </cell>
          <cell r="X197" t="str">
            <v>RC</v>
          </cell>
          <cell r="Y197" t="str">
            <v>USA</v>
          </cell>
          <cell r="Z197" t="str">
            <v>FO</v>
          </cell>
          <cell r="AA197" t="str">
            <v>FOR</v>
          </cell>
          <cell r="AB197" t="str">
            <v>TFSPU</v>
          </cell>
          <cell r="AC197" t="str">
            <v>D</v>
          </cell>
        </row>
        <row r="198">
          <cell r="C198" t="str">
            <v>GMC</v>
          </cell>
          <cell r="D198" t="str">
            <v>Caballero</v>
          </cell>
          <cell r="E198" t="str">
            <v>GMC Cabellero</v>
          </cell>
          <cell r="X198" t="str">
            <v>RC</v>
          </cell>
          <cell r="Y198" t="str">
            <v>USA</v>
          </cell>
          <cell r="Z198" t="str">
            <v>GM</v>
          </cell>
          <cell r="AA198" t="str">
            <v>GMC</v>
          </cell>
          <cell r="AB198" t="str">
            <v>TFSPU</v>
          </cell>
          <cell r="AC198" t="str">
            <v>D</v>
          </cell>
        </row>
        <row r="199">
          <cell r="C199" t="str">
            <v>GMC</v>
          </cell>
          <cell r="D199" t="str">
            <v>Sierra Extended Cab</v>
          </cell>
          <cell r="E199" t="str">
            <v>GMC Sierra</v>
          </cell>
          <cell r="F199">
            <v>37.299999999999997</v>
          </cell>
          <cell r="G199">
            <v>33.4</v>
          </cell>
          <cell r="H199">
            <v>39.200000000000003</v>
          </cell>
          <cell r="I199">
            <v>55.4</v>
          </cell>
          <cell r="J199">
            <v>77.099999999999994</v>
          </cell>
          <cell r="K199">
            <v>104.2</v>
          </cell>
          <cell r="L199">
            <v>100.4</v>
          </cell>
          <cell r="M199">
            <v>115.7</v>
          </cell>
          <cell r="N199">
            <v>118.2</v>
          </cell>
          <cell r="O199">
            <v>107.6</v>
          </cell>
          <cell r="P199">
            <v>144.69999999999999</v>
          </cell>
          <cell r="Q199">
            <v>143.80000000000001</v>
          </cell>
          <cell r="R199">
            <v>140.6</v>
          </cell>
          <cell r="S199">
            <v>144</v>
          </cell>
          <cell r="T199">
            <v>132.9</v>
          </cell>
          <cell r="U199">
            <v>136</v>
          </cell>
          <cell r="V199">
            <v>122.5</v>
          </cell>
          <cell r="X199" t="str">
            <v>EC</v>
          </cell>
          <cell r="Y199" t="str">
            <v>USA</v>
          </cell>
          <cell r="Z199" t="str">
            <v>GM</v>
          </cell>
          <cell r="AA199" t="str">
            <v>GMC</v>
          </cell>
          <cell r="AB199" t="str">
            <v>TFSPU</v>
          </cell>
          <cell r="AC199" t="str">
            <v>D</v>
          </cell>
        </row>
        <row r="200">
          <cell r="C200" t="str">
            <v>GMC</v>
          </cell>
          <cell r="D200" t="str">
            <v>Sierra Regular Cab</v>
          </cell>
          <cell r="E200" t="str">
            <v>GMC Sierra</v>
          </cell>
          <cell r="F200">
            <v>111.4</v>
          </cell>
          <cell r="G200">
            <v>107.7</v>
          </cell>
          <cell r="H200">
            <v>83.3</v>
          </cell>
          <cell r="I200">
            <v>89.6</v>
          </cell>
          <cell r="J200">
            <v>92.4</v>
          </cell>
          <cell r="K200">
            <v>81.8</v>
          </cell>
          <cell r="L200">
            <v>67.7</v>
          </cell>
          <cell r="M200">
            <v>53.4</v>
          </cell>
          <cell r="N200">
            <v>50.6</v>
          </cell>
          <cell r="O200">
            <v>48.9</v>
          </cell>
          <cell r="P200">
            <v>59.4</v>
          </cell>
          <cell r="Q200">
            <v>56.9</v>
          </cell>
          <cell r="R200">
            <v>61.9</v>
          </cell>
          <cell r="S200">
            <v>57.5</v>
          </cell>
          <cell r="T200">
            <v>55.3</v>
          </cell>
          <cell r="U200">
            <v>55.7</v>
          </cell>
          <cell r="V200">
            <v>48</v>
          </cell>
          <cell r="X200" t="str">
            <v>RC</v>
          </cell>
          <cell r="Y200" t="str">
            <v>USA</v>
          </cell>
          <cell r="Z200" t="str">
            <v>GM</v>
          </cell>
          <cell r="AA200" t="str">
            <v>GMC</v>
          </cell>
          <cell r="AB200" t="str">
            <v>TFSPU</v>
          </cell>
          <cell r="AC200" t="str">
            <v>D</v>
          </cell>
        </row>
        <row r="201">
          <cell r="C201" t="str">
            <v>Lincoln</v>
          </cell>
          <cell r="D201" t="str">
            <v>Lincoln Blackwood 4-door Pickup</v>
          </cell>
          <cell r="E201" t="str">
            <v>Lincoln Blackwood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2.8</v>
          </cell>
          <cell r="R201">
            <v>12.9</v>
          </cell>
          <cell r="S201">
            <v>11.7</v>
          </cell>
          <cell r="T201">
            <v>11.8</v>
          </cell>
          <cell r="U201">
            <v>10.3</v>
          </cell>
          <cell r="V201">
            <v>8.6</v>
          </cell>
          <cell r="X201" t="str">
            <v>4C</v>
          </cell>
          <cell r="Y201" t="str">
            <v>USA</v>
          </cell>
          <cell r="Z201" t="str">
            <v>FO</v>
          </cell>
          <cell r="AA201" t="str">
            <v>LIN</v>
          </cell>
          <cell r="AB201" t="str">
            <v>TFSPU</v>
          </cell>
          <cell r="AC201" t="str">
            <v>D</v>
          </cell>
        </row>
        <row r="202">
          <cell r="C202" t="str">
            <v>Volkswagen</v>
          </cell>
          <cell r="D202" t="str">
            <v>Colorado Sport 4-door Pickup</v>
          </cell>
          <cell r="E202" t="str">
            <v>Volkswagen Colorado Pickup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X202" t="str">
            <v>4C</v>
          </cell>
          <cell r="Y202" t="str">
            <v>GER</v>
          </cell>
          <cell r="Z202" t="str">
            <v>VW</v>
          </cell>
          <cell r="AA202" t="str">
            <v>VOK</v>
          </cell>
          <cell r="AB202" t="str">
            <v>TFSPU</v>
          </cell>
          <cell r="AC202" t="str">
            <v>I</v>
          </cell>
        </row>
        <row r="204">
          <cell r="C204" t="str">
            <v>Truck Total</v>
          </cell>
          <cell r="E204" t="str">
            <v>GTOTAL</v>
          </cell>
          <cell r="F204">
            <v>4755.2</v>
          </cell>
          <cell r="G204">
            <v>4553.6000000000004</v>
          </cell>
          <cell r="H204">
            <v>4131.3999999999996</v>
          </cell>
          <cell r="I204">
            <v>4642</v>
          </cell>
          <cell r="J204">
            <v>5338.8</v>
          </cell>
          <cell r="K204">
            <v>6026.2</v>
          </cell>
          <cell r="L204">
            <v>5975.1159999999982</v>
          </cell>
          <cell r="M204">
            <v>6532.1</v>
          </cell>
          <cell r="N204">
            <v>6809.6</v>
          </cell>
          <cell r="O204">
            <v>7370.4</v>
          </cell>
          <cell r="P204">
            <v>8169.3000000000056</v>
          </cell>
          <cell r="Q204">
            <v>8487.7000000000007</v>
          </cell>
          <cell r="R204">
            <v>8909.7999999999993</v>
          </cell>
          <cell r="S204">
            <v>9042.1</v>
          </cell>
          <cell r="T204">
            <v>9158.4</v>
          </cell>
          <cell r="U204">
            <v>9227.6</v>
          </cell>
          <cell r="V204">
            <v>8895.9999999999945</v>
          </cell>
          <cell r="X204" t="str">
            <v>Grand Total</v>
          </cell>
        </row>
        <row r="234">
          <cell r="C234" t="str">
            <v>Full Size Pickups</v>
          </cell>
          <cell r="F234">
            <v>1319.2</v>
          </cell>
          <cell r="G234">
            <v>1211.8</v>
          </cell>
          <cell r="H234">
            <v>1059</v>
          </cell>
          <cell r="I234">
            <v>1146.8999999999999</v>
          </cell>
          <cell r="J234">
            <v>1322.6999999999998</v>
          </cell>
          <cell r="K234">
            <v>1583.1</v>
          </cell>
          <cell r="L234">
            <v>1567.2</v>
          </cell>
          <cell r="M234">
            <v>1818.5</v>
          </cell>
          <cell r="N234">
            <v>1765.7</v>
          </cell>
          <cell r="O234">
            <v>1888.8000000000002</v>
          </cell>
          <cell r="P234">
            <v>2108.5</v>
          </cell>
          <cell r="Q234">
            <v>2132.0000000000005</v>
          </cell>
          <cell r="R234">
            <v>2260.9</v>
          </cell>
          <cell r="S234">
            <v>2273.7999999999997</v>
          </cell>
          <cell r="T234">
            <v>2261.9</v>
          </cell>
          <cell r="U234">
            <v>2247.5</v>
          </cell>
          <cell r="V234">
            <v>2178.9</v>
          </cell>
        </row>
        <row r="235">
          <cell r="C235" t="str">
            <v>Mid-Size Pickup</v>
          </cell>
          <cell r="F235">
            <v>114.4</v>
          </cell>
          <cell r="G235">
            <v>86.899999999999991</v>
          </cell>
          <cell r="H235">
            <v>89</v>
          </cell>
          <cell r="I235">
            <v>136.79999999999998</v>
          </cell>
          <cell r="J235">
            <v>141.30000000000001</v>
          </cell>
          <cell r="K235">
            <v>131.5</v>
          </cell>
          <cell r="L235">
            <v>150.1</v>
          </cell>
          <cell r="M235">
            <v>142.70000000000002</v>
          </cell>
          <cell r="N235">
            <v>99.600000000000009</v>
          </cell>
          <cell r="O235">
            <v>8</v>
          </cell>
          <cell r="P235">
            <v>0.2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</row>
        <row r="236">
          <cell r="C236" t="str">
            <v>Compact Pickups</v>
          </cell>
          <cell r="F236">
            <v>1084.8999999999999</v>
          </cell>
          <cell r="G236">
            <v>1016.0999999999999</v>
          </cell>
          <cell r="H236">
            <v>892.29999999999984</v>
          </cell>
          <cell r="I236">
            <v>884.9</v>
          </cell>
          <cell r="J236">
            <v>954.2</v>
          </cell>
          <cell r="K236">
            <v>1080.5</v>
          </cell>
          <cell r="L236">
            <v>908.99999999999989</v>
          </cell>
          <cell r="M236">
            <v>848.69999999999993</v>
          </cell>
          <cell r="N236">
            <v>913.4</v>
          </cell>
          <cell r="O236">
            <v>1064.5999999999999</v>
          </cell>
          <cell r="P236">
            <v>1082.6000000000001</v>
          </cell>
          <cell r="Q236">
            <v>1110.4999999999998</v>
          </cell>
          <cell r="R236">
            <v>1143.5</v>
          </cell>
          <cell r="S236">
            <v>1128.0999999999999</v>
          </cell>
          <cell r="T236">
            <v>1111.2</v>
          </cell>
          <cell r="U236">
            <v>1105.1000000000001</v>
          </cell>
          <cell r="V236">
            <v>1078.2999999999997</v>
          </cell>
        </row>
        <row r="238">
          <cell r="C238" t="str">
            <v>TOTAL PICKUPS</v>
          </cell>
          <cell r="F238">
            <v>2518.5</v>
          </cell>
          <cell r="G238">
            <v>2314.8000000000002</v>
          </cell>
          <cell r="H238">
            <v>2040.2999999999997</v>
          </cell>
          <cell r="I238">
            <v>2168.6</v>
          </cell>
          <cell r="J238">
            <v>2418.1999999999998</v>
          </cell>
          <cell r="K238">
            <v>2795.1</v>
          </cell>
          <cell r="L238">
            <v>2626.2999999999997</v>
          </cell>
          <cell r="M238">
            <v>2809.9</v>
          </cell>
          <cell r="N238">
            <v>2778.7</v>
          </cell>
          <cell r="O238">
            <v>2961.4</v>
          </cell>
          <cell r="P238">
            <v>3191.3</v>
          </cell>
          <cell r="Q238">
            <v>3242.5</v>
          </cell>
          <cell r="R238">
            <v>3404.4</v>
          </cell>
          <cell r="S238">
            <v>3401.8999999999996</v>
          </cell>
          <cell r="T238">
            <v>3373.1000000000004</v>
          </cell>
          <cell r="U238">
            <v>3352.6000000000004</v>
          </cell>
          <cell r="V238">
            <v>3257.2</v>
          </cell>
        </row>
        <row r="241">
          <cell r="C241" t="str">
            <v>Luxury Sport Utility</v>
          </cell>
          <cell r="F241">
            <v>15.5</v>
          </cell>
          <cell r="G241">
            <v>10.8</v>
          </cell>
          <cell r="H241">
            <v>6.5</v>
          </cell>
          <cell r="I241">
            <v>3.8</v>
          </cell>
          <cell r="J241">
            <v>4.5999999999999996</v>
          </cell>
          <cell r="K241">
            <v>4.0999999999999996</v>
          </cell>
          <cell r="L241">
            <v>6.5590000000000002</v>
          </cell>
          <cell r="M241">
            <v>19.2</v>
          </cell>
          <cell r="N241">
            <v>74.899999999999991</v>
          </cell>
          <cell r="O241">
            <v>172.10000000000002</v>
          </cell>
          <cell r="P241">
            <v>226.2</v>
          </cell>
          <cell r="Q241">
            <v>283</v>
          </cell>
          <cell r="R241">
            <v>304.8</v>
          </cell>
          <cell r="S241">
            <v>357.90000000000003</v>
          </cell>
          <cell r="T241">
            <v>396.50000000000006</v>
          </cell>
          <cell r="U241">
            <v>425.7</v>
          </cell>
          <cell r="V241">
            <v>408.70000000000005</v>
          </cell>
        </row>
        <row r="242">
          <cell r="C242" t="str">
            <v>Near Luxury Sport Utility</v>
          </cell>
          <cell r="F242">
            <v>69.299999999999983</v>
          </cell>
          <cell r="G242">
            <v>63.400000000000006</v>
          </cell>
          <cell r="H242">
            <v>58.7</v>
          </cell>
          <cell r="I242">
            <v>39.700000000000003</v>
          </cell>
          <cell r="J242">
            <v>50.6</v>
          </cell>
          <cell r="K242">
            <v>71</v>
          </cell>
          <cell r="L242">
            <v>69.8</v>
          </cell>
          <cell r="M242">
            <v>101.2</v>
          </cell>
          <cell r="N242">
            <v>118</v>
          </cell>
          <cell r="O242">
            <v>128.6</v>
          </cell>
          <cell r="P242">
            <v>146.30000000000001</v>
          </cell>
          <cell r="Q242">
            <v>160</v>
          </cell>
          <cell r="R242">
            <v>150.20000000000002</v>
          </cell>
          <cell r="S242">
            <v>193.1</v>
          </cell>
          <cell r="T242">
            <v>203.2</v>
          </cell>
          <cell r="U242">
            <v>205.3</v>
          </cell>
          <cell r="V242">
            <v>198.7</v>
          </cell>
        </row>
        <row r="243">
          <cell r="C243" t="str">
            <v>Traditional Large Sport Utility</v>
          </cell>
          <cell r="F243">
            <v>200.09999999999997</v>
          </cell>
          <cell r="G243">
            <v>157.1</v>
          </cell>
          <cell r="H243">
            <v>95.1</v>
          </cell>
          <cell r="I243">
            <v>134.80000000000001</v>
          </cell>
          <cell r="J243">
            <v>176.6</v>
          </cell>
          <cell r="K243">
            <v>197</v>
          </cell>
          <cell r="L243">
            <v>249.6</v>
          </cell>
          <cell r="M243">
            <v>380.6</v>
          </cell>
          <cell r="N243">
            <v>521.9</v>
          </cell>
          <cell r="O243">
            <v>559.6</v>
          </cell>
          <cell r="P243">
            <v>612.6</v>
          </cell>
          <cell r="Q243">
            <v>665.19999999999993</v>
          </cell>
          <cell r="R243">
            <v>686.6</v>
          </cell>
          <cell r="S243">
            <v>721.70000000000016</v>
          </cell>
          <cell r="T243">
            <v>712.69999999999993</v>
          </cell>
          <cell r="U243">
            <v>728.19999999999993</v>
          </cell>
          <cell r="V243">
            <v>672.80000000000007</v>
          </cell>
        </row>
        <row r="244">
          <cell r="C244" t="str">
            <v>Middle High Sport Utility</v>
          </cell>
          <cell r="F244">
            <v>394.2</v>
          </cell>
          <cell r="G244">
            <v>450.09999999999997</v>
          </cell>
          <cell r="H244">
            <v>499.2</v>
          </cell>
          <cell r="I244">
            <v>667.40000000000009</v>
          </cell>
          <cell r="J244">
            <v>837.3</v>
          </cell>
          <cell r="K244">
            <v>920.30000000000007</v>
          </cell>
          <cell r="L244">
            <v>1083.9000000000001</v>
          </cell>
          <cell r="M244">
            <v>1178.5</v>
          </cell>
          <cell r="N244">
            <v>1164.2</v>
          </cell>
          <cell r="O244">
            <v>1296</v>
          </cell>
          <cell r="P244">
            <v>1420.3</v>
          </cell>
          <cell r="Q244">
            <v>1345.3999999999999</v>
          </cell>
          <cell r="R244">
            <v>1328.3</v>
          </cell>
          <cell r="S244">
            <v>1313.8</v>
          </cell>
          <cell r="T244">
            <v>1350.6999999999998</v>
          </cell>
          <cell r="U244">
            <v>1369.4</v>
          </cell>
          <cell r="V244">
            <v>1315.4999999999998</v>
          </cell>
        </row>
        <row r="245">
          <cell r="C245" t="str">
            <v>Middle Low Sport Utility</v>
          </cell>
          <cell r="F245">
            <v>171.6</v>
          </cell>
          <cell r="G245">
            <v>135.4</v>
          </cell>
          <cell r="H245">
            <v>146.1</v>
          </cell>
          <cell r="I245">
            <v>174.3</v>
          </cell>
          <cell r="J245">
            <v>174.4</v>
          </cell>
          <cell r="K245">
            <v>208.5</v>
          </cell>
          <cell r="L245">
            <v>201.39999999999998</v>
          </cell>
          <cell r="M245">
            <v>237.99999999999997</v>
          </cell>
          <cell r="N245">
            <v>247.89999999999998</v>
          </cell>
          <cell r="O245">
            <v>270.7</v>
          </cell>
          <cell r="P245">
            <v>359.9</v>
          </cell>
          <cell r="Q245">
            <v>441.6</v>
          </cell>
          <cell r="R245">
            <v>483.7</v>
          </cell>
          <cell r="S245">
            <v>521.79999999999995</v>
          </cell>
          <cell r="T245">
            <v>597.5</v>
          </cell>
          <cell r="U245">
            <v>622.29999999999995</v>
          </cell>
          <cell r="V245">
            <v>611.79999999999995</v>
          </cell>
        </row>
        <row r="246">
          <cell r="C246" t="str">
            <v>Small High Sport Utility</v>
          </cell>
          <cell r="F246">
            <v>6.3</v>
          </cell>
          <cell r="G246">
            <v>9.8000000000000007</v>
          </cell>
          <cell r="H246">
            <v>7.8</v>
          </cell>
          <cell r="I246">
            <v>8.5</v>
          </cell>
          <cell r="J246">
            <v>8.6</v>
          </cell>
          <cell r="K246">
            <v>6</v>
          </cell>
          <cell r="L246">
            <v>2</v>
          </cell>
          <cell r="M246">
            <v>56.7</v>
          </cell>
          <cell r="N246">
            <v>136.6</v>
          </cell>
          <cell r="O246">
            <v>212.7</v>
          </cell>
          <cell r="P246">
            <v>236.5</v>
          </cell>
          <cell r="Q246">
            <v>340.2</v>
          </cell>
          <cell r="R246">
            <v>459.2</v>
          </cell>
          <cell r="S246">
            <v>536.1</v>
          </cell>
          <cell r="T246">
            <v>553</v>
          </cell>
          <cell r="U246">
            <v>551.6</v>
          </cell>
          <cell r="V246">
            <v>528.70000000000005</v>
          </cell>
        </row>
        <row r="247">
          <cell r="C247" t="str">
            <v>Small Low Sport Utility</v>
          </cell>
          <cell r="F247">
            <v>35.900000000000006</v>
          </cell>
          <cell r="G247">
            <v>52.8</v>
          </cell>
          <cell r="H247">
            <v>49.7</v>
          </cell>
          <cell r="I247">
            <v>53.699999999999996</v>
          </cell>
          <cell r="J247">
            <v>61.4</v>
          </cell>
          <cell r="K247">
            <v>73</v>
          </cell>
          <cell r="L247">
            <v>71.199999999999989</v>
          </cell>
          <cell r="M247">
            <v>83.399999999999991</v>
          </cell>
          <cell r="N247">
            <v>73.8</v>
          </cell>
          <cell r="O247">
            <v>70.299999999999983</v>
          </cell>
          <cell r="P247">
            <v>127.4</v>
          </cell>
          <cell r="Q247">
            <v>151</v>
          </cell>
          <cell r="R247">
            <v>125.6</v>
          </cell>
          <cell r="S247">
            <v>116.60000000000001</v>
          </cell>
          <cell r="T247">
            <v>110.20000000000002</v>
          </cell>
          <cell r="U247">
            <v>105</v>
          </cell>
          <cell r="V247">
            <v>100.7</v>
          </cell>
        </row>
        <row r="248">
          <cell r="C248" t="str">
            <v>Off-Road Vehicle</v>
          </cell>
          <cell r="F248">
            <v>50.7</v>
          </cell>
          <cell r="G248">
            <v>49.9</v>
          </cell>
          <cell r="H248">
            <v>46.5</v>
          </cell>
          <cell r="I248">
            <v>50.1</v>
          </cell>
          <cell r="J248">
            <v>66</v>
          </cell>
          <cell r="K248">
            <v>76.5</v>
          </cell>
          <cell r="L248">
            <v>68.400000000000006</v>
          </cell>
          <cell r="M248">
            <v>82</v>
          </cell>
          <cell r="N248">
            <v>84.5</v>
          </cell>
          <cell r="O248">
            <v>84</v>
          </cell>
          <cell r="P248">
            <v>89.2</v>
          </cell>
          <cell r="Q248">
            <v>82.3</v>
          </cell>
          <cell r="R248">
            <v>88.4</v>
          </cell>
          <cell r="S248">
            <v>90</v>
          </cell>
          <cell r="T248">
            <v>96.8</v>
          </cell>
          <cell r="U248">
            <v>98.300000000000011</v>
          </cell>
          <cell r="V248">
            <v>94.5</v>
          </cell>
        </row>
        <row r="250">
          <cell r="C250" t="str">
            <v>TOTAL SPORT UTILITY</v>
          </cell>
          <cell r="F250">
            <v>943.59999999999991</v>
          </cell>
          <cell r="G250">
            <v>929.29999999999984</v>
          </cell>
          <cell r="H250">
            <v>909.6</v>
          </cell>
          <cell r="I250">
            <v>1132.3</v>
          </cell>
          <cell r="J250">
            <v>1379.5</v>
          </cell>
          <cell r="K250">
            <v>1556.4</v>
          </cell>
          <cell r="L250">
            <v>1752.8590000000002</v>
          </cell>
          <cell r="M250">
            <v>2139.6</v>
          </cell>
          <cell r="N250">
            <v>2421.8000000000002</v>
          </cell>
          <cell r="O250">
            <v>2794</v>
          </cell>
          <cell r="P250">
            <v>3218.4</v>
          </cell>
          <cell r="Q250">
            <v>3468.6999999999994</v>
          </cell>
          <cell r="R250">
            <v>3626.7999999999993</v>
          </cell>
          <cell r="S250">
            <v>3851</v>
          </cell>
          <cell r="T250">
            <v>4020.6</v>
          </cell>
          <cell r="U250">
            <v>4105.7999999999993</v>
          </cell>
          <cell r="V250">
            <v>3931.3999999999996</v>
          </cell>
        </row>
        <row r="253">
          <cell r="C253" t="str">
            <v>Full Size Cargo</v>
          </cell>
          <cell r="F253">
            <v>383.49999999999994</v>
          </cell>
          <cell r="G253">
            <v>327.3</v>
          </cell>
          <cell r="H253">
            <v>253.1</v>
          </cell>
          <cell r="I253">
            <v>302</v>
          </cell>
          <cell r="J253">
            <v>341.8</v>
          </cell>
          <cell r="K253">
            <v>343</v>
          </cell>
          <cell r="L253">
            <v>285.39999999999998</v>
          </cell>
          <cell r="M253">
            <v>309.60000000000002</v>
          </cell>
          <cell r="N253">
            <v>315.3</v>
          </cell>
          <cell r="O253">
            <v>328.5</v>
          </cell>
          <cell r="P253">
            <v>350.8</v>
          </cell>
          <cell r="Q253">
            <v>344.90000000000003</v>
          </cell>
          <cell r="R253">
            <v>340.1</v>
          </cell>
          <cell r="S253">
            <v>325.70000000000005</v>
          </cell>
          <cell r="T253">
            <v>328</v>
          </cell>
          <cell r="U253">
            <v>321.89999999999998</v>
          </cell>
          <cell r="V253">
            <v>293.2</v>
          </cell>
        </row>
        <row r="254">
          <cell r="C254" t="str">
            <v>Full Size  Passenger</v>
          </cell>
          <cell r="F254">
            <v>67.300000000000011</v>
          </cell>
          <cell r="G254">
            <v>55.599999999999994</v>
          </cell>
          <cell r="H254">
            <v>50.7</v>
          </cell>
          <cell r="I254">
            <v>61.800000000000004</v>
          </cell>
          <cell r="J254">
            <v>59.800000000000004</v>
          </cell>
          <cell r="K254">
            <v>66.100000000000009</v>
          </cell>
          <cell r="L254">
            <v>63.6</v>
          </cell>
          <cell r="M254">
            <v>58.3</v>
          </cell>
          <cell r="N254">
            <v>62.2</v>
          </cell>
          <cell r="O254">
            <v>64.600000000000009</v>
          </cell>
          <cell r="P254">
            <v>68.099999999999994</v>
          </cell>
          <cell r="Q254">
            <v>67.899999999999991</v>
          </cell>
          <cell r="R254">
            <v>62.800000000000004</v>
          </cell>
          <cell r="S254">
            <v>65.3</v>
          </cell>
          <cell r="T254">
            <v>66.400000000000006</v>
          </cell>
          <cell r="U254">
            <v>62.800000000000004</v>
          </cell>
          <cell r="V254">
            <v>58.300000000000004</v>
          </cell>
        </row>
        <row r="256">
          <cell r="C256" t="str">
            <v>TOTAL FULL SIZE VAN</v>
          </cell>
          <cell r="F256">
            <v>450.79999999999995</v>
          </cell>
          <cell r="G256">
            <v>382.9</v>
          </cell>
          <cell r="H256">
            <v>303.8</v>
          </cell>
          <cell r="I256">
            <v>363.8</v>
          </cell>
          <cell r="J256">
            <v>401.6</v>
          </cell>
          <cell r="K256">
            <v>409.1</v>
          </cell>
          <cell r="L256">
            <v>349</v>
          </cell>
          <cell r="M256">
            <v>367.90000000000003</v>
          </cell>
          <cell r="N256">
            <v>377.5</v>
          </cell>
          <cell r="O256">
            <v>393.1</v>
          </cell>
          <cell r="P256">
            <v>418.9</v>
          </cell>
          <cell r="Q256">
            <v>412.8</v>
          </cell>
          <cell r="R256">
            <v>402.90000000000003</v>
          </cell>
          <cell r="S256">
            <v>391.00000000000006</v>
          </cell>
          <cell r="T256">
            <v>394.4</v>
          </cell>
          <cell r="U256">
            <v>384.7</v>
          </cell>
          <cell r="V256">
            <v>351.5</v>
          </cell>
        </row>
        <row r="258">
          <cell r="C258" t="str">
            <v>Compact Cargo</v>
          </cell>
          <cell r="F258">
            <v>103.4</v>
          </cell>
          <cell r="G258">
            <v>84</v>
          </cell>
          <cell r="H258">
            <v>66.2</v>
          </cell>
          <cell r="I258">
            <v>63.2</v>
          </cell>
          <cell r="J258">
            <v>69.599999999999994</v>
          </cell>
          <cell r="K258">
            <v>82.3</v>
          </cell>
          <cell r="L258">
            <v>71.999999999999986</v>
          </cell>
          <cell r="M258">
            <v>63.8</v>
          </cell>
          <cell r="N258">
            <v>63.999999999999993</v>
          </cell>
          <cell r="O258">
            <v>43.800000000000004</v>
          </cell>
          <cell r="P258">
            <v>46.4</v>
          </cell>
          <cell r="Q258">
            <v>45.099999999999994</v>
          </cell>
          <cell r="R258">
            <v>36.299999999999997</v>
          </cell>
          <cell r="S258">
            <v>32</v>
          </cell>
          <cell r="T258">
            <v>33.299999999999997</v>
          </cell>
          <cell r="U258">
            <v>41.4</v>
          </cell>
          <cell r="V258">
            <v>33.900000000000006</v>
          </cell>
        </row>
        <row r="259">
          <cell r="C259" t="str">
            <v>Compact Passenger</v>
          </cell>
          <cell r="F259">
            <v>738.9</v>
          </cell>
          <cell r="G259">
            <v>842.6</v>
          </cell>
          <cell r="H259">
            <v>811.50000000000011</v>
          </cell>
          <cell r="I259">
            <v>914.09999999999991</v>
          </cell>
          <cell r="J259">
            <v>1069.8999999999999</v>
          </cell>
          <cell r="K259">
            <v>1183.3000000000002</v>
          </cell>
          <cell r="L259">
            <v>1174.9570000000001</v>
          </cell>
          <cell r="M259">
            <v>1150.9000000000001</v>
          </cell>
          <cell r="N259">
            <v>1167.6000000000001</v>
          </cell>
          <cell r="O259">
            <v>1178.1000000000001</v>
          </cell>
          <cell r="P259">
            <v>1294.3</v>
          </cell>
          <cell r="Q259">
            <v>1326</v>
          </cell>
          <cell r="R259">
            <v>1439.4</v>
          </cell>
          <cell r="S259">
            <v>1366.2</v>
          </cell>
          <cell r="T259">
            <v>1337.0000000000002</v>
          </cell>
          <cell r="U259">
            <v>1343.1</v>
          </cell>
          <cell r="V259">
            <v>1322</v>
          </cell>
        </row>
        <row r="261">
          <cell r="C261" t="str">
            <v>TOTAL COMPACT VAN</v>
          </cell>
          <cell r="F261">
            <v>842.3</v>
          </cell>
          <cell r="G261">
            <v>926.6</v>
          </cell>
          <cell r="H261">
            <v>877.70000000000016</v>
          </cell>
          <cell r="I261">
            <v>977.3</v>
          </cell>
          <cell r="J261">
            <v>1139.4999999999998</v>
          </cell>
          <cell r="K261">
            <v>1265.6000000000001</v>
          </cell>
          <cell r="L261">
            <v>1246.9570000000001</v>
          </cell>
          <cell r="M261">
            <v>1214.7</v>
          </cell>
          <cell r="N261">
            <v>1231.6000000000001</v>
          </cell>
          <cell r="O261">
            <v>1221.9000000000001</v>
          </cell>
          <cell r="P261">
            <v>1340.7</v>
          </cell>
          <cell r="Q261">
            <v>1371.1</v>
          </cell>
          <cell r="R261">
            <v>1475.7</v>
          </cell>
          <cell r="S261">
            <v>1398.2</v>
          </cell>
          <cell r="T261">
            <v>1370.3000000000002</v>
          </cell>
          <cell r="U261">
            <v>1384.5</v>
          </cell>
          <cell r="V261">
            <v>1355.9</v>
          </cell>
        </row>
        <row r="263">
          <cell r="C263" t="str">
            <v>TOTAL VANS</v>
          </cell>
          <cell r="F263">
            <v>1293.0999999999999</v>
          </cell>
          <cell r="G263">
            <v>1309.5</v>
          </cell>
          <cell r="H263">
            <v>1181.5000000000002</v>
          </cell>
          <cell r="I263">
            <v>1341.1</v>
          </cell>
          <cell r="J263">
            <v>1541.1</v>
          </cell>
          <cell r="K263">
            <v>1674.7000000000003</v>
          </cell>
          <cell r="L263">
            <v>1595.9570000000001</v>
          </cell>
          <cell r="M263">
            <v>1582.6000000000001</v>
          </cell>
          <cell r="N263">
            <v>1609.1000000000001</v>
          </cell>
          <cell r="O263">
            <v>1615</v>
          </cell>
          <cell r="P263">
            <v>1759.6</v>
          </cell>
          <cell r="Q263">
            <v>1783.8999999999999</v>
          </cell>
          <cell r="R263">
            <v>1878.6000000000001</v>
          </cell>
          <cell r="S263">
            <v>1789.2</v>
          </cell>
          <cell r="T263">
            <v>1764.7000000000003</v>
          </cell>
          <cell r="U263">
            <v>1769.2</v>
          </cell>
          <cell r="V263">
            <v>1707.4</v>
          </cell>
        </row>
        <row r="265">
          <cell r="C265" t="str">
            <v>TOTAL TRUCKS</v>
          </cell>
          <cell r="F265">
            <v>4755.2</v>
          </cell>
          <cell r="G265">
            <v>4553.6000000000004</v>
          </cell>
          <cell r="H265">
            <v>4131.3999999999996</v>
          </cell>
          <cell r="I265">
            <v>4642</v>
          </cell>
          <cell r="J265">
            <v>5338.7999999999993</v>
          </cell>
          <cell r="K265">
            <v>6026.2000000000007</v>
          </cell>
          <cell r="L265">
            <v>5975.116</v>
          </cell>
          <cell r="M265">
            <v>6532.1</v>
          </cell>
          <cell r="N265">
            <v>6809.6</v>
          </cell>
          <cell r="O265">
            <v>7370.4</v>
          </cell>
          <cell r="P265">
            <v>8169.3</v>
          </cell>
          <cell r="Q265">
            <v>8495.0999999999985</v>
          </cell>
          <cell r="R265">
            <v>8909.7999999999993</v>
          </cell>
          <cell r="S265">
            <v>9042.0999999999985</v>
          </cell>
          <cell r="T265">
            <v>9158.4000000000015</v>
          </cell>
          <cell r="U265">
            <v>9227.5999999999985</v>
          </cell>
          <cell r="V265">
            <v>8896</v>
          </cell>
        </row>
        <row r="270">
          <cell r="C270" t="str">
            <v>Chevrolet</v>
          </cell>
          <cell r="F270">
            <v>1308.6999999999998</v>
          </cell>
          <cell r="G270">
            <v>1242.2</v>
          </cell>
          <cell r="H270">
            <v>1065.9000000000001</v>
          </cell>
          <cell r="I270">
            <v>1151.5</v>
          </cell>
          <cell r="J270">
            <v>1283.6999999999998</v>
          </cell>
          <cell r="K270">
            <v>1418.7</v>
          </cell>
          <cell r="L270">
            <v>1383.3999999999999</v>
          </cell>
          <cell r="M270">
            <v>1458.5</v>
          </cell>
          <cell r="N270">
            <v>1472.1</v>
          </cell>
          <cell r="O270">
            <v>1519.7</v>
          </cell>
          <cell r="P270">
            <v>1700.4</v>
          </cell>
          <cell r="Q270">
            <v>1725.8</v>
          </cell>
          <cell r="R270">
            <v>1739.3</v>
          </cell>
          <cell r="S270">
            <v>1677.3000000000002</v>
          </cell>
          <cell r="T270">
            <v>1678.2</v>
          </cell>
          <cell r="U270">
            <v>1669.1000000000001</v>
          </cell>
          <cell r="V270">
            <v>1614.6</v>
          </cell>
        </row>
        <row r="271">
          <cell r="C271" t="str">
            <v>Buick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9.1999999999999993</v>
          </cell>
          <cell r="S271">
            <v>32.200000000000003</v>
          </cell>
          <cell r="T271">
            <v>34</v>
          </cell>
          <cell r="U271">
            <v>37.299999999999997</v>
          </cell>
          <cell r="V271">
            <v>31.9</v>
          </cell>
        </row>
        <row r="272">
          <cell r="C272" t="str">
            <v>GMC</v>
          </cell>
          <cell r="F272">
            <v>348.79999999999995</v>
          </cell>
          <cell r="G272">
            <v>323</v>
          </cell>
          <cell r="H272">
            <v>281.90000000000003</v>
          </cell>
          <cell r="I272">
            <v>334.79999999999995</v>
          </cell>
          <cell r="J272">
            <v>385</v>
          </cell>
          <cell r="K272">
            <v>434.3</v>
          </cell>
          <cell r="L272">
            <v>420.4</v>
          </cell>
          <cell r="M272">
            <v>441</v>
          </cell>
          <cell r="N272">
            <v>440.2</v>
          </cell>
          <cell r="O272">
            <v>441.9</v>
          </cell>
          <cell r="P272">
            <v>512.29999999999995</v>
          </cell>
          <cell r="Q272">
            <v>514.40000000000009</v>
          </cell>
          <cell r="R272">
            <v>508.29999999999995</v>
          </cell>
          <cell r="S272">
            <v>503.5</v>
          </cell>
          <cell r="T272">
            <v>486.8</v>
          </cell>
          <cell r="U272">
            <v>478.7</v>
          </cell>
          <cell r="V272">
            <v>432.70000000000005</v>
          </cell>
        </row>
        <row r="273">
          <cell r="C273" t="str">
            <v>Cadillac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3.1</v>
          </cell>
          <cell r="P273">
            <v>23.9</v>
          </cell>
          <cell r="Q273">
            <v>23.3</v>
          </cell>
          <cell r="R273">
            <v>33.699999999999996</v>
          </cell>
          <cell r="S273">
            <v>57.4</v>
          </cell>
          <cell r="T273">
            <v>89.1</v>
          </cell>
          <cell r="U273">
            <v>95.3</v>
          </cell>
          <cell r="V273">
            <v>89.399999999999991</v>
          </cell>
        </row>
        <row r="274">
          <cell r="C274" t="str">
            <v>Oldsmobile</v>
          </cell>
          <cell r="F274">
            <v>2.1</v>
          </cell>
          <cell r="G274">
            <v>26.1</v>
          </cell>
          <cell r="H274">
            <v>31.8</v>
          </cell>
          <cell r="I274">
            <v>26.9</v>
          </cell>
          <cell r="J274">
            <v>22.4</v>
          </cell>
          <cell r="K274">
            <v>25.1</v>
          </cell>
          <cell r="L274">
            <v>17.3</v>
          </cell>
          <cell r="M274">
            <v>24.8</v>
          </cell>
          <cell r="N274">
            <v>53.1</v>
          </cell>
          <cell r="O274">
            <v>67.8</v>
          </cell>
          <cell r="P274">
            <v>70.3</v>
          </cell>
          <cell r="Q274">
            <v>72.400000000000006</v>
          </cell>
          <cell r="R274">
            <v>69</v>
          </cell>
          <cell r="S274">
            <v>71.3</v>
          </cell>
          <cell r="T274">
            <v>79</v>
          </cell>
          <cell r="U274">
            <v>75.300000000000011</v>
          </cell>
          <cell r="V274">
            <v>70.7</v>
          </cell>
        </row>
        <row r="275">
          <cell r="C275" t="str">
            <v>Pontiac</v>
          </cell>
          <cell r="F275">
            <v>2.1</v>
          </cell>
          <cell r="G275">
            <v>29.9</v>
          </cell>
          <cell r="H275">
            <v>23.7</v>
          </cell>
          <cell r="I275">
            <v>29.9</v>
          </cell>
          <cell r="J275">
            <v>28.3</v>
          </cell>
          <cell r="K275">
            <v>34.799999999999997</v>
          </cell>
          <cell r="L275">
            <v>32.5</v>
          </cell>
          <cell r="M275">
            <v>21.4</v>
          </cell>
          <cell r="N275">
            <v>52</v>
          </cell>
          <cell r="O275">
            <v>59</v>
          </cell>
          <cell r="P275">
            <v>64.099999999999994</v>
          </cell>
          <cell r="Q275">
            <v>71.099999999999994</v>
          </cell>
          <cell r="R275">
            <v>134.5</v>
          </cell>
          <cell r="S275">
            <v>116.80000000000001</v>
          </cell>
          <cell r="T275">
            <v>129.4</v>
          </cell>
          <cell r="U275">
            <v>117.3</v>
          </cell>
          <cell r="V275">
            <v>110.4</v>
          </cell>
        </row>
        <row r="276">
          <cell r="C276" t="str">
            <v>Saturn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46.4</v>
          </cell>
          <cell r="S276">
            <v>100.8</v>
          </cell>
          <cell r="T276">
            <v>116.9</v>
          </cell>
          <cell r="U276">
            <v>113</v>
          </cell>
          <cell r="V276">
            <v>115.5</v>
          </cell>
        </row>
        <row r="277">
          <cell r="C277" t="str">
            <v>GENERAL MOTORS</v>
          </cell>
          <cell r="F277">
            <v>1661.6999999999996</v>
          </cell>
          <cell r="G277">
            <v>1621.2</v>
          </cell>
          <cell r="H277">
            <v>1403.3000000000002</v>
          </cell>
          <cell r="I277">
            <v>1543.1000000000001</v>
          </cell>
          <cell r="J277">
            <v>1719.3999999999999</v>
          </cell>
          <cell r="K277">
            <v>1912.8999999999999</v>
          </cell>
          <cell r="L277">
            <v>1853.5999999999997</v>
          </cell>
          <cell r="M277">
            <v>1945.7</v>
          </cell>
          <cell r="N277">
            <v>2017.3999999999999</v>
          </cell>
          <cell r="O277">
            <v>2091.5</v>
          </cell>
          <cell r="P277">
            <v>2371</v>
          </cell>
          <cell r="Q277">
            <v>2407</v>
          </cell>
          <cell r="R277">
            <v>2540.4</v>
          </cell>
          <cell r="S277">
            <v>2559.3000000000006</v>
          </cell>
          <cell r="T277">
            <v>2613.4</v>
          </cell>
          <cell r="U277">
            <v>2586.0000000000005</v>
          </cell>
          <cell r="V277">
            <v>2465.1999999999998</v>
          </cell>
        </row>
        <row r="279">
          <cell r="C279" t="str">
            <v>Ford</v>
          </cell>
          <cell r="F279">
            <v>1394.4</v>
          </cell>
          <cell r="G279">
            <v>1347.5</v>
          </cell>
          <cell r="H279">
            <v>1211.0999999999999</v>
          </cell>
          <cell r="I279">
            <v>1382.7</v>
          </cell>
          <cell r="J279">
            <v>1592.0000000000002</v>
          </cell>
          <cell r="K279">
            <v>1775.8</v>
          </cell>
          <cell r="L279">
            <v>1848.1</v>
          </cell>
          <cell r="M279">
            <v>1978.3</v>
          </cell>
          <cell r="N279">
            <v>2051.1</v>
          </cell>
          <cell r="O279">
            <v>2171</v>
          </cell>
          <cell r="P279">
            <v>2248.8000000000002</v>
          </cell>
          <cell r="Q279">
            <v>2326.6000000000004</v>
          </cell>
          <cell r="R279">
            <v>2446.4</v>
          </cell>
          <cell r="S279">
            <v>2514.6999999999998</v>
          </cell>
          <cell r="T279">
            <v>2454.9</v>
          </cell>
          <cell r="U279">
            <v>2418.8000000000002</v>
          </cell>
          <cell r="V279">
            <v>2285.6999999999998</v>
          </cell>
        </row>
        <row r="280">
          <cell r="C280" t="str">
            <v>Lincoln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26.8</v>
          </cell>
          <cell r="O280">
            <v>43.9</v>
          </cell>
          <cell r="P280">
            <v>39.299999999999997</v>
          </cell>
          <cell r="Q280">
            <v>40.699999999999996</v>
          </cell>
          <cell r="R280">
            <v>82.2</v>
          </cell>
          <cell r="S280">
            <v>129.99999999999997</v>
          </cell>
          <cell r="T280">
            <v>132.30000000000001</v>
          </cell>
          <cell r="U280">
            <v>132.1</v>
          </cell>
          <cell r="V280">
            <v>132.19999999999999</v>
          </cell>
        </row>
        <row r="281">
          <cell r="C281" t="str">
            <v>Mercury</v>
          </cell>
          <cell r="F281">
            <v>0</v>
          </cell>
          <cell r="G281">
            <v>0</v>
          </cell>
          <cell r="H281">
            <v>0</v>
          </cell>
          <cell r="I281">
            <v>14.7</v>
          </cell>
          <cell r="J281">
            <v>71.599999999999994</v>
          </cell>
          <cell r="K281">
            <v>76.8</v>
          </cell>
          <cell r="L281">
            <v>75.8</v>
          </cell>
          <cell r="M281">
            <v>92.3</v>
          </cell>
          <cell r="N281">
            <v>100.6</v>
          </cell>
          <cell r="O281">
            <v>86.1</v>
          </cell>
          <cell r="P281">
            <v>94.6</v>
          </cell>
          <cell r="Q281">
            <v>76.900000000000006</v>
          </cell>
          <cell r="R281">
            <v>64.2</v>
          </cell>
          <cell r="S281">
            <v>46.6</v>
          </cell>
          <cell r="T281">
            <v>54</v>
          </cell>
          <cell r="U281">
            <v>96.6</v>
          </cell>
          <cell r="V281">
            <v>96.7</v>
          </cell>
        </row>
        <row r="282">
          <cell r="C282" t="str">
            <v>FORD</v>
          </cell>
          <cell r="F282">
            <v>1394.4</v>
          </cell>
          <cell r="G282">
            <v>1347.5</v>
          </cell>
          <cell r="H282">
            <v>1211.0999999999999</v>
          </cell>
          <cell r="I282">
            <v>1397.4</v>
          </cell>
          <cell r="J282">
            <v>1663.6000000000001</v>
          </cell>
          <cell r="K282">
            <v>1852.6</v>
          </cell>
          <cell r="L282">
            <v>1923.8999999999999</v>
          </cell>
          <cell r="M282">
            <v>2070.6</v>
          </cell>
          <cell r="N282">
            <v>2178.5</v>
          </cell>
          <cell r="O282">
            <v>2301</v>
          </cell>
          <cell r="P282">
            <v>2382.7000000000003</v>
          </cell>
          <cell r="Q282">
            <v>2444.2000000000003</v>
          </cell>
          <cell r="R282">
            <v>2592.7999999999997</v>
          </cell>
          <cell r="S282">
            <v>2691.2999999999997</v>
          </cell>
          <cell r="T282">
            <v>2641.2000000000003</v>
          </cell>
          <cell r="U282">
            <v>2647.5</v>
          </cell>
          <cell r="V282">
            <v>2514.5999999999995</v>
          </cell>
        </row>
        <row r="284">
          <cell r="C284" t="str">
            <v>Chrysler</v>
          </cell>
          <cell r="F284">
            <v>1.8</v>
          </cell>
          <cell r="G284">
            <v>2.9</v>
          </cell>
          <cell r="H284">
            <v>5.2</v>
          </cell>
          <cell r="I284">
            <v>16.899999999999999</v>
          </cell>
          <cell r="J284">
            <v>27.4</v>
          </cell>
          <cell r="K284">
            <v>33.700000000000003</v>
          </cell>
          <cell r="L284">
            <v>48</v>
          </cell>
          <cell r="M284">
            <v>84.8</v>
          </cell>
          <cell r="N284">
            <v>76.7</v>
          </cell>
          <cell r="O284">
            <v>72</v>
          </cell>
          <cell r="P284">
            <v>72.099999999999994</v>
          </cell>
          <cell r="Q284">
            <v>261.8</v>
          </cell>
          <cell r="R284">
            <v>402</v>
          </cell>
          <cell r="S284">
            <v>437.80000000000007</v>
          </cell>
          <cell r="T284">
            <v>428.5</v>
          </cell>
          <cell r="U284">
            <v>412.4</v>
          </cell>
          <cell r="V284">
            <v>391.5</v>
          </cell>
        </row>
        <row r="285">
          <cell r="C285" t="str">
            <v>Dodge</v>
          </cell>
          <cell r="F285">
            <v>548</v>
          </cell>
          <cell r="G285">
            <v>465.9</v>
          </cell>
          <cell r="H285">
            <v>449.1</v>
          </cell>
          <cell r="I285">
            <v>546.6</v>
          </cell>
          <cell r="J285">
            <v>566.4</v>
          </cell>
          <cell r="K285">
            <v>710.6</v>
          </cell>
          <cell r="L285">
            <v>712.5</v>
          </cell>
          <cell r="M285">
            <v>870.59999999999991</v>
          </cell>
          <cell r="N285">
            <v>861.8</v>
          </cell>
          <cell r="O285">
            <v>1082.4000000000001</v>
          </cell>
          <cell r="P285">
            <v>1128</v>
          </cell>
          <cell r="Q285">
            <v>1075.5999999999999</v>
          </cell>
          <cell r="R285">
            <v>1134.3999999999999</v>
          </cell>
          <cell r="S285">
            <v>1114.8000000000002</v>
          </cell>
          <cell r="T285">
            <v>1114</v>
          </cell>
          <cell r="U285">
            <v>1102.8999999999999</v>
          </cell>
          <cell r="V285">
            <v>1062.2</v>
          </cell>
        </row>
        <row r="286">
          <cell r="C286" t="str">
            <v>Jeep</v>
          </cell>
          <cell r="F286">
            <v>249.1</v>
          </cell>
          <cell r="G286">
            <v>196.9</v>
          </cell>
          <cell r="H286">
            <v>177.89999999999998</v>
          </cell>
          <cell r="I286">
            <v>268.8</v>
          </cell>
          <cell r="J286">
            <v>408.2</v>
          </cell>
          <cell r="K286">
            <v>436.5</v>
          </cell>
          <cell r="L286">
            <v>432.70000000000005</v>
          </cell>
          <cell r="M286">
            <v>509.1</v>
          </cell>
          <cell r="N286">
            <v>472.9</v>
          </cell>
          <cell r="O286">
            <v>459.3</v>
          </cell>
          <cell r="P286">
            <v>554.5</v>
          </cell>
          <cell r="Q286">
            <v>495.5</v>
          </cell>
          <cell r="R286">
            <v>478.9</v>
          </cell>
          <cell r="S286">
            <v>466.9</v>
          </cell>
          <cell r="T286">
            <v>507.2</v>
          </cell>
          <cell r="U286">
            <v>511.5</v>
          </cell>
          <cell r="V286">
            <v>490.6</v>
          </cell>
        </row>
        <row r="287">
          <cell r="C287" t="str">
            <v>Plymouth</v>
          </cell>
          <cell r="F287">
            <v>184.9</v>
          </cell>
          <cell r="G287">
            <v>171.5</v>
          </cell>
          <cell r="H287">
            <v>173.4</v>
          </cell>
          <cell r="I287">
            <v>201</v>
          </cell>
          <cell r="J287">
            <v>211.8</v>
          </cell>
          <cell r="K287">
            <v>211.5</v>
          </cell>
          <cell r="L287">
            <v>181.25700000000001</v>
          </cell>
          <cell r="M287">
            <v>153.9</v>
          </cell>
          <cell r="N287">
            <v>156.1</v>
          </cell>
          <cell r="O287">
            <v>157</v>
          </cell>
          <cell r="P287">
            <v>138.6</v>
          </cell>
          <cell r="Q287">
            <v>28.3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</row>
        <row r="288">
          <cell r="C288" t="str">
            <v>CHRYSLER</v>
          </cell>
          <cell r="F288">
            <v>983.8</v>
          </cell>
          <cell r="G288">
            <v>837.19999999999993</v>
          </cell>
          <cell r="H288">
            <v>805.6</v>
          </cell>
          <cell r="I288">
            <v>1033.3</v>
          </cell>
          <cell r="J288">
            <v>1213.8</v>
          </cell>
          <cell r="K288">
            <v>1392.3000000000002</v>
          </cell>
          <cell r="L288">
            <v>1374.4570000000001</v>
          </cell>
          <cell r="M288">
            <v>1618.4</v>
          </cell>
          <cell r="N288">
            <v>1567.5</v>
          </cell>
          <cell r="O288">
            <v>1770.7</v>
          </cell>
          <cell r="P288">
            <v>1893.1999999999998</v>
          </cell>
          <cell r="Q288">
            <v>1861.1999999999998</v>
          </cell>
          <cell r="R288">
            <v>2015.2999999999997</v>
          </cell>
          <cell r="S288">
            <v>2019.5000000000005</v>
          </cell>
          <cell r="T288">
            <v>2049.6999999999998</v>
          </cell>
          <cell r="U288">
            <v>2026.7999999999997</v>
          </cell>
          <cell r="V288">
            <v>1944.3000000000002</v>
          </cell>
        </row>
        <row r="291">
          <cell r="C291" t="str">
            <v>TOTAL DOMESTIC</v>
          </cell>
          <cell r="F291">
            <v>4039.8999999999996</v>
          </cell>
          <cell r="G291">
            <v>3805.8999999999996</v>
          </cell>
          <cell r="H291">
            <v>3420</v>
          </cell>
          <cell r="I291">
            <v>3973.8</v>
          </cell>
          <cell r="J291">
            <v>4596.8</v>
          </cell>
          <cell r="K291">
            <v>5157.8</v>
          </cell>
          <cell r="L291">
            <v>5151.9569999999994</v>
          </cell>
          <cell r="M291">
            <v>5634.7</v>
          </cell>
          <cell r="N291">
            <v>5763.4</v>
          </cell>
          <cell r="O291">
            <v>6163.2</v>
          </cell>
          <cell r="P291">
            <v>6646.9</v>
          </cell>
          <cell r="Q291">
            <v>6712.4</v>
          </cell>
          <cell r="R291">
            <v>7148.5</v>
          </cell>
          <cell r="S291">
            <v>7270.1</v>
          </cell>
          <cell r="T291">
            <v>7304.2999999999993</v>
          </cell>
          <cell r="U291">
            <v>7260.2999999999993</v>
          </cell>
          <cell r="V291">
            <v>6924.0999999999995</v>
          </cell>
        </row>
        <row r="294">
          <cell r="C294" t="str">
            <v>Acura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5.8999999999999997E-2</v>
          </cell>
          <cell r="M294">
            <v>2.6</v>
          </cell>
          <cell r="N294">
            <v>1.3</v>
          </cell>
          <cell r="O294">
            <v>1.6</v>
          </cell>
          <cell r="P294">
            <v>0.7</v>
          </cell>
          <cell r="Q294">
            <v>9.9</v>
          </cell>
          <cell r="R294">
            <v>23.9</v>
          </cell>
          <cell r="S294">
            <v>33</v>
          </cell>
          <cell r="T294">
            <v>30.2</v>
          </cell>
          <cell r="U294">
            <v>31.5</v>
          </cell>
          <cell r="V294">
            <v>27.4</v>
          </cell>
        </row>
        <row r="295">
          <cell r="C295" t="str">
            <v>Daewoo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10.4</v>
          </cell>
          <cell r="S295">
            <v>15.2</v>
          </cell>
          <cell r="T295">
            <v>15.8</v>
          </cell>
          <cell r="U295">
            <v>16.899999999999999</v>
          </cell>
          <cell r="V295">
            <v>14.3</v>
          </cell>
        </row>
        <row r="296">
          <cell r="C296" t="str">
            <v>Daihatsu</v>
          </cell>
          <cell r="F296">
            <v>0.3</v>
          </cell>
          <cell r="G296">
            <v>4.4000000000000004</v>
          </cell>
          <cell r="H296">
            <v>2.8</v>
          </cell>
          <cell r="I296">
            <v>2.2999999999999998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</row>
        <row r="297">
          <cell r="C297" t="str">
            <v>Honda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0.1</v>
          </cell>
          <cell r="K297">
            <v>26</v>
          </cell>
          <cell r="L297">
            <v>51.6</v>
          </cell>
          <cell r="M297">
            <v>55.2</v>
          </cell>
          <cell r="N297">
            <v>109.7</v>
          </cell>
          <cell r="O297">
            <v>147.59999999999997</v>
          </cell>
          <cell r="P297">
            <v>221.60000000000002</v>
          </cell>
          <cell r="Q297">
            <v>266.89999999999998</v>
          </cell>
          <cell r="R297">
            <v>246.8</v>
          </cell>
          <cell r="S297">
            <v>266.7</v>
          </cell>
          <cell r="T297">
            <v>316.60000000000002</v>
          </cell>
          <cell r="U297">
            <v>333.5</v>
          </cell>
          <cell r="V297">
            <v>338.5</v>
          </cell>
        </row>
        <row r="298">
          <cell r="C298" t="str">
            <v>Hyundai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10.3</v>
          </cell>
          <cell r="R298">
            <v>24</v>
          </cell>
          <cell r="S298">
            <v>30.9</v>
          </cell>
          <cell r="T298">
            <v>36.4</v>
          </cell>
          <cell r="U298">
            <v>33.700000000000003</v>
          </cell>
          <cell r="V298">
            <v>29.9</v>
          </cell>
        </row>
        <row r="299">
          <cell r="C299" t="str">
            <v>Infiniti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2</v>
          </cell>
          <cell r="N299">
            <v>18.8</v>
          </cell>
          <cell r="O299">
            <v>20.100000000000001</v>
          </cell>
          <cell r="P299">
            <v>19.2</v>
          </cell>
          <cell r="Q299">
            <v>21.5</v>
          </cell>
          <cell r="R299">
            <v>16.899999999999999</v>
          </cell>
          <cell r="S299">
            <v>20.399999999999999</v>
          </cell>
          <cell r="T299">
            <v>18.5</v>
          </cell>
          <cell r="U299">
            <v>17.7</v>
          </cell>
          <cell r="V299">
            <v>17.899999999999999</v>
          </cell>
        </row>
        <row r="300">
          <cell r="C300" t="str">
            <v>Isuzu</v>
          </cell>
          <cell r="F300">
            <v>103.39999999999999</v>
          </cell>
          <cell r="G300">
            <v>106.1</v>
          </cell>
          <cell r="H300">
            <v>95.1</v>
          </cell>
          <cell r="I300">
            <v>98.3</v>
          </cell>
          <cell r="J300">
            <v>110.1</v>
          </cell>
          <cell r="K300">
            <v>117.2</v>
          </cell>
          <cell r="L300">
            <v>101.30000000000001</v>
          </cell>
          <cell r="M300">
            <v>91.899999999999991</v>
          </cell>
          <cell r="N300">
            <v>91.5</v>
          </cell>
          <cell r="O300">
            <v>101.89999999999999</v>
          </cell>
          <cell r="P300">
            <v>104.1</v>
          </cell>
          <cell r="Q300">
            <v>99.700000000000017</v>
          </cell>
          <cell r="R300">
            <v>79.100000000000009</v>
          </cell>
          <cell r="S300">
            <v>77</v>
          </cell>
          <cell r="T300">
            <v>88.800000000000011</v>
          </cell>
          <cell r="U300">
            <v>107.40000000000002</v>
          </cell>
          <cell r="V300">
            <v>97.1</v>
          </cell>
        </row>
        <row r="301">
          <cell r="C301" t="str">
            <v>KIA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6.9</v>
          </cell>
          <cell r="M301">
            <v>9.9</v>
          </cell>
          <cell r="N301">
            <v>19.899999999999999</v>
          </cell>
          <cell r="O301">
            <v>28.599999999999998</v>
          </cell>
          <cell r="P301">
            <v>52.4</v>
          </cell>
          <cell r="Q301">
            <v>62.4</v>
          </cell>
          <cell r="R301">
            <v>49.2</v>
          </cell>
          <cell r="S301">
            <v>43.5</v>
          </cell>
          <cell r="T301">
            <v>42.1</v>
          </cell>
          <cell r="U301">
            <v>51.099999999999994</v>
          </cell>
          <cell r="V301">
            <v>52.5</v>
          </cell>
        </row>
        <row r="302">
          <cell r="C302" t="str">
            <v>Lexus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7.5</v>
          </cell>
          <cell r="N302">
            <v>6.8</v>
          </cell>
          <cell r="O302">
            <v>53.2</v>
          </cell>
          <cell r="P302">
            <v>89.2</v>
          </cell>
          <cell r="Q302">
            <v>104.60000000000001</v>
          </cell>
          <cell r="R302">
            <v>92.1</v>
          </cell>
          <cell r="S302">
            <v>94.6</v>
          </cell>
          <cell r="T302">
            <v>92.4</v>
          </cell>
          <cell r="U302">
            <v>86</v>
          </cell>
          <cell r="V302">
            <v>75.7</v>
          </cell>
        </row>
        <row r="303">
          <cell r="C303" t="str">
            <v>Mazda</v>
          </cell>
          <cell r="F303">
            <v>115.8</v>
          </cell>
          <cell r="G303">
            <v>123.9</v>
          </cell>
          <cell r="H303">
            <v>121.9</v>
          </cell>
          <cell r="I303">
            <v>90.399999999999991</v>
          </cell>
          <cell r="J303">
            <v>84.7</v>
          </cell>
          <cell r="K303">
            <v>92.6</v>
          </cell>
          <cell r="L303">
            <v>63.099999999999994</v>
          </cell>
          <cell r="M303">
            <v>57.199999999999996</v>
          </cell>
          <cell r="N303">
            <v>53.6</v>
          </cell>
          <cell r="O303">
            <v>54</v>
          </cell>
          <cell r="P303">
            <v>54.8</v>
          </cell>
          <cell r="Q303">
            <v>89.6</v>
          </cell>
          <cell r="R303">
            <v>102.3</v>
          </cell>
          <cell r="S303">
            <v>95.1</v>
          </cell>
          <cell r="T303">
            <v>92.399999999999991</v>
          </cell>
          <cell r="U303">
            <v>91.4</v>
          </cell>
          <cell r="V303">
            <v>90</v>
          </cell>
        </row>
        <row r="304">
          <cell r="C304" t="str">
            <v>Mitsubishi</v>
          </cell>
          <cell r="F304">
            <v>40.599999999999994</v>
          </cell>
          <cell r="G304">
            <v>42.3</v>
          </cell>
          <cell r="H304">
            <v>29.099999999999998</v>
          </cell>
          <cell r="I304">
            <v>21.3</v>
          </cell>
          <cell r="J304">
            <v>20.9</v>
          </cell>
          <cell r="K304">
            <v>29.3</v>
          </cell>
          <cell r="L304">
            <v>21.4</v>
          </cell>
          <cell r="M304">
            <v>15.899999999999999</v>
          </cell>
          <cell r="N304">
            <v>38.6</v>
          </cell>
          <cell r="O304">
            <v>42.5</v>
          </cell>
          <cell r="P304">
            <v>64.099999999999994</v>
          </cell>
          <cell r="Q304">
            <v>88.1</v>
          </cell>
          <cell r="R304">
            <v>55</v>
          </cell>
          <cell r="S304">
            <v>55.5</v>
          </cell>
          <cell r="T304">
            <v>53.900000000000006</v>
          </cell>
          <cell r="U304">
            <v>50.1</v>
          </cell>
          <cell r="V304">
            <v>46.3</v>
          </cell>
        </row>
        <row r="305">
          <cell r="C305" t="str">
            <v>Nissan</v>
          </cell>
          <cell r="F305">
            <v>153</v>
          </cell>
          <cell r="G305">
            <v>167.4</v>
          </cell>
          <cell r="H305">
            <v>169.1</v>
          </cell>
          <cell r="I305">
            <v>166.5</v>
          </cell>
          <cell r="J305">
            <v>205.39999999999998</v>
          </cell>
          <cell r="K305">
            <v>237.2</v>
          </cell>
          <cell r="L305">
            <v>253</v>
          </cell>
          <cell r="M305">
            <v>246.50000000000003</v>
          </cell>
          <cell r="N305">
            <v>242.20000000000002</v>
          </cell>
          <cell r="O305">
            <v>190.1</v>
          </cell>
          <cell r="P305">
            <v>254.6</v>
          </cell>
          <cell r="Q305">
            <v>292.2</v>
          </cell>
          <cell r="R305">
            <v>258.2</v>
          </cell>
          <cell r="S305">
            <v>201.6</v>
          </cell>
          <cell r="T305">
            <v>170.8</v>
          </cell>
          <cell r="U305">
            <v>177.60000000000002</v>
          </cell>
          <cell r="V305">
            <v>179.4</v>
          </cell>
        </row>
        <row r="306">
          <cell r="C306" t="str">
            <v>Subaru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16</v>
          </cell>
          <cell r="O306">
            <v>40.1</v>
          </cell>
          <cell r="P306">
            <v>50.2</v>
          </cell>
          <cell r="Q306">
            <v>56.6</v>
          </cell>
          <cell r="R306">
            <v>44.9</v>
          </cell>
          <cell r="S306">
            <v>39</v>
          </cell>
          <cell r="T306">
            <v>50.2</v>
          </cell>
          <cell r="U306">
            <v>48.6</v>
          </cell>
          <cell r="V306">
            <v>44.9</v>
          </cell>
        </row>
        <row r="307">
          <cell r="C307" t="str">
            <v>Suzuki</v>
          </cell>
          <cell r="F307">
            <v>24.1</v>
          </cell>
          <cell r="G307">
            <v>14</v>
          </cell>
          <cell r="H307">
            <v>16.2</v>
          </cell>
          <cell r="I307">
            <v>18.7</v>
          </cell>
          <cell r="J307">
            <v>19.100000000000001</v>
          </cell>
          <cell r="K307">
            <v>26.5</v>
          </cell>
          <cell r="L307">
            <v>22.3</v>
          </cell>
          <cell r="M307">
            <v>26.3</v>
          </cell>
          <cell r="N307">
            <v>20.5</v>
          </cell>
          <cell r="O307">
            <v>21.400000000000002</v>
          </cell>
          <cell r="P307">
            <v>35</v>
          </cell>
          <cell r="Q307">
            <v>40.6</v>
          </cell>
          <cell r="R307">
            <v>37.1</v>
          </cell>
          <cell r="S307">
            <v>35.1</v>
          </cell>
          <cell r="T307">
            <v>31.4</v>
          </cell>
          <cell r="U307">
            <v>26.1</v>
          </cell>
          <cell r="V307">
            <v>25.2</v>
          </cell>
        </row>
        <row r="308">
          <cell r="C308" t="str">
            <v>Toyota</v>
          </cell>
          <cell r="F308">
            <v>268.29999999999995</v>
          </cell>
          <cell r="G308">
            <v>278.60000000000002</v>
          </cell>
          <cell r="H308">
            <v>268.89999999999998</v>
          </cell>
          <cell r="I308">
            <v>263.8</v>
          </cell>
          <cell r="J308">
            <v>291.10000000000002</v>
          </cell>
          <cell r="K308">
            <v>322.79999999999995</v>
          </cell>
          <cell r="L308">
            <v>283.5</v>
          </cell>
          <cell r="M308">
            <v>358.2</v>
          </cell>
          <cell r="N308">
            <v>387.09999999999997</v>
          </cell>
          <cell r="O308">
            <v>439.90000000000003</v>
          </cell>
          <cell r="P308">
            <v>497.30000000000013</v>
          </cell>
          <cell r="Q308">
            <v>530.90000000000009</v>
          </cell>
          <cell r="R308">
            <v>603.79999999999995</v>
          </cell>
          <cell r="S308">
            <v>652.90000000000009</v>
          </cell>
          <cell r="T308">
            <v>682.80000000000007</v>
          </cell>
          <cell r="U308">
            <v>696.4</v>
          </cell>
          <cell r="V308">
            <v>732.19999999999993</v>
          </cell>
        </row>
        <row r="311">
          <cell r="C311" t="str">
            <v>Audi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</row>
        <row r="312">
          <cell r="C312" t="str">
            <v>BMW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1.3</v>
          </cell>
          <cell r="Q312">
            <v>26.7</v>
          </cell>
          <cell r="R312">
            <v>33.5</v>
          </cell>
          <cell r="S312">
            <v>31.9</v>
          </cell>
          <cell r="T312">
            <v>29.8</v>
          </cell>
          <cell r="U312">
            <v>31.7</v>
          </cell>
          <cell r="V312">
            <v>29.1</v>
          </cell>
        </row>
        <row r="313">
          <cell r="C313" t="str">
            <v>Jaguar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</row>
        <row r="314">
          <cell r="C314" t="str">
            <v>Mercedes-Benz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14.6</v>
          </cell>
          <cell r="O314">
            <v>43.1</v>
          </cell>
          <cell r="P314">
            <v>45.2</v>
          </cell>
          <cell r="Q314">
            <v>52.8</v>
          </cell>
          <cell r="R314">
            <v>44.8</v>
          </cell>
          <cell r="S314">
            <v>38.700000000000003</v>
          </cell>
          <cell r="T314">
            <v>46</v>
          </cell>
          <cell r="U314">
            <v>47.7</v>
          </cell>
          <cell r="V314">
            <v>47.2</v>
          </cell>
        </row>
        <row r="315">
          <cell r="C315" t="str">
            <v>Land Rover</v>
          </cell>
          <cell r="F315">
            <v>4.8</v>
          </cell>
          <cell r="G315">
            <v>4.5999999999999996</v>
          </cell>
          <cell r="H315">
            <v>3.3</v>
          </cell>
          <cell r="I315">
            <v>4.2</v>
          </cell>
          <cell r="J315">
            <v>5</v>
          </cell>
          <cell r="K315">
            <v>12.1</v>
          </cell>
          <cell r="L315">
            <v>19</v>
          </cell>
          <cell r="M315">
            <v>23.200000000000003</v>
          </cell>
          <cell r="N315">
            <v>23.799999999999997</v>
          </cell>
          <cell r="O315">
            <v>21.4</v>
          </cell>
          <cell r="P315">
            <v>29.299999999999997</v>
          </cell>
          <cell r="Q315">
            <v>27.2</v>
          </cell>
          <cell r="R315">
            <v>37.400000000000006</v>
          </cell>
          <cell r="S315">
            <v>37.300000000000004</v>
          </cell>
          <cell r="T315">
            <v>36.9</v>
          </cell>
          <cell r="U315">
            <v>37</v>
          </cell>
          <cell r="V315">
            <v>32.4</v>
          </cell>
        </row>
        <row r="316">
          <cell r="C316" t="str">
            <v>Porsche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0.6</v>
          </cell>
          <cell r="U316">
            <v>3.5</v>
          </cell>
          <cell r="V316">
            <v>3</v>
          </cell>
        </row>
        <row r="317">
          <cell r="C317" t="str">
            <v>Saab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</row>
        <row r="318">
          <cell r="C318" t="str">
            <v>Volkswagen</v>
          </cell>
          <cell r="F318">
            <v>5</v>
          </cell>
          <cell r="G318">
            <v>6.4</v>
          </cell>
          <cell r="H318">
            <v>5</v>
          </cell>
          <cell r="I318">
            <v>2.7</v>
          </cell>
          <cell r="J318">
            <v>5.6</v>
          </cell>
          <cell r="K318">
            <v>4.7</v>
          </cell>
          <cell r="L318">
            <v>1</v>
          </cell>
          <cell r="M318">
            <v>1</v>
          </cell>
          <cell r="N318">
            <v>1.8</v>
          </cell>
          <cell r="O318">
            <v>1.7</v>
          </cell>
          <cell r="P318">
            <v>3.4</v>
          </cell>
          <cell r="Q318">
            <v>2.7</v>
          </cell>
          <cell r="R318">
            <v>1.9</v>
          </cell>
          <cell r="S318">
            <v>1.2</v>
          </cell>
          <cell r="T318">
            <v>1.8</v>
          </cell>
          <cell r="U318">
            <v>23.6</v>
          </cell>
          <cell r="V318">
            <v>26.900000000000002</v>
          </cell>
        </row>
        <row r="319">
          <cell r="C319" t="str">
            <v>Volvo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2.4</v>
          </cell>
          <cell r="T319">
            <v>16.7</v>
          </cell>
          <cell r="U319">
            <v>55.8</v>
          </cell>
          <cell r="V319">
            <v>62</v>
          </cell>
        </row>
        <row r="321">
          <cell r="C321" t="str">
            <v>TOTAL ASIANS</v>
          </cell>
          <cell r="F321">
            <v>705.5</v>
          </cell>
          <cell r="G321">
            <v>736.7</v>
          </cell>
          <cell r="H321">
            <v>703.09999999999991</v>
          </cell>
          <cell r="I321">
            <v>661.3</v>
          </cell>
          <cell r="J321">
            <v>731.4</v>
          </cell>
          <cell r="K321">
            <v>851.59999999999991</v>
          </cell>
          <cell r="L321">
            <v>803.15899999999999</v>
          </cell>
          <cell r="M321">
            <v>873.2</v>
          </cell>
          <cell r="N321">
            <v>1006</v>
          </cell>
          <cell r="O321">
            <v>1141</v>
          </cell>
          <cell r="P321">
            <v>1443.2000000000003</v>
          </cell>
          <cell r="Q321">
            <v>1673.3</v>
          </cell>
          <cell r="R321">
            <v>1643.6999999999998</v>
          </cell>
          <cell r="S321">
            <v>1660.5</v>
          </cell>
          <cell r="T321">
            <v>1722.3000000000002</v>
          </cell>
          <cell r="U321">
            <v>1768</v>
          </cell>
          <cell r="V321">
            <v>1771.2999999999997</v>
          </cell>
        </row>
        <row r="322">
          <cell r="C322" t="str">
            <v>TOTAL EUROPEANS</v>
          </cell>
          <cell r="F322">
            <v>9.8000000000000007</v>
          </cell>
          <cell r="G322">
            <v>11</v>
          </cell>
          <cell r="H322">
            <v>8.3000000000000007</v>
          </cell>
          <cell r="I322">
            <v>6.9</v>
          </cell>
          <cell r="J322">
            <v>10.6</v>
          </cell>
          <cell r="K322">
            <v>16.8</v>
          </cell>
          <cell r="L322">
            <v>20</v>
          </cell>
          <cell r="M322">
            <v>24.200000000000003</v>
          </cell>
          <cell r="N322">
            <v>40.199999999999996</v>
          </cell>
          <cell r="O322">
            <v>66.2</v>
          </cell>
          <cell r="P322">
            <v>79.2</v>
          </cell>
          <cell r="Q322">
            <v>109.4</v>
          </cell>
          <cell r="R322">
            <v>117.60000000000001</v>
          </cell>
          <cell r="S322">
            <v>111.50000000000001</v>
          </cell>
          <cell r="T322">
            <v>131.79999999999998</v>
          </cell>
          <cell r="U322">
            <v>199.3</v>
          </cell>
          <cell r="V322">
            <v>200.60000000000002</v>
          </cell>
        </row>
        <row r="324">
          <cell r="C324" t="str">
            <v>TOTAL FOREIGN</v>
          </cell>
          <cell r="F324">
            <v>715.3</v>
          </cell>
          <cell r="G324">
            <v>747.7</v>
          </cell>
          <cell r="H324">
            <v>711.39999999999986</v>
          </cell>
          <cell r="I324">
            <v>668.2</v>
          </cell>
          <cell r="J324">
            <v>742</v>
          </cell>
          <cell r="K324">
            <v>868.4</v>
          </cell>
          <cell r="L324">
            <v>823.15899999999999</v>
          </cell>
          <cell r="M324">
            <v>897.40000000000009</v>
          </cell>
          <cell r="N324">
            <v>1046.2</v>
          </cell>
          <cell r="O324">
            <v>1207.2</v>
          </cell>
          <cell r="P324">
            <v>1522.4000000000003</v>
          </cell>
          <cell r="Q324">
            <v>1782.7</v>
          </cell>
          <cell r="R324">
            <v>1761.3</v>
          </cell>
          <cell r="S324">
            <v>1772.0000000000002</v>
          </cell>
          <cell r="T324">
            <v>1854.1000000000001</v>
          </cell>
          <cell r="U324">
            <v>1967.3</v>
          </cell>
          <cell r="V324">
            <v>1971.8999999999999</v>
          </cell>
        </row>
        <row r="327">
          <cell r="C327" t="str">
            <v>TOTAL TRUCKS</v>
          </cell>
          <cell r="F327">
            <v>4755.2</v>
          </cell>
          <cell r="G327">
            <v>4553.5999999999995</v>
          </cell>
          <cell r="H327">
            <v>4131.3999999999996</v>
          </cell>
          <cell r="I327">
            <v>4642</v>
          </cell>
          <cell r="J327">
            <v>5338.8</v>
          </cell>
          <cell r="K327">
            <v>6026.2</v>
          </cell>
          <cell r="L327">
            <v>5975.1159999999991</v>
          </cell>
          <cell r="M327">
            <v>6532.1</v>
          </cell>
          <cell r="N327">
            <v>6809.5999999999995</v>
          </cell>
          <cell r="O327">
            <v>7370.4</v>
          </cell>
          <cell r="P327">
            <v>8169.3</v>
          </cell>
          <cell r="Q327">
            <v>8495.1</v>
          </cell>
          <cell r="R327">
            <v>8909.7999999999993</v>
          </cell>
          <cell r="S327">
            <v>9042.1</v>
          </cell>
          <cell r="T327">
            <v>9158.4</v>
          </cell>
          <cell r="U327">
            <v>9227.5999999999985</v>
          </cell>
          <cell r="V327">
            <v>8896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TAFF"/>
      <sheetName val="DIRECT_LAB"/>
      <sheetName val="INDIRECT_LAB"/>
      <sheetName val="MEAL_ALL"/>
      <sheetName val="MEDICAL"/>
      <sheetName val="TRANSPORT"/>
      <sheetName val="PENSION"/>
      <sheetName val="ASTEK"/>
      <sheetName val="BONUS_MNJM"/>
      <sheetName val="SOCIAL"/>
      <sheetName val="MEAL"/>
      <sheetName val="SAV_FUND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Sheet3"/>
      <sheetName val="Employ-list"/>
      <sheetName val="mk12"/>
      <sheetName val="mk18"/>
      <sheetName val="mk24"/>
      <sheetName val="mk30"/>
      <sheetName val="Sheet1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_OP 2013"/>
      <sheetName val="dtInput"/>
      <sheetName val="Data_2013"/>
    </sheetNames>
    <sheetDataSet>
      <sheetData sheetId="0"/>
      <sheetData sheetId="1">
        <row r="1">
          <cell r="E1" t="str">
            <v>Data</v>
          </cell>
        </row>
        <row r="2">
          <cell r="A2" t="str">
            <v>CCID|GL</v>
          </cell>
          <cell r="B2" t="str">
            <v>CCId</v>
          </cell>
          <cell r="C2" t="str">
            <v>GLAcc</v>
          </cell>
          <cell r="D2" t="str">
            <v>Prd</v>
          </cell>
          <cell r="E2" t="str">
            <v>Plan Year</v>
          </cell>
          <cell r="F2" t="str">
            <v>YTD Plan</v>
          </cell>
          <cell r="G2" t="str">
            <v>YTD Actual</v>
          </cell>
          <cell r="H2" t="str">
            <v>Budget Monthly</v>
          </cell>
          <cell r="I2" t="str">
            <v>Actual Monthly</v>
          </cell>
        </row>
        <row r="3">
          <cell r="A3" t="str">
            <v>0100|211100</v>
          </cell>
          <cell r="B3" t="str">
            <v>0100</v>
          </cell>
          <cell r="C3">
            <v>211100</v>
          </cell>
          <cell r="D3">
            <v>41244</v>
          </cell>
          <cell r="E3">
            <v>100521228</v>
          </cell>
          <cell r="F3">
            <v>100521228</v>
          </cell>
          <cell r="G3">
            <v>101781492</v>
          </cell>
          <cell r="H3">
            <v>8376769</v>
          </cell>
          <cell r="I3">
            <v>8587252</v>
          </cell>
        </row>
        <row r="4">
          <cell r="A4" t="str">
            <v>0100|246000</v>
          </cell>
          <cell r="B4" t="str">
            <v>0100</v>
          </cell>
          <cell r="C4">
            <v>246000</v>
          </cell>
          <cell r="D4">
            <v>41244</v>
          </cell>
          <cell r="E4">
            <v>12000000</v>
          </cell>
          <cell r="F4">
            <v>12000000</v>
          </cell>
          <cell r="G4">
            <v>28016800</v>
          </cell>
          <cell r="H4">
            <v>1000000</v>
          </cell>
          <cell r="I4">
            <v>21440000</v>
          </cell>
        </row>
        <row r="5">
          <cell r="A5" t="str">
            <v>0100|400040</v>
          </cell>
          <cell r="B5" t="str">
            <v>0100</v>
          </cell>
          <cell r="C5">
            <v>400040</v>
          </cell>
          <cell r="D5">
            <v>41244</v>
          </cell>
          <cell r="E5">
            <v>25000000</v>
          </cell>
          <cell r="F5">
            <v>25000000</v>
          </cell>
          <cell r="G5">
            <v>1491876</v>
          </cell>
          <cell r="H5">
            <v>2083333</v>
          </cell>
          <cell r="I5">
            <v>0</v>
          </cell>
        </row>
        <row r="6">
          <cell r="A6" t="str">
            <v>0100|405200</v>
          </cell>
          <cell r="B6" t="str">
            <v>0100</v>
          </cell>
          <cell r="C6">
            <v>405200</v>
          </cell>
          <cell r="D6">
            <v>41244</v>
          </cell>
          <cell r="E6">
            <v>15000000</v>
          </cell>
          <cell r="F6">
            <v>15000000</v>
          </cell>
          <cell r="G6">
            <v>5367636</v>
          </cell>
          <cell r="H6">
            <v>1250000</v>
          </cell>
          <cell r="I6">
            <v>2754000</v>
          </cell>
        </row>
        <row r="7">
          <cell r="A7" t="str">
            <v>0100|420001</v>
          </cell>
          <cell r="B7" t="str">
            <v>0100</v>
          </cell>
          <cell r="C7">
            <v>420001</v>
          </cell>
          <cell r="D7">
            <v>41244</v>
          </cell>
          <cell r="E7">
            <v>111913255</v>
          </cell>
          <cell r="F7">
            <v>111913255</v>
          </cell>
          <cell r="G7">
            <v>29129000</v>
          </cell>
          <cell r="H7">
            <v>9326105</v>
          </cell>
          <cell r="I7">
            <v>0</v>
          </cell>
        </row>
        <row r="8">
          <cell r="A8" t="str">
            <v>0100|420003</v>
          </cell>
          <cell r="B8" t="str">
            <v>0100</v>
          </cell>
          <cell r="C8">
            <v>420003</v>
          </cell>
          <cell r="D8">
            <v>41244</v>
          </cell>
          <cell r="E8">
            <v>1730891239</v>
          </cell>
          <cell r="F8">
            <v>1730891239</v>
          </cell>
          <cell r="G8">
            <v>1184927276</v>
          </cell>
          <cell r="H8">
            <v>144240936</v>
          </cell>
          <cell r="I8">
            <v>107270502</v>
          </cell>
        </row>
        <row r="9">
          <cell r="A9" t="str">
            <v>0100|422001</v>
          </cell>
          <cell r="B9" t="str">
            <v>0100</v>
          </cell>
          <cell r="C9">
            <v>422001</v>
          </cell>
          <cell r="D9">
            <v>41244</v>
          </cell>
          <cell r="E9">
            <v>0</v>
          </cell>
          <cell r="F9">
            <v>0</v>
          </cell>
          <cell r="G9">
            <v>199050</v>
          </cell>
          <cell r="H9">
            <v>0</v>
          </cell>
          <cell r="I9">
            <v>0</v>
          </cell>
        </row>
        <row r="10">
          <cell r="A10" t="str">
            <v>0100|422002</v>
          </cell>
          <cell r="B10" t="str">
            <v>0100</v>
          </cell>
          <cell r="C10">
            <v>422002</v>
          </cell>
          <cell r="D10">
            <v>41244</v>
          </cell>
          <cell r="E10">
            <v>165626</v>
          </cell>
          <cell r="F10">
            <v>165626</v>
          </cell>
          <cell r="G10">
            <v>0</v>
          </cell>
          <cell r="H10">
            <v>13802</v>
          </cell>
          <cell r="I10">
            <v>0</v>
          </cell>
        </row>
        <row r="11">
          <cell r="A11" t="str">
            <v>0100|422003</v>
          </cell>
          <cell r="B11" t="str">
            <v>0100</v>
          </cell>
          <cell r="C11">
            <v>422003</v>
          </cell>
          <cell r="D11">
            <v>41244</v>
          </cell>
          <cell r="E11">
            <v>676971714</v>
          </cell>
          <cell r="F11">
            <v>676971714</v>
          </cell>
          <cell r="G11">
            <v>1679888758</v>
          </cell>
          <cell r="H11">
            <v>56414309</v>
          </cell>
          <cell r="I11">
            <v>201896057</v>
          </cell>
        </row>
        <row r="12">
          <cell r="A12" t="str">
            <v>0100|431001</v>
          </cell>
          <cell r="B12" t="str">
            <v>0100</v>
          </cell>
          <cell r="C12">
            <v>431001</v>
          </cell>
          <cell r="D12">
            <v>41244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-1602365</v>
          </cell>
        </row>
        <row r="13">
          <cell r="A13" t="str">
            <v>0100|431002</v>
          </cell>
          <cell r="B13" t="str">
            <v>0100</v>
          </cell>
          <cell r="C13">
            <v>431002</v>
          </cell>
          <cell r="D13">
            <v>41244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-991610</v>
          </cell>
        </row>
        <row r="14">
          <cell r="A14" t="str">
            <v>0100|434011</v>
          </cell>
          <cell r="B14" t="str">
            <v>0100</v>
          </cell>
          <cell r="C14">
            <v>434011</v>
          </cell>
          <cell r="D14">
            <v>41244</v>
          </cell>
          <cell r="E14">
            <v>0</v>
          </cell>
          <cell r="F14">
            <v>0</v>
          </cell>
          <cell r="G14">
            <v>831938</v>
          </cell>
          <cell r="H14">
            <v>0</v>
          </cell>
          <cell r="I14">
            <v>0</v>
          </cell>
        </row>
        <row r="15">
          <cell r="A15" t="str">
            <v>0100|434013</v>
          </cell>
          <cell r="B15" t="str">
            <v>0100</v>
          </cell>
          <cell r="C15">
            <v>434013</v>
          </cell>
          <cell r="D15">
            <v>41244</v>
          </cell>
          <cell r="E15">
            <v>0</v>
          </cell>
          <cell r="F15">
            <v>0</v>
          </cell>
          <cell r="G15">
            <v>7509267</v>
          </cell>
          <cell r="H15">
            <v>0</v>
          </cell>
          <cell r="I15">
            <v>2733193</v>
          </cell>
        </row>
        <row r="16">
          <cell r="A16" t="str">
            <v>0100|435001</v>
          </cell>
          <cell r="B16" t="str">
            <v>0100</v>
          </cell>
          <cell r="C16">
            <v>435001</v>
          </cell>
          <cell r="D16">
            <v>41244</v>
          </cell>
          <cell r="E16">
            <v>9326105</v>
          </cell>
          <cell r="F16">
            <v>9326105</v>
          </cell>
          <cell r="G16">
            <v>0</v>
          </cell>
          <cell r="H16">
            <v>777175</v>
          </cell>
          <cell r="I16">
            <v>0</v>
          </cell>
        </row>
        <row r="17">
          <cell r="A17" t="str">
            <v>0100|435003</v>
          </cell>
          <cell r="B17" t="str">
            <v>0100</v>
          </cell>
          <cell r="C17">
            <v>435003</v>
          </cell>
          <cell r="D17">
            <v>41244</v>
          </cell>
          <cell r="E17">
            <v>1062006308</v>
          </cell>
          <cell r="F17">
            <v>1062006308</v>
          </cell>
          <cell r="G17">
            <v>17167752</v>
          </cell>
          <cell r="H17">
            <v>88500526</v>
          </cell>
          <cell r="I17">
            <v>0</v>
          </cell>
        </row>
        <row r="18">
          <cell r="A18" t="str">
            <v>0100|439001</v>
          </cell>
          <cell r="B18" t="str">
            <v>0100</v>
          </cell>
          <cell r="C18">
            <v>439001</v>
          </cell>
          <cell r="D18">
            <v>41244</v>
          </cell>
          <cell r="E18">
            <v>22006568</v>
          </cell>
          <cell r="F18">
            <v>22006568</v>
          </cell>
          <cell r="G18">
            <v>5497159</v>
          </cell>
          <cell r="H18">
            <v>1833881</v>
          </cell>
          <cell r="I18">
            <v>0</v>
          </cell>
        </row>
        <row r="19">
          <cell r="A19" t="str">
            <v>0100|439003</v>
          </cell>
          <cell r="B19" t="str">
            <v>0100</v>
          </cell>
          <cell r="C19">
            <v>439003</v>
          </cell>
          <cell r="D19">
            <v>41244</v>
          </cell>
          <cell r="E19">
            <v>44055634</v>
          </cell>
          <cell r="F19">
            <v>44055634</v>
          </cell>
          <cell r="G19">
            <v>117603863</v>
          </cell>
          <cell r="H19">
            <v>3671303</v>
          </cell>
          <cell r="I19">
            <v>16593200</v>
          </cell>
        </row>
        <row r="20">
          <cell r="A20" t="str">
            <v>0100|439006</v>
          </cell>
          <cell r="B20" t="str">
            <v>0100</v>
          </cell>
          <cell r="C20">
            <v>439006</v>
          </cell>
          <cell r="D20">
            <v>41244</v>
          </cell>
          <cell r="E20">
            <v>149501030</v>
          </cell>
          <cell r="F20">
            <v>149501030</v>
          </cell>
          <cell r="G20">
            <v>45128239</v>
          </cell>
          <cell r="H20">
            <v>12458419</v>
          </cell>
          <cell r="I20">
            <v>0</v>
          </cell>
        </row>
        <row r="21">
          <cell r="A21" t="str">
            <v>0100|439201</v>
          </cell>
          <cell r="B21" t="str">
            <v>0100</v>
          </cell>
          <cell r="C21">
            <v>439201</v>
          </cell>
          <cell r="D21">
            <v>41244</v>
          </cell>
          <cell r="E21">
            <v>0</v>
          </cell>
          <cell r="F21">
            <v>0</v>
          </cell>
          <cell r="G21">
            <v>4550000</v>
          </cell>
          <cell r="H21">
            <v>0</v>
          </cell>
          <cell r="I21">
            <v>0</v>
          </cell>
        </row>
        <row r="22">
          <cell r="A22" t="str">
            <v>0100|439202</v>
          </cell>
          <cell r="B22" t="str">
            <v>0100</v>
          </cell>
          <cell r="C22">
            <v>439202</v>
          </cell>
          <cell r="D22">
            <v>41244</v>
          </cell>
          <cell r="E22">
            <v>6000000</v>
          </cell>
          <cell r="F22">
            <v>6000000</v>
          </cell>
          <cell r="G22">
            <v>0</v>
          </cell>
          <cell r="H22">
            <v>500000</v>
          </cell>
          <cell r="I22">
            <v>0</v>
          </cell>
        </row>
        <row r="23">
          <cell r="A23" t="str">
            <v>0100|439203</v>
          </cell>
          <cell r="B23" t="str">
            <v>0100</v>
          </cell>
          <cell r="C23">
            <v>439203</v>
          </cell>
          <cell r="D23">
            <v>41244</v>
          </cell>
          <cell r="E23">
            <v>6000000</v>
          </cell>
          <cell r="F23">
            <v>6000000</v>
          </cell>
          <cell r="G23">
            <v>7275000</v>
          </cell>
          <cell r="H23">
            <v>500000</v>
          </cell>
          <cell r="I23">
            <v>1050000</v>
          </cell>
        </row>
        <row r="24">
          <cell r="A24" t="str">
            <v>0100|440001</v>
          </cell>
          <cell r="B24" t="str">
            <v>0100</v>
          </cell>
          <cell r="C24">
            <v>440001</v>
          </cell>
          <cell r="D24">
            <v>41244</v>
          </cell>
          <cell r="E24">
            <v>9326105</v>
          </cell>
          <cell r="F24">
            <v>9326105</v>
          </cell>
          <cell r="G24">
            <v>2283424</v>
          </cell>
          <cell r="H24">
            <v>777175</v>
          </cell>
          <cell r="I24">
            <v>0</v>
          </cell>
        </row>
        <row r="25">
          <cell r="A25" t="str">
            <v>0100|440003</v>
          </cell>
          <cell r="B25" t="str">
            <v>0100</v>
          </cell>
          <cell r="C25">
            <v>440003</v>
          </cell>
          <cell r="D25">
            <v>41244</v>
          </cell>
          <cell r="E25">
            <v>16206308</v>
          </cell>
          <cell r="F25">
            <v>16206308</v>
          </cell>
          <cell r="G25">
            <v>23234440</v>
          </cell>
          <cell r="H25">
            <v>1350526</v>
          </cell>
          <cell r="I25">
            <v>2753775</v>
          </cell>
        </row>
        <row r="26">
          <cell r="A26" t="str">
            <v>0100|446001</v>
          </cell>
          <cell r="B26" t="str">
            <v>0100</v>
          </cell>
          <cell r="C26">
            <v>446001</v>
          </cell>
          <cell r="D26">
            <v>41244</v>
          </cell>
          <cell r="E26">
            <v>1692059</v>
          </cell>
          <cell r="F26">
            <v>1692059</v>
          </cell>
          <cell r="G26">
            <v>5809590</v>
          </cell>
          <cell r="H26">
            <v>141005</v>
          </cell>
          <cell r="I26">
            <v>0</v>
          </cell>
        </row>
        <row r="27">
          <cell r="A27" t="str">
            <v>0100|446003</v>
          </cell>
          <cell r="B27" t="str">
            <v>0100</v>
          </cell>
          <cell r="C27">
            <v>446003</v>
          </cell>
          <cell r="D27">
            <v>41244</v>
          </cell>
          <cell r="E27">
            <v>0</v>
          </cell>
          <cell r="F27">
            <v>0</v>
          </cell>
          <cell r="G27">
            <v>50000</v>
          </cell>
          <cell r="H27">
            <v>0</v>
          </cell>
          <cell r="I27">
            <v>0</v>
          </cell>
        </row>
        <row r="28">
          <cell r="A28" t="str">
            <v>0100|447001</v>
          </cell>
          <cell r="B28" t="str">
            <v>0100</v>
          </cell>
          <cell r="C28">
            <v>447001</v>
          </cell>
          <cell r="D28">
            <v>41244</v>
          </cell>
          <cell r="E28">
            <v>2710219</v>
          </cell>
          <cell r="F28">
            <v>2710219</v>
          </cell>
          <cell r="G28">
            <v>157304</v>
          </cell>
          <cell r="H28">
            <v>225852</v>
          </cell>
          <cell r="I28">
            <v>0</v>
          </cell>
        </row>
        <row r="29">
          <cell r="A29" t="str">
            <v>0100|447003</v>
          </cell>
          <cell r="B29" t="str">
            <v>0100</v>
          </cell>
          <cell r="C29">
            <v>447003</v>
          </cell>
          <cell r="D29">
            <v>41244</v>
          </cell>
          <cell r="E29">
            <v>829090</v>
          </cell>
          <cell r="F29">
            <v>829090</v>
          </cell>
          <cell r="G29">
            <v>1343160</v>
          </cell>
          <cell r="H29">
            <v>69091</v>
          </cell>
          <cell r="I29">
            <v>142250</v>
          </cell>
        </row>
        <row r="30">
          <cell r="A30" t="str">
            <v>0100|447011</v>
          </cell>
          <cell r="B30" t="str">
            <v>0100</v>
          </cell>
          <cell r="C30">
            <v>447011</v>
          </cell>
          <cell r="D30">
            <v>41244</v>
          </cell>
          <cell r="E30">
            <v>6387141</v>
          </cell>
          <cell r="F30">
            <v>6387141</v>
          </cell>
          <cell r="G30">
            <v>1077776</v>
          </cell>
          <cell r="H30">
            <v>532262</v>
          </cell>
          <cell r="I30">
            <v>0</v>
          </cell>
        </row>
        <row r="31">
          <cell r="A31" t="str">
            <v>0100|447013</v>
          </cell>
          <cell r="B31" t="str">
            <v>0100</v>
          </cell>
          <cell r="C31">
            <v>447013</v>
          </cell>
          <cell r="D31">
            <v>41244</v>
          </cell>
          <cell r="E31">
            <v>1953907</v>
          </cell>
          <cell r="F31">
            <v>1953907</v>
          </cell>
          <cell r="G31">
            <v>9203124</v>
          </cell>
          <cell r="H31">
            <v>162826</v>
          </cell>
          <cell r="I31">
            <v>974673</v>
          </cell>
        </row>
        <row r="32">
          <cell r="A32" t="str">
            <v>0100|447021</v>
          </cell>
          <cell r="B32" t="str">
            <v>0100</v>
          </cell>
          <cell r="C32">
            <v>447021</v>
          </cell>
          <cell r="D32">
            <v>41244</v>
          </cell>
          <cell r="E32">
            <v>271022</v>
          </cell>
          <cell r="F32">
            <v>271022</v>
          </cell>
          <cell r="G32">
            <v>10651</v>
          </cell>
          <cell r="H32">
            <v>22585</v>
          </cell>
          <cell r="I32">
            <v>0</v>
          </cell>
        </row>
        <row r="33">
          <cell r="A33" t="str">
            <v>0100|447023</v>
          </cell>
          <cell r="B33" t="str">
            <v>0100</v>
          </cell>
          <cell r="C33">
            <v>447023</v>
          </cell>
          <cell r="D33">
            <v>41244</v>
          </cell>
          <cell r="E33">
            <v>5082909</v>
          </cell>
          <cell r="F33">
            <v>5082909</v>
          </cell>
          <cell r="G33">
            <v>222562</v>
          </cell>
          <cell r="H33">
            <v>423576</v>
          </cell>
          <cell r="I33">
            <v>10800</v>
          </cell>
        </row>
        <row r="34">
          <cell r="A34" t="str">
            <v>0100|448001</v>
          </cell>
          <cell r="B34" t="str">
            <v>0100</v>
          </cell>
          <cell r="C34">
            <v>448001</v>
          </cell>
          <cell r="D34">
            <v>41244</v>
          </cell>
          <cell r="E34">
            <v>21412469</v>
          </cell>
          <cell r="F34">
            <v>21412469</v>
          </cell>
          <cell r="G34">
            <v>1197270</v>
          </cell>
          <cell r="H34">
            <v>1784372</v>
          </cell>
          <cell r="I34">
            <v>0</v>
          </cell>
        </row>
        <row r="35">
          <cell r="A35" t="str">
            <v>0100|448002</v>
          </cell>
          <cell r="B35" t="str">
            <v>0100</v>
          </cell>
          <cell r="C35">
            <v>448002</v>
          </cell>
          <cell r="D35">
            <v>41244</v>
          </cell>
          <cell r="E35">
            <v>0</v>
          </cell>
          <cell r="F35">
            <v>0</v>
          </cell>
          <cell r="G35">
            <v>1721000</v>
          </cell>
          <cell r="H35">
            <v>0</v>
          </cell>
          <cell r="I35">
            <v>0</v>
          </cell>
        </row>
        <row r="36">
          <cell r="A36" t="str">
            <v>0100|448003</v>
          </cell>
          <cell r="B36" t="str">
            <v>0100</v>
          </cell>
          <cell r="C36">
            <v>448003</v>
          </cell>
          <cell r="D36">
            <v>41244</v>
          </cell>
          <cell r="E36">
            <v>15382279</v>
          </cell>
          <cell r="F36">
            <v>15382279</v>
          </cell>
          <cell r="G36">
            <v>6836610</v>
          </cell>
          <cell r="H36">
            <v>1281857</v>
          </cell>
          <cell r="I36">
            <v>0</v>
          </cell>
        </row>
        <row r="37">
          <cell r="A37" t="str">
            <v>0100|449011</v>
          </cell>
          <cell r="B37" t="str">
            <v>0100</v>
          </cell>
          <cell r="C37">
            <v>449011</v>
          </cell>
          <cell r="D37">
            <v>41244</v>
          </cell>
          <cell r="E37">
            <v>150000000</v>
          </cell>
          <cell r="F37">
            <v>150000000</v>
          </cell>
          <cell r="G37">
            <v>147728867</v>
          </cell>
          <cell r="H37">
            <v>12500000</v>
          </cell>
          <cell r="I37">
            <v>-295457733</v>
          </cell>
        </row>
        <row r="38">
          <cell r="A38" t="str">
            <v>0100|449012</v>
          </cell>
          <cell r="B38" t="str">
            <v>0100</v>
          </cell>
          <cell r="C38">
            <v>449012</v>
          </cell>
          <cell r="D38">
            <v>41244</v>
          </cell>
          <cell r="E38">
            <v>100000000</v>
          </cell>
          <cell r="F38">
            <v>100000000</v>
          </cell>
          <cell r="G38">
            <v>45068974</v>
          </cell>
          <cell r="H38">
            <v>8333333</v>
          </cell>
          <cell r="I38">
            <v>0</v>
          </cell>
        </row>
        <row r="39">
          <cell r="A39" t="str">
            <v>0100|449023</v>
          </cell>
          <cell r="B39" t="str">
            <v>0100</v>
          </cell>
          <cell r="C39">
            <v>449023</v>
          </cell>
          <cell r="D39">
            <v>41244</v>
          </cell>
          <cell r="E39">
            <v>3960000</v>
          </cell>
          <cell r="F39">
            <v>3960000</v>
          </cell>
          <cell r="G39">
            <v>28814040</v>
          </cell>
          <cell r="H39">
            <v>330000</v>
          </cell>
          <cell r="I39">
            <v>5357000</v>
          </cell>
        </row>
        <row r="40">
          <cell r="A40" t="str">
            <v>0100|449025</v>
          </cell>
          <cell r="B40" t="str">
            <v>0100</v>
          </cell>
          <cell r="C40">
            <v>449025</v>
          </cell>
          <cell r="D40">
            <v>41244</v>
          </cell>
          <cell r="E40">
            <v>7920000</v>
          </cell>
          <cell r="F40">
            <v>7920000</v>
          </cell>
          <cell r="G40">
            <v>4225000</v>
          </cell>
          <cell r="H40">
            <v>660000</v>
          </cell>
          <cell r="I40">
            <v>0</v>
          </cell>
        </row>
        <row r="41">
          <cell r="A41" t="str">
            <v>0100|449032</v>
          </cell>
          <cell r="B41" t="str">
            <v>0100</v>
          </cell>
          <cell r="C41">
            <v>449032</v>
          </cell>
          <cell r="D41">
            <v>41244</v>
          </cell>
          <cell r="E41">
            <v>67664179</v>
          </cell>
          <cell r="F41">
            <v>67664179</v>
          </cell>
          <cell r="G41">
            <v>17003167</v>
          </cell>
          <cell r="H41">
            <v>5638682</v>
          </cell>
          <cell r="I41">
            <v>0</v>
          </cell>
        </row>
        <row r="42">
          <cell r="A42" t="str">
            <v>0100|449040</v>
          </cell>
          <cell r="B42" t="str">
            <v>0100</v>
          </cell>
          <cell r="C42">
            <v>449040</v>
          </cell>
          <cell r="D42">
            <v>41244</v>
          </cell>
          <cell r="E42">
            <v>99424647</v>
          </cell>
          <cell r="F42">
            <v>99424647</v>
          </cell>
          <cell r="G42">
            <v>54638500</v>
          </cell>
          <cell r="H42">
            <v>8285387</v>
          </cell>
          <cell r="I42">
            <v>650000</v>
          </cell>
        </row>
        <row r="43">
          <cell r="A43" t="str">
            <v>0100|449050</v>
          </cell>
          <cell r="B43" t="str">
            <v>0100</v>
          </cell>
          <cell r="C43">
            <v>449050</v>
          </cell>
          <cell r="D43">
            <v>41244</v>
          </cell>
          <cell r="E43">
            <v>128732500</v>
          </cell>
          <cell r="F43">
            <v>128732500</v>
          </cell>
          <cell r="G43">
            <v>137909713</v>
          </cell>
          <cell r="H43">
            <v>10727708</v>
          </cell>
          <cell r="I43">
            <v>-258532508</v>
          </cell>
        </row>
        <row r="44">
          <cell r="A44" t="str">
            <v>0100|449061</v>
          </cell>
          <cell r="B44" t="str">
            <v>0100</v>
          </cell>
          <cell r="C44">
            <v>449061</v>
          </cell>
          <cell r="D44">
            <v>41244</v>
          </cell>
          <cell r="E44">
            <v>8569000</v>
          </cell>
          <cell r="F44">
            <v>8569000</v>
          </cell>
          <cell r="G44">
            <v>9831650</v>
          </cell>
          <cell r="H44">
            <v>714083</v>
          </cell>
          <cell r="I44">
            <v>2360400</v>
          </cell>
        </row>
        <row r="45">
          <cell r="A45" t="str">
            <v>0100|451000</v>
          </cell>
          <cell r="B45" t="str">
            <v>0100</v>
          </cell>
          <cell r="C45">
            <v>451000</v>
          </cell>
          <cell r="D45">
            <v>41244</v>
          </cell>
          <cell r="E45">
            <v>105000</v>
          </cell>
          <cell r="F45">
            <v>105000</v>
          </cell>
          <cell r="G45">
            <v>165600</v>
          </cell>
          <cell r="H45">
            <v>8750</v>
          </cell>
          <cell r="I45">
            <v>165600</v>
          </cell>
        </row>
        <row r="46">
          <cell r="A46" t="str">
            <v>0100|455000</v>
          </cell>
          <cell r="B46" t="str">
            <v>0100</v>
          </cell>
          <cell r="C46">
            <v>455000</v>
          </cell>
          <cell r="D46">
            <v>41244</v>
          </cell>
          <cell r="E46">
            <v>0</v>
          </cell>
          <cell r="F46">
            <v>0</v>
          </cell>
          <cell r="G46">
            <v>345365</v>
          </cell>
          <cell r="H46">
            <v>0</v>
          </cell>
          <cell r="I46">
            <v>0</v>
          </cell>
        </row>
        <row r="47">
          <cell r="A47" t="str">
            <v>0100|459000</v>
          </cell>
          <cell r="B47" t="str">
            <v>0100</v>
          </cell>
          <cell r="C47">
            <v>459000</v>
          </cell>
          <cell r="D47">
            <v>41244</v>
          </cell>
          <cell r="E47">
            <v>680000</v>
          </cell>
          <cell r="F47">
            <v>680000</v>
          </cell>
          <cell r="G47">
            <v>17372730</v>
          </cell>
          <cell r="H47">
            <v>56667</v>
          </cell>
          <cell r="I47">
            <v>0</v>
          </cell>
        </row>
        <row r="48">
          <cell r="A48" t="str">
            <v>0100|459005</v>
          </cell>
          <cell r="B48" t="str">
            <v>0100</v>
          </cell>
          <cell r="C48">
            <v>459005</v>
          </cell>
          <cell r="D48">
            <v>41244</v>
          </cell>
          <cell r="E48">
            <v>0</v>
          </cell>
          <cell r="F48">
            <v>0</v>
          </cell>
          <cell r="G48">
            <v>1547551</v>
          </cell>
          <cell r="H48">
            <v>0</v>
          </cell>
          <cell r="I48">
            <v>0</v>
          </cell>
        </row>
        <row r="49">
          <cell r="A49" t="str">
            <v>0100|470001</v>
          </cell>
          <cell r="B49" t="str">
            <v>0100</v>
          </cell>
          <cell r="C49">
            <v>470001</v>
          </cell>
          <cell r="D49">
            <v>41244</v>
          </cell>
          <cell r="E49">
            <v>547800000</v>
          </cell>
          <cell r="F49">
            <v>547800000</v>
          </cell>
          <cell r="G49">
            <v>547800000</v>
          </cell>
          <cell r="H49">
            <v>45650000</v>
          </cell>
          <cell r="I49">
            <v>45650000</v>
          </cell>
        </row>
        <row r="50">
          <cell r="A50" t="str">
            <v>0100|470102</v>
          </cell>
          <cell r="B50" t="str">
            <v>0100</v>
          </cell>
          <cell r="C50">
            <v>470102</v>
          </cell>
          <cell r="D50">
            <v>41244</v>
          </cell>
          <cell r="E50">
            <v>4475714</v>
          </cell>
          <cell r="F50">
            <v>4475714</v>
          </cell>
          <cell r="G50">
            <v>9747096</v>
          </cell>
          <cell r="H50">
            <v>372976</v>
          </cell>
          <cell r="I50">
            <v>88752</v>
          </cell>
        </row>
        <row r="51">
          <cell r="A51" t="str">
            <v>0100|471000</v>
          </cell>
          <cell r="B51" t="str">
            <v>0100</v>
          </cell>
          <cell r="C51">
            <v>471000</v>
          </cell>
          <cell r="D51">
            <v>41244</v>
          </cell>
          <cell r="E51">
            <v>26607530</v>
          </cell>
          <cell r="F51">
            <v>26607530</v>
          </cell>
          <cell r="G51">
            <v>23556070</v>
          </cell>
          <cell r="H51">
            <v>2217294</v>
          </cell>
          <cell r="I51">
            <v>7845000</v>
          </cell>
        </row>
        <row r="52">
          <cell r="A52" t="str">
            <v>0100|472000</v>
          </cell>
          <cell r="B52" t="str">
            <v>0100</v>
          </cell>
          <cell r="C52">
            <v>472000</v>
          </cell>
          <cell r="D52">
            <v>41244</v>
          </cell>
          <cell r="E52">
            <v>0</v>
          </cell>
          <cell r="F52">
            <v>0</v>
          </cell>
          <cell r="G52">
            <v>1967036</v>
          </cell>
          <cell r="H52">
            <v>0</v>
          </cell>
          <cell r="I52">
            <v>466685</v>
          </cell>
        </row>
        <row r="53">
          <cell r="A53" t="str">
            <v>0100|473000</v>
          </cell>
          <cell r="B53" t="str">
            <v>0100</v>
          </cell>
          <cell r="C53">
            <v>473000</v>
          </cell>
          <cell r="D53">
            <v>41244</v>
          </cell>
          <cell r="E53">
            <v>750000</v>
          </cell>
          <cell r="F53">
            <v>750000</v>
          </cell>
          <cell r="G53">
            <v>873000</v>
          </cell>
          <cell r="H53">
            <v>62500</v>
          </cell>
          <cell r="I53">
            <v>6000</v>
          </cell>
        </row>
        <row r="54">
          <cell r="A54" t="str">
            <v>0100|473120</v>
          </cell>
          <cell r="B54" t="str">
            <v>0100</v>
          </cell>
          <cell r="C54">
            <v>473120</v>
          </cell>
          <cell r="D54">
            <v>41244</v>
          </cell>
          <cell r="E54">
            <v>56084911</v>
          </cell>
          <cell r="F54">
            <v>56084911</v>
          </cell>
          <cell r="G54">
            <v>65959220</v>
          </cell>
          <cell r="H54">
            <v>4673743</v>
          </cell>
          <cell r="I54">
            <v>3304641</v>
          </cell>
        </row>
        <row r="55">
          <cell r="A55" t="str">
            <v>0100|474100</v>
          </cell>
          <cell r="B55" t="str">
            <v>0100</v>
          </cell>
          <cell r="C55">
            <v>474100</v>
          </cell>
          <cell r="D55">
            <v>41244</v>
          </cell>
          <cell r="E55">
            <v>286038803</v>
          </cell>
          <cell r="F55">
            <v>286038803</v>
          </cell>
          <cell r="G55">
            <v>540470417</v>
          </cell>
          <cell r="H55">
            <v>23836567</v>
          </cell>
          <cell r="I55">
            <v>9000000</v>
          </cell>
        </row>
        <row r="56">
          <cell r="A56" t="str">
            <v>0100|474101</v>
          </cell>
          <cell r="B56" t="str">
            <v>0100</v>
          </cell>
          <cell r="C56">
            <v>474101</v>
          </cell>
          <cell r="D56">
            <v>41244</v>
          </cell>
          <cell r="E56">
            <v>5000000</v>
          </cell>
          <cell r="F56">
            <v>5000000</v>
          </cell>
          <cell r="G56">
            <v>12171146</v>
          </cell>
          <cell r="H56">
            <v>416667</v>
          </cell>
          <cell r="I56">
            <v>7226500</v>
          </cell>
        </row>
        <row r="57">
          <cell r="A57" t="str">
            <v>0100|475001</v>
          </cell>
          <cell r="B57" t="str">
            <v>0100</v>
          </cell>
          <cell r="C57">
            <v>475001</v>
          </cell>
          <cell r="D57">
            <v>41244</v>
          </cell>
          <cell r="E57">
            <v>0</v>
          </cell>
          <cell r="F57">
            <v>0</v>
          </cell>
          <cell r="G57">
            <v>792300</v>
          </cell>
          <cell r="H57">
            <v>0</v>
          </cell>
          <cell r="I57">
            <v>0</v>
          </cell>
        </row>
        <row r="58">
          <cell r="A58" t="str">
            <v>0100|475003</v>
          </cell>
          <cell r="B58" t="str">
            <v>0100</v>
          </cell>
          <cell r="C58">
            <v>475003</v>
          </cell>
          <cell r="D58">
            <v>41244</v>
          </cell>
          <cell r="E58">
            <v>2904300</v>
          </cell>
          <cell r="F58">
            <v>2904300</v>
          </cell>
          <cell r="G58">
            <v>0</v>
          </cell>
          <cell r="H58">
            <v>242025</v>
          </cell>
          <cell r="I58">
            <v>0</v>
          </cell>
        </row>
        <row r="59">
          <cell r="A59" t="str">
            <v>0100|475004</v>
          </cell>
          <cell r="B59" t="str">
            <v>0100</v>
          </cell>
          <cell r="C59">
            <v>475004</v>
          </cell>
          <cell r="D59">
            <v>41244</v>
          </cell>
          <cell r="E59">
            <v>30843530</v>
          </cell>
          <cell r="F59">
            <v>30843530</v>
          </cell>
          <cell r="G59">
            <v>43973193</v>
          </cell>
          <cell r="H59">
            <v>2570294</v>
          </cell>
          <cell r="I59">
            <v>7743764</v>
          </cell>
        </row>
        <row r="60">
          <cell r="A60" t="str">
            <v>0100|475006</v>
          </cell>
          <cell r="B60" t="str">
            <v>0100</v>
          </cell>
          <cell r="C60">
            <v>475006</v>
          </cell>
          <cell r="D60">
            <v>41244</v>
          </cell>
          <cell r="E60">
            <v>16302800</v>
          </cell>
          <cell r="F60">
            <v>16302800</v>
          </cell>
          <cell r="G60">
            <v>26361642</v>
          </cell>
          <cell r="H60">
            <v>1358567</v>
          </cell>
          <cell r="I60">
            <v>1940626</v>
          </cell>
        </row>
        <row r="61">
          <cell r="A61" t="str">
            <v>0100|476000</v>
          </cell>
          <cell r="B61" t="str">
            <v>0100</v>
          </cell>
          <cell r="C61">
            <v>476000</v>
          </cell>
          <cell r="D61">
            <v>41244</v>
          </cell>
          <cell r="E61">
            <v>16768440</v>
          </cell>
          <cell r="F61">
            <v>16768440</v>
          </cell>
          <cell r="G61">
            <v>17298334</v>
          </cell>
          <cell r="H61">
            <v>1397370</v>
          </cell>
          <cell r="I61">
            <v>0</v>
          </cell>
        </row>
        <row r="62">
          <cell r="A62" t="str">
            <v>0100|476001</v>
          </cell>
          <cell r="B62" t="str">
            <v>0100</v>
          </cell>
          <cell r="C62">
            <v>476001</v>
          </cell>
          <cell r="D62">
            <v>41244</v>
          </cell>
          <cell r="E62">
            <v>2047780</v>
          </cell>
          <cell r="F62">
            <v>2047780</v>
          </cell>
          <cell r="G62">
            <v>4858822</v>
          </cell>
          <cell r="H62">
            <v>170648</v>
          </cell>
          <cell r="I62">
            <v>208671</v>
          </cell>
        </row>
        <row r="63">
          <cell r="A63" t="str">
            <v>0100|476002</v>
          </cell>
          <cell r="B63" t="str">
            <v>0100</v>
          </cell>
          <cell r="C63">
            <v>476002</v>
          </cell>
          <cell r="D63">
            <v>41244</v>
          </cell>
          <cell r="E63">
            <v>20016500</v>
          </cell>
          <cell r="F63">
            <v>20016500</v>
          </cell>
          <cell r="G63">
            <v>38942777</v>
          </cell>
          <cell r="H63">
            <v>1668042</v>
          </cell>
          <cell r="I63">
            <v>0</v>
          </cell>
        </row>
        <row r="64">
          <cell r="A64" t="str">
            <v>0100|476201</v>
          </cell>
          <cell r="B64" t="str">
            <v>0100</v>
          </cell>
          <cell r="C64">
            <v>476201</v>
          </cell>
          <cell r="D64">
            <v>41244</v>
          </cell>
          <cell r="E64">
            <v>25524160</v>
          </cell>
          <cell r="F64">
            <v>25524160</v>
          </cell>
          <cell r="G64">
            <v>103010360</v>
          </cell>
          <cell r="H64">
            <v>2127013</v>
          </cell>
          <cell r="I64">
            <v>95542360</v>
          </cell>
        </row>
        <row r="65">
          <cell r="A65" t="str">
            <v>0100|476220</v>
          </cell>
          <cell r="B65" t="str">
            <v>0100</v>
          </cell>
          <cell r="C65">
            <v>476220</v>
          </cell>
          <cell r="D65">
            <v>41244</v>
          </cell>
          <cell r="E65">
            <v>23491063</v>
          </cell>
          <cell r="F65">
            <v>23491063</v>
          </cell>
          <cell r="G65">
            <v>33862174</v>
          </cell>
          <cell r="H65">
            <v>1957589</v>
          </cell>
          <cell r="I65">
            <v>655245</v>
          </cell>
        </row>
        <row r="66">
          <cell r="A66" t="str">
            <v>0100|476900</v>
          </cell>
          <cell r="B66" t="str">
            <v>0100</v>
          </cell>
          <cell r="C66">
            <v>476900</v>
          </cell>
          <cell r="D66">
            <v>41244</v>
          </cell>
          <cell r="E66">
            <v>150000000</v>
          </cell>
          <cell r="F66">
            <v>150000000</v>
          </cell>
          <cell r="G66">
            <v>98832309</v>
          </cell>
          <cell r="H66">
            <v>12500000</v>
          </cell>
          <cell r="I66">
            <v>27683395</v>
          </cell>
        </row>
        <row r="67">
          <cell r="A67" t="str">
            <v>0100|476910</v>
          </cell>
          <cell r="B67" t="str">
            <v>0100</v>
          </cell>
          <cell r="C67">
            <v>476910</v>
          </cell>
          <cell r="D67">
            <v>41244</v>
          </cell>
          <cell r="E67">
            <v>15000000</v>
          </cell>
          <cell r="F67">
            <v>15000000</v>
          </cell>
          <cell r="G67">
            <v>34958465</v>
          </cell>
          <cell r="H67">
            <v>1250000</v>
          </cell>
          <cell r="I67">
            <v>0</v>
          </cell>
        </row>
        <row r="68">
          <cell r="A68" t="str">
            <v>0100|477100</v>
          </cell>
          <cell r="B68" t="str">
            <v>0100</v>
          </cell>
          <cell r="C68">
            <v>477100</v>
          </cell>
          <cell r="D68">
            <v>41244</v>
          </cell>
          <cell r="E68">
            <v>0</v>
          </cell>
          <cell r="F68">
            <v>0</v>
          </cell>
          <cell r="G68">
            <v>4389072</v>
          </cell>
          <cell r="H68">
            <v>0</v>
          </cell>
          <cell r="I68">
            <v>0</v>
          </cell>
        </row>
        <row r="69">
          <cell r="A69" t="str">
            <v>0100|477310</v>
          </cell>
          <cell r="B69" t="str">
            <v>0100</v>
          </cell>
          <cell r="C69">
            <v>477310</v>
          </cell>
          <cell r="D69">
            <v>41244</v>
          </cell>
          <cell r="E69">
            <v>0</v>
          </cell>
          <cell r="F69">
            <v>0</v>
          </cell>
          <cell r="G69">
            <v>1103000</v>
          </cell>
          <cell r="H69">
            <v>0</v>
          </cell>
          <cell r="I69">
            <v>0</v>
          </cell>
        </row>
        <row r="70">
          <cell r="A70" t="str">
            <v>0100|477420</v>
          </cell>
          <cell r="B70" t="str">
            <v>0100</v>
          </cell>
          <cell r="C70">
            <v>477420</v>
          </cell>
          <cell r="D70">
            <v>41244</v>
          </cell>
          <cell r="E70">
            <v>50000000</v>
          </cell>
          <cell r="F70">
            <v>50000000</v>
          </cell>
          <cell r="G70">
            <v>70109375</v>
          </cell>
          <cell r="H70">
            <v>4166667</v>
          </cell>
          <cell r="I70">
            <v>36837000</v>
          </cell>
        </row>
        <row r="71">
          <cell r="A71" t="str">
            <v>0100|477450</v>
          </cell>
          <cell r="B71" t="str">
            <v>0100</v>
          </cell>
          <cell r="C71">
            <v>477450</v>
          </cell>
          <cell r="D71">
            <v>41244</v>
          </cell>
          <cell r="E71">
            <v>2447918314</v>
          </cell>
          <cell r="F71">
            <v>2447918314</v>
          </cell>
          <cell r="G71">
            <v>2391135000</v>
          </cell>
          <cell r="H71">
            <v>203993193</v>
          </cell>
          <cell r="I71">
            <v>2391135000</v>
          </cell>
        </row>
        <row r="72">
          <cell r="A72" t="str">
            <v>0200|211100</v>
          </cell>
          <cell r="B72" t="str">
            <v>0200</v>
          </cell>
          <cell r="C72">
            <v>211100</v>
          </cell>
          <cell r="D72">
            <v>41244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  <row r="73">
          <cell r="A73" t="str">
            <v>0200|211104</v>
          </cell>
          <cell r="B73" t="str">
            <v>0200</v>
          </cell>
          <cell r="C73">
            <v>211104</v>
          </cell>
          <cell r="D73">
            <v>41244</v>
          </cell>
          <cell r="E73">
            <v>674269621</v>
          </cell>
          <cell r="F73">
            <v>674269621</v>
          </cell>
          <cell r="G73">
            <v>514925939</v>
          </cell>
          <cell r="H73">
            <v>56189135</v>
          </cell>
          <cell r="I73">
            <v>48791953</v>
          </cell>
        </row>
        <row r="74">
          <cell r="A74" t="str">
            <v>0200|400040</v>
          </cell>
          <cell r="B74" t="str">
            <v>0200</v>
          </cell>
          <cell r="C74">
            <v>400040</v>
          </cell>
          <cell r="D74">
            <v>41244</v>
          </cell>
          <cell r="E74">
            <v>79000000</v>
          </cell>
          <cell r="F74">
            <v>79000000</v>
          </cell>
          <cell r="G74">
            <v>77894569</v>
          </cell>
          <cell r="H74">
            <v>6583333</v>
          </cell>
          <cell r="I74">
            <v>16643725</v>
          </cell>
        </row>
        <row r="75">
          <cell r="A75" t="str">
            <v>0200|405200</v>
          </cell>
          <cell r="B75" t="str">
            <v>0200</v>
          </cell>
          <cell r="C75">
            <v>405200</v>
          </cell>
          <cell r="D75">
            <v>41244</v>
          </cell>
          <cell r="E75">
            <v>12700000</v>
          </cell>
          <cell r="F75">
            <v>12700000</v>
          </cell>
          <cell r="G75">
            <v>12526500</v>
          </cell>
          <cell r="H75">
            <v>1058333</v>
          </cell>
          <cell r="I75">
            <v>1900000</v>
          </cell>
        </row>
        <row r="76">
          <cell r="A76" t="str">
            <v>0200|405251</v>
          </cell>
          <cell r="B76" t="str">
            <v>0200</v>
          </cell>
          <cell r="C76">
            <v>405251</v>
          </cell>
          <cell r="D76">
            <v>41244</v>
          </cell>
          <cell r="E76">
            <v>29850000</v>
          </cell>
          <cell r="F76">
            <v>29850000</v>
          </cell>
          <cell r="G76">
            <v>13862463</v>
          </cell>
          <cell r="H76">
            <v>2487500</v>
          </cell>
          <cell r="I76">
            <v>0</v>
          </cell>
        </row>
        <row r="77">
          <cell r="A77" t="str">
            <v>0200|405252</v>
          </cell>
          <cell r="B77" t="str">
            <v>0200</v>
          </cell>
          <cell r="C77">
            <v>405252</v>
          </cell>
          <cell r="D77">
            <v>41244</v>
          </cell>
          <cell r="E77">
            <v>0</v>
          </cell>
          <cell r="F77">
            <v>0</v>
          </cell>
          <cell r="G77">
            <v>-22377342</v>
          </cell>
          <cell r="H77">
            <v>0</v>
          </cell>
          <cell r="I77">
            <v>0</v>
          </cell>
        </row>
        <row r="78">
          <cell r="A78" t="str">
            <v>0200|405254</v>
          </cell>
          <cell r="B78" t="str">
            <v>0200</v>
          </cell>
          <cell r="C78">
            <v>405254</v>
          </cell>
          <cell r="D78">
            <v>41244</v>
          </cell>
          <cell r="E78">
            <v>40000000</v>
          </cell>
          <cell r="F78">
            <v>40000000</v>
          </cell>
          <cell r="G78">
            <v>9850000</v>
          </cell>
          <cell r="H78">
            <v>3333333</v>
          </cell>
          <cell r="I78">
            <v>300000</v>
          </cell>
        </row>
        <row r="79">
          <cell r="A79" t="str">
            <v>0200|406000</v>
          </cell>
          <cell r="B79" t="str">
            <v>0200</v>
          </cell>
          <cell r="C79">
            <v>406000</v>
          </cell>
          <cell r="D79">
            <v>41244</v>
          </cell>
          <cell r="E79">
            <v>52000000</v>
          </cell>
          <cell r="F79">
            <v>52000000</v>
          </cell>
          <cell r="G79">
            <v>26229500</v>
          </cell>
          <cell r="H79">
            <v>4333333</v>
          </cell>
          <cell r="I79">
            <v>4161000</v>
          </cell>
        </row>
        <row r="80">
          <cell r="A80" t="str">
            <v>0200|420000</v>
          </cell>
          <cell r="B80" t="str">
            <v>0200</v>
          </cell>
          <cell r="C80">
            <v>420000</v>
          </cell>
          <cell r="D80">
            <v>41244</v>
          </cell>
          <cell r="E80">
            <v>1798099157</v>
          </cell>
          <cell r="F80">
            <v>1798099157</v>
          </cell>
          <cell r="G80">
            <v>2139107718</v>
          </cell>
          <cell r="H80">
            <v>149841596</v>
          </cell>
          <cell r="I80">
            <v>170354563</v>
          </cell>
        </row>
        <row r="81">
          <cell r="A81" t="str">
            <v>0200|420001</v>
          </cell>
          <cell r="B81" t="str">
            <v>0200</v>
          </cell>
          <cell r="C81">
            <v>420001</v>
          </cell>
          <cell r="D81">
            <v>41244</v>
          </cell>
          <cell r="E81">
            <v>259300930</v>
          </cell>
          <cell r="F81">
            <v>259300930</v>
          </cell>
          <cell r="G81">
            <v>237486000</v>
          </cell>
          <cell r="H81">
            <v>21608411</v>
          </cell>
          <cell r="I81">
            <v>20248500</v>
          </cell>
        </row>
        <row r="82">
          <cell r="A82" t="str">
            <v>0200|420003</v>
          </cell>
          <cell r="B82" t="str">
            <v>0200</v>
          </cell>
          <cell r="C82">
            <v>420003</v>
          </cell>
          <cell r="D82">
            <v>41244</v>
          </cell>
          <cell r="E82">
            <v>231101892</v>
          </cell>
          <cell r="F82">
            <v>231101892</v>
          </cell>
          <cell r="G82">
            <v>227687156</v>
          </cell>
          <cell r="H82">
            <v>19258491</v>
          </cell>
          <cell r="I82">
            <v>19094022</v>
          </cell>
        </row>
        <row r="83">
          <cell r="A83" t="str">
            <v>0200|422000</v>
          </cell>
          <cell r="B83" t="str">
            <v>0200</v>
          </cell>
          <cell r="C83">
            <v>422000</v>
          </cell>
          <cell r="D83">
            <v>41244</v>
          </cell>
          <cell r="E83">
            <v>2463598</v>
          </cell>
          <cell r="F83">
            <v>2463598</v>
          </cell>
          <cell r="G83">
            <v>2996191</v>
          </cell>
          <cell r="H83">
            <v>205300</v>
          </cell>
          <cell r="I83">
            <v>0</v>
          </cell>
        </row>
        <row r="84">
          <cell r="A84" t="str">
            <v>0200|422001</v>
          </cell>
          <cell r="B84" t="str">
            <v>0200</v>
          </cell>
          <cell r="C84">
            <v>422001</v>
          </cell>
          <cell r="D84">
            <v>41244</v>
          </cell>
          <cell r="E84">
            <v>1609550</v>
          </cell>
          <cell r="F84">
            <v>1609550</v>
          </cell>
          <cell r="G84">
            <v>282300</v>
          </cell>
          <cell r="H84">
            <v>134129</v>
          </cell>
          <cell r="I84">
            <v>0</v>
          </cell>
        </row>
        <row r="85">
          <cell r="A85" t="str">
            <v>0200|422002</v>
          </cell>
          <cell r="B85" t="str">
            <v>0200</v>
          </cell>
          <cell r="C85">
            <v>422002</v>
          </cell>
          <cell r="D85">
            <v>41244</v>
          </cell>
          <cell r="E85">
            <v>269985</v>
          </cell>
          <cell r="F85">
            <v>269985</v>
          </cell>
          <cell r="G85">
            <v>0</v>
          </cell>
          <cell r="H85">
            <v>22499</v>
          </cell>
          <cell r="I85">
            <v>0</v>
          </cell>
        </row>
        <row r="86">
          <cell r="A86" t="str">
            <v>0200|431000</v>
          </cell>
          <cell r="B86" t="str">
            <v>0200</v>
          </cell>
          <cell r="C86">
            <v>431000</v>
          </cell>
          <cell r="D86">
            <v>41244</v>
          </cell>
          <cell r="E86">
            <v>180000000</v>
          </cell>
          <cell r="F86">
            <v>180000000</v>
          </cell>
          <cell r="G86">
            <v>510084822</v>
          </cell>
          <cell r="H86">
            <v>15000000</v>
          </cell>
          <cell r="I86">
            <v>36620230</v>
          </cell>
        </row>
        <row r="87">
          <cell r="A87" t="str">
            <v>0200|431001</v>
          </cell>
          <cell r="B87" t="str">
            <v>0200</v>
          </cell>
          <cell r="C87">
            <v>431001</v>
          </cell>
          <cell r="D87">
            <v>41244</v>
          </cell>
          <cell r="E87">
            <v>93227767</v>
          </cell>
          <cell r="F87">
            <v>93227767</v>
          </cell>
          <cell r="G87">
            <v>9316045</v>
          </cell>
          <cell r="H87">
            <v>7768981</v>
          </cell>
          <cell r="I87">
            <v>0</v>
          </cell>
        </row>
        <row r="88">
          <cell r="A88" t="str">
            <v>0200|431002</v>
          </cell>
          <cell r="B88" t="str">
            <v>0200</v>
          </cell>
          <cell r="C88">
            <v>431002</v>
          </cell>
          <cell r="D88">
            <v>41244</v>
          </cell>
          <cell r="E88">
            <v>4551000</v>
          </cell>
          <cell r="F88">
            <v>4551000</v>
          </cell>
          <cell r="G88">
            <v>1813824</v>
          </cell>
          <cell r="H88">
            <v>379250</v>
          </cell>
          <cell r="I88">
            <v>1813824</v>
          </cell>
        </row>
        <row r="89">
          <cell r="A89" t="str">
            <v>0200|434010</v>
          </cell>
          <cell r="B89" t="str">
            <v>0200</v>
          </cell>
          <cell r="C89">
            <v>434010</v>
          </cell>
          <cell r="D89">
            <v>41244</v>
          </cell>
          <cell r="E89">
            <v>65630999</v>
          </cell>
          <cell r="F89">
            <v>65630999</v>
          </cell>
          <cell r="G89">
            <v>42027335</v>
          </cell>
          <cell r="H89">
            <v>5469250</v>
          </cell>
          <cell r="I89">
            <v>6820258</v>
          </cell>
        </row>
        <row r="90">
          <cell r="A90" t="str">
            <v>0200|434011</v>
          </cell>
          <cell r="B90" t="str">
            <v>0200</v>
          </cell>
          <cell r="C90">
            <v>434011</v>
          </cell>
          <cell r="D90">
            <v>41244</v>
          </cell>
          <cell r="E90">
            <v>0</v>
          </cell>
          <cell r="F90">
            <v>0</v>
          </cell>
          <cell r="G90">
            <v>2780155</v>
          </cell>
          <cell r="H90">
            <v>0</v>
          </cell>
          <cell r="I90">
            <v>673207</v>
          </cell>
        </row>
        <row r="91">
          <cell r="A91" t="str">
            <v>0200|434013</v>
          </cell>
          <cell r="B91" t="str">
            <v>0200</v>
          </cell>
          <cell r="C91">
            <v>434013</v>
          </cell>
          <cell r="D91">
            <v>41244</v>
          </cell>
          <cell r="E91">
            <v>0</v>
          </cell>
          <cell r="F91">
            <v>0</v>
          </cell>
          <cell r="G91">
            <v>4244886</v>
          </cell>
          <cell r="H91">
            <v>0</v>
          </cell>
          <cell r="I91">
            <v>1366596</v>
          </cell>
        </row>
        <row r="92">
          <cell r="A92" t="str">
            <v>0200|435000</v>
          </cell>
          <cell r="B92" t="str">
            <v>0200</v>
          </cell>
          <cell r="C92">
            <v>435000</v>
          </cell>
          <cell r="D92">
            <v>41244</v>
          </cell>
          <cell r="E92">
            <v>160645802</v>
          </cell>
          <cell r="F92">
            <v>160645802</v>
          </cell>
          <cell r="G92">
            <v>201937772</v>
          </cell>
          <cell r="H92">
            <v>13387150</v>
          </cell>
          <cell r="I92">
            <v>153691199</v>
          </cell>
        </row>
        <row r="93">
          <cell r="A93" t="str">
            <v>0200|435001</v>
          </cell>
          <cell r="B93" t="str">
            <v>0200</v>
          </cell>
          <cell r="C93">
            <v>435001</v>
          </cell>
          <cell r="D93">
            <v>41244</v>
          </cell>
          <cell r="E93">
            <v>32412616</v>
          </cell>
          <cell r="F93">
            <v>32412616</v>
          </cell>
          <cell r="G93">
            <v>29514888</v>
          </cell>
          <cell r="H93">
            <v>2701051</v>
          </cell>
          <cell r="I93">
            <v>0</v>
          </cell>
        </row>
        <row r="94">
          <cell r="A94" t="str">
            <v>0200|435003</v>
          </cell>
          <cell r="B94" t="str">
            <v>0200</v>
          </cell>
          <cell r="C94">
            <v>435003</v>
          </cell>
          <cell r="D94">
            <v>41244</v>
          </cell>
          <cell r="E94">
            <v>28887737</v>
          </cell>
          <cell r="F94">
            <v>28887737</v>
          </cell>
          <cell r="G94">
            <v>27656861</v>
          </cell>
          <cell r="H94">
            <v>2407311</v>
          </cell>
          <cell r="I94">
            <v>0</v>
          </cell>
        </row>
        <row r="95">
          <cell r="A95" t="str">
            <v>0200|439000</v>
          </cell>
          <cell r="B95" t="str">
            <v>0200</v>
          </cell>
          <cell r="C95">
            <v>439000</v>
          </cell>
          <cell r="D95">
            <v>41244</v>
          </cell>
          <cell r="E95">
            <v>342096713</v>
          </cell>
          <cell r="F95">
            <v>342096713</v>
          </cell>
          <cell r="G95">
            <v>360102100</v>
          </cell>
          <cell r="H95">
            <v>28508059</v>
          </cell>
          <cell r="I95">
            <v>0</v>
          </cell>
        </row>
        <row r="96">
          <cell r="A96" t="str">
            <v>0200|439001</v>
          </cell>
          <cell r="B96" t="str">
            <v>0200</v>
          </cell>
          <cell r="C96">
            <v>439001</v>
          </cell>
          <cell r="D96">
            <v>41244</v>
          </cell>
          <cell r="E96">
            <v>88111268</v>
          </cell>
          <cell r="F96">
            <v>88111268</v>
          </cell>
          <cell r="G96">
            <v>27157282</v>
          </cell>
          <cell r="H96">
            <v>7342606</v>
          </cell>
          <cell r="I96">
            <v>0</v>
          </cell>
        </row>
        <row r="97">
          <cell r="A97" t="str">
            <v>0200|439003</v>
          </cell>
          <cell r="B97" t="str">
            <v>0200</v>
          </cell>
          <cell r="C97">
            <v>439003</v>
          </cell>
          <cell r="D97">
            <v>41244</v>
          </cell>
          <cell r="E97">
            <v>44055634</v>
          </cell>
          <cell r="F97">
            <v>44055634</v>
          </cell>
          <cell r="G97">
            <v>67228313</v>
          </cell>
          <cell r="H97">
            <v>3671303</v>
          </cell>
          <cell r="I97">
            <v>8296600</v>
          </cell>
        </row>
        <row r="98">
          <cell r="A98" t="str">
            <v>0200|439100</v>
          </cell>
          <cell r="B98" t="str">
            <v>0200</v>
          </cell>
          <cell r="C98">
            <v>439100</v>
          </cell>
          <cell r="D98">
            <v>41244</v>
          </cell>
          <cell r="E98">
            <v>0</v>
          </cell>
          <cell r="F98">
            <v>0</v>
          </cell>
          <cell r="G98">
            <v>2000000</v>
          </cell>
          <cell r="H98">
            <v>0</v>
          </cell>
          <cell r="I98">
            <v>1000000</v>
          </cell>
        </row>
        <row r="99">
          <cell r="A99" t="str">
            <v>0200|439200</v>
          </cell>
          <cell r="B99" t="str">
            <v>0200</v>
          </cell>
          <cell r="C99">
            <v>439200</v>
          </cell>
          <cell r="D99">
            <v>41244</v>
          </cell>
          <cell r="E99">
            <v>2633143</v>
          </cell>
          <cell r="F99">
            <v>2633143</v>
          </cell>
          <cell r="G99">
            <v>7314000</v>
          </cell>
          <cell r="H99">
            <v>219429</v>
          </cell>
          <cell r="I99">
            <v>0</v>
          </cell>
        </row>
        <row r="100">
          <cell r="A100" t="str">
            <v>0200|439201</v>
          </cell>
          <cell r="B100" t="str">
            <v>0200</v>
          </cell>
          <cell r="C100">
            <v>439201</v>
          </cell>
          <cell r="D100">
            <v>41244</v>
          </cell>
          <cell r="E100">
            <v>0</v>
          </cell>
          <cell r="F100">
            <v>0</v>
          </cell>
          <cell r="G100">
            <v>209000</v>
          </cell>
          <cell r="H100">
            <v>0</v>
          </cell>
          <cell r="I100">
            <v>0</v>
          </cell>
        </row>
        <row r="101">
          <cell r="A101" t="str">
            <v>0200|439203</v>
          </cell>
          <cell r="B101" t="str">
            <v>0200</v>
          </cell>
          <cell r="C101">
            <v>439203</v>
          </cell>
          <cell r="D101">
            <v>41244</v>
          </cell>
          <cell r="E101">
            <v>0</v>
          </cell>
          <cell r="F101">
            <v>0</v>
          </cell>
          <cell r="G101">
            <v>209000</v>
          </cell>
          <cell r="H101">
            <v>0</v>
          </cell>
          <cell r="I101">
            <v>0</v>
          </cell>
        </row>
        <row r="102">
          <cell r="A102" t="str">
            <v>0200|440000</v>
          </cell>
          <cell r="B102" t="str">
            <v>0200</v>
          </cell>
          <cell r="C102">
            <v>440000</v>
          </cell>
          <cell r="D102">
            <v>41244</v>
          </cell>
          <cell r="E102">
            <v>160645802</v>
          </cell>
          <cell r="F102">
            <v>160645802</v>
          </cell>
          <cell r="G102">
            <v>179875435</v>
          </cell>
          <cell r="H102">
            <v>13387150</v>
          </cell>
          <cell r="I102">
            <v>12041925</v>
          </cell>
        </row>
        <row r="103">
          <cell r="A103" t="str">
            <v>0200|440001</v>
          </cell>
          <cell r="B103" t="str">
            <v>0200</v>
          </cell>
          <cell r="C103">
            <v>440001</v>
          </cell>
          <cell r="D103">
            <v>41244</v>
          </cell>
          <cell r="E103">
            <v>32412616</v>
          </cell>
          <cell r="F103">
            <v>32412616</v>
          </cell>
          <cell r="G103">
            <v>21013752</v>
          </cell>
          <cell r="H103">
            <v>2701051</v>
          </cell>
          <cell r="I103">
            <v>713563</v>
          </cell>
        </row>
        <row r="104">
          <cell r="A104" t="str">
            <v>0200|440003</v>
          </cell>
          <cell r="B104" t="str">
            <v>0200</v>
          </cell>
          <cell r="C104">
            <v>440003</v>
          </cell>
          <cell r="D104">
            <v>41244</v>
          </cell>
          <cell r="E104">
            <v>19258491</v>
          </cell>
          <cell r="F104">
            <v>19258491</v>
          </cell>
          <cell r="G104">
            <v>15849493</v>
          </cell>
          <cell r="H104">
            <v>1604874</v>
          </cell>
          <cell r="I104">
            <v>1764098</v>
          </cell>
        </row>
        <row r="105">
          <cell r="A105" t="str">
            <v>0200|446000</v>
          </cell>
          <cell r="B105" t="str">
            <v>0200</v>
          </cell>
          <cell r="C105">
            <v>446000</v>
          </cell>
          <cell r="D105">
            <v>41244</v>
          </cell>
          <cell r="E105">
            <v>37377650</v>
          </cell>
          <cell r="F105">
            <v>37377650</v>
          </cell>
          <cell r="G105">
            <v>73090772</v>
          </cell>
          <cell r="H105">
            <v>3114804</v>
          </cell>
          <cell r="I105">
            <v>6725000</v>
          </cell>
        </row>
        <row r="106">
          <cell r="A106" t="str">
            <v>0200|446001</v>
          </cell>
          <cell r="B106" t="str">
            <v>0200</v>
          </cell>
          <cell r="C106">
            <v>446001</v>
          </cell>
          <cell r="D106">
            <v>41244</v>
          </cell>
          <cell r="E106">
            <v>0</v>
          </cell>
          <cell r="F106">
            <v>0</v>
          </cell>
          <cell r="G106">
            <v>6009669</v>
          </cell>
          <cell r="H106">
            <v>0</v>
          </cell>
          <cell r="I106">
            <v>300000</v>
          </cell>
        </row>
        <row r="107">
          <cell r="A107" t="str">
            <v>0200|447000</v>
          </cell>
          <cell r="B107" t="str">
            <v>0200</v>
          </cell>
          <cell r="C107">
            <v>447000</v>
          </cell>
          <cell r="D107">
            <v>41244</v>
          </cell>
          <cell r="E107">
            <v>34395944</v>
          </cell>
          <cell r="F107">
            <v>34395944</v>
          </cell>
          <cell r="G107">
            <v>33158597</v>
          </cell>
          <cell r="H107">
            <v>2866329</v>
          </cell>
          <cell r="I107">
            <v>2719450</v>
          </cell>
        </row>
        <row r="108">
          <cell r="A108" t="str">
            <v>0200|447001</v>
          </cell>
          <cell r="B108" t="str">
            <v>0200</v>
          </cell>
          <cell r="C108">
            <v>447001</v>
          </cell>
          <cell r="D108">
            <v>41244</v>
          </cell>
          <cell r="E108">
            <v>1658180</v>
          </cell>
          <cell r="F108">
            <v>1658180</v>
          </cell>
          <cell r="G108">
            <v>3728538</v>
          </cell>
          <cell r="H108">
            <v>138182</v>
          </cell>
          <cell r="I108">
            <v>317902</v>
          </cell>
        </row>
        <row r="109">
          <cell r="A109" t="str">
            <v>0200|447003</v>
          </cell>
          <cell r="B109" t="str">
            <v>0200</v>
          </cell>
          <cell r="C109">
            <v>447003</v>
          </cell>
          <cell r="D109">
            <v>41244</v>
          </cell>
          <cell r="E109">
            <v>2035512</v>
          </cell>
          <cell r="F109">
            <v>2035512</v>
          </cell>
          <cell r="G109">
            <v>3214440</v>
          </cell>
          <cell r="H109">
            <v>169626</v>
          </cell>
          <cell r="I109">
            <v>240603</v>
          </cell>
        </row>
        <row r="110">
          <cell r="A110" t="str">
            <v>0200|447010</v>
          </cell>
          <cell r="B110" t="str">
            <v>0200</v>
          </cell>
          <cell r="C110">
            <v>447010</v>
          </cell>
          <cell r="D110">
            <v>41244</v>
          </cell>
          <cell r="E110">
            <v>81060504</v>
          </cell>
          <cell r="F110">
            <v>81060504</v>
          </cell>
          <cell r="G110">
            <v>78144365</v>
          </cell>
          <cell r="H110">
            <v>6755042</v>
          </cell>
          <cell r="I110">
            <v>6408890</v>
          </cell>
        </row>
        <row r="111">
          <cell r="A111" t="str">
            <v>0200|447011</v>
          </cell>
          <cell r="B111" t="str">
            <v>0200</v>
          </cell>
          <cell r="C111">
            <v>447011</v>
          </cell>
          <cell r="D111">
            <v>41244</v>
          </cell>
          <cell r="E111">
            <v>3907813</v>
          </cell>
          <cell r="F111">
            <v>3907813</v>
          </cell>
          <cell r="G111">
            <v>8786988</v>
          </cell>
          <cell r="H111">
            <v>325651</v>
          </cell>
          <cell r="I111">
            <v>749195</v>
          </cell>
        </row>
        <row r="112">
          <cell r="A112" t="str">
            <v>0200|447013</v>
          </cell>
          <cell r="B112" t="str">
            <v>0200</v>
          </cell>
          <cell r="C112">
            <v>447013</v>
          </cell>
          <cell r="D112">
            <v>41244</v>
          </cell>
          <cell r="E112">
            <v>4797067</v>
          </cell>
          <cell r="F112">
            <v>4797067</v>
          </cell>
          <cell r="G112">
            <v>7575420</v>
          </cell>
          <cell r="H112">
            <v>399756</v>
          </cell>
          <cell r="I112">
            <v>567025</v>
          </cell>
        </row>
        <row r="113">
          <cell r="A113" t="str">
            <v>0200|447020</v>
          </cell>
          <cell r="B113" t="str">
            <v>0200</v>
          </cell>
          <cell r="C113">
            <v>447020</v>
          </cell>
          <cell r="D113">
            <v>41244</v>
          </cell>
          <cell r="E113">
            <v>3439594</v>
          </cell>
          <cell r="F113">
            <v>3439594</v>
          </cell>
          <cell r="G113">
            <v>3450881</v>
          </cell>
          <cell r="H113">
            <v>286633</v>
          </cell>
          <cell r="I113">
            <v>255800</v>
          </cell>
        </row>
        <row r="114">
          <cell r="A114" t="str">
            <v>0200|447021</v>
          </cell>
          <cell r="B114" t="str">
            <v>0200</v>
          </cell>
          <cell r="C114">
            <v>447021</v>
          </cell>
          <cell r="D114">
            <v>41244</v>
          </cell>
          <cell r="E114">
            <v>165818</v>
          </cell>
          <cell r="F114">
            <v>165818</v>
          </cell>
          <cell r="G114">
            <v>620049</v>
          </cell>
          <cell r="H114">
            <v>13818</v>
          </cell>
          <cell r="I114">
            <v>33000</v>
          </cell>
        </row>
        <row r="115">
          <cell r="A115" t="str">
            <v>0200|447023</v>
          </cell>
          <cell r="B115" t="str">
            <v>0200</v>
          </cell>
          <cell r="C115">
            <v>447023</v>
          </cell>
          <cell r="D115">
            <v>41244</v>
          </cell>
          <cell r="E115">
            <v>203551</v>
          </cell>
          <cell r="F115">
            <v>203551</v>
          </cell>
          <cell r="G115">
            <v>524814</v>
          </cell>
          <cell r="H115">
            <v>16963</v>
          </cell>
          <cell r="I115">
            <v>0</v>
          </cell>
        </row>
        <row r="116">
          <cell r="A116" t="str">
            <v>0200|448000</v>
          </cell>
          <cell r="B116" t="str">
            <v>0200</v>
          </cell>
          <cell r="C116">
            <v>448000</v>
          </cell>
          <cell r="D116">
            <v>41244</v>
          </cell>
          <cell r="E116">
            <v>313456403</v>
          </cell>
          <cell r="F116">
            <v>313456403</v>
          </cell>
          <cell r="G116">
            <v>113110666</v>
          </cell>
          <cell r="H116">
            <v>26121367</v>
          </cell>
          <cell r="I116">
            <v>10712500</v>
          </cell>
        </row>
        <row r="117">
          <cell r="A117" t="str">
            <v>0200|448001</v>
          </cell>
          <cell r="B117" t="str">
            <v>0200</v>
          </cell>
          <cell r="C117">
            <v>448001</v>
          </cell>
          <cell r="D117">
            <v>41244</v>
          </cell>
          <cell r="E117">
            <v>30764559</v>
          </cell>
          <cell r="F117">
            <v>30764559</v>
          </cell>
          <cell r="G117">
            <v>60080962</v>
          </cell>
          <cell r="H117">
            <v>2563713</v>
          </cell>
          <cell r="I117">
            <v>3099400</v>
          </cell>
        </row>
        <row r="118">
          <cell r="A118" t="str">
            <v>0200|448002</v>
          </cell>
          <cell r="B118" t="str">
            <v>0200</v>
          </cell>
          <cell r="C118">
            <v>448002</v>
          </cell>
          <cell r="D118">
            <v>41244</v>
          </cell>
          <cell r="E118">
            <v>0</v>
          </cell>
          <cell r="F118">
            <v>0</v>
          </cell>
          <cell r="G118">
            <v>12202800</v>
          </cell>
          <cell r="H118">
            <v>0</v>
          </cell>
          <cell r="I118">
            <v>0</v>
          </cell>
        </row>
        <row r="119">
          <cell r="A119" t="str">
            <v>0200|448003</v>
          </cell>
          <cell r="B119" t="str">
            <v>0200</v>
          </cell>
          <cell r="C119">
            <v>448003</v>
          </cell>
          <cell r="D119">
            <v>41244</v>
          </cell>
          <cell r="E119">
            <v>19610005</v>
          </cell>
          <cell r="F119">
            <v>19610005</v>
          </cell>
          <cell r="G119">
            <v>1975700</v>
          </cell>
          <cell r="H119">
            <v>1634167</v>
          </cell>
          <cell r="I119">
            <v>0</v>
          </cell>
        </row>
        <row r="120">
          <cell r="A120" t="str">
            <v>0200|449004</v>
          </cell>
          <cell r="B120" t="str">
            <v>0200</v>
          </cell>
          <cell r="C120">
            <v>449004</v>
          </cell>
          <cell r="D120">
            <v>41244</v>
          </cell>
          <cell r="E120">
            <v>7400000</v>
          </cell>
          <cell r="F120">
            <v>7400000</v>
          </cell>
          <cell r="G120">
            <v>5865000</v>
          </cell>
          <cell r="H120">
            <v>616667</v>
          </cell>
          <cell r="I120">
            <v>3275000</v>
          </cell>
        </row>
        <row r="121">
          <cell r="A121" t="str">
            <v>0200|449020</v>
          </cell>
          <cell r="B121" t="str">
            <v>0200</v>
          </cell>
          <cell r="C121">
            <v>449020</v>
          </cell>
          <cell r="D121">
            <v>41244</v>
          </cell>
          <cell r="E121">
            <v>130680000</v>
          </cell>
          <cell r="F121">
            <v>130680000</v>
          </cell>
          <cell r="G121">
            <v>151050000</v>
          </cell>
          <cell r="H121">
            <v>10890000</v>
          </cell>
          <cell r="I121">
            <v>14043000</v>
          </cell>
        </row>
        <row r="122">
          <cell r="A122" t="str">
            <v>0200|449023</v>
          </cell>
          <cell r="B122" t="str">
            <v>0200</v>
          </cell>
          <cell r="C122">
            <v>449023</v>
          </cell>
          <cell r="D122">
            <v>41244</v>
          </cell>
          <cell r="E122">
            <v>33450000</v>
          </cell>
          <cell r="F122">
            <v>33450000</v>
          </cell>
          <cell r="G122">
            <v>30196150</v>
          </cell>
          <cell r="H122">
            <v>2787500</v>
          </cell>
          <cell r="I122">
            <v>2690000</v>
          </cell>
        </row>
        <row r="123">
          <cell r="A123" t="str">
            <v>0200|449025</v>
          </cell>
          <cell r="B123" t="str">
            <v>0200</v>
          </cell>
          <cell r="C123">
            <v>449025</v>
          </cell>
          <cell r="D123">
            <v>41244</v>
          </cell>
          <cell r="E123">
            <v>7920000</v>
          </cell>
          <cell r="F123">
            <v>7920000</v>
          </cell>
          <cell r="G123">
            <v>10036000</v>
          </cell>
          <cell r="H123">
            <v>660000</v>
          </cell>
          <cell r="I123">
            <v>900000</v>
          </cell>
        </row>
        <row r="124">
          <cell r="A124" t="str">
            <v>0200|449032</v>
          </cell>
          <cell r="B124" t="str">
            <v>0200</v>
          </cell>
          <cell r="C124">
            <v>449032</v>
          </cell>
          <cell r="D124">
            <v>41244</v>
          </cell>
          <cell r="E124">
            <v>41492200</v>
          </cell>
          <cell r="F124">
            <v>41492200</v>
          </cell>
          <cell r="G124">
            <v>26656370</v>
          </cell>
          <cell r="H124">
            <v>3457683</v>
          </cell>
          <cell r="I124">
            <v>0</v>
          </cell>
        </row>
        <row r="125">
          <cell r="A125" t="str">
            <v>0200|449040</v>
          </cell>
          <cell r="B125" t="str">
            <v>0200</v>
          </cell>
          <cell r="C125">
            <v>449040</v>
          </cell>
          <cell r="D125">
            <v>41244</v>
          </cell>
          <cell r="E125">
            <v>5310000</v>
          </cell>
          <cell r="F125">
            <v>5310000</v>
          </cell>
          <cell r="G125">
            <v>-750000</v>
          </cell>
          <cell r="H125">
            <v>442500</v>
          </cell>
          <cell r="I125">
            <v>0</v>
          </cell>
        </row>
        <row r="126">
          <cell r="A126" t="str">
            <v>0200|449050</v>
          </cell>
          <cell r="B126" t="str">
            <v>0200</v>
          </cell>
          <cell r="C126">
            <v>449050</v>
          </cell>
          <cell r="D126">
            <v>41244</v>
          </cell>
          <cell r="E126">
            <v>24400000</v>
          </cell>
          <cell r="F126">
            <v>24400000</v>
          </cell>
          <cell r="G126">
            <v>33716664</v>
          </cell>
          <cell r="H126">
            <v>2033333</v>
          </cell>
          <cell r="I126">
            <v>2466667</v>
          </cell>
        </row>
        <row r="127">
          <cell r="A127" t="str">
            <v>0200|449060</v>
          </cell>
          <cell r="B127" t="str">
            <v>0200</v>
          </cell>
          <cell r="C127">
            <v>449060</v>
          </cell>
          <cell r="D127">
            <v>41244</v>
          </cell>
          <cell r="E127">
            <v>14000000</v>
          </cell>
          <cell r="F127">
            <v>14000000</v>
          </cell>
          <cell r="G127">
            <v>28623678</v>
          </cell>
          <cell r="H127">
            <v>1166667</v>
          </cell>
          <cell r="I127">
            <v>3767351</v>
          </cell>
        </row>
        <row r="128">
          <cell r="A128" t="str">
            <v>0200|449061</v>
          </cell>
          <cell r="B128" t="str">
            <v>0200</v>
          </cell>
          <cell r="C128">
            <v>449061</v>
          </cell>
          <cell r="D128">
            <v>41244</v>
          </cell>
          <cell r="E128">
            <v>18707900</v>
          </cell>
          <cell r="F128">
            <v>18707900</v>
          </cell>
          <cell r="G128">
            <v>32079750</v>
          </cell>
          <cell r="H128">
            <v>1558992</v>
          </cell>
          <cell r="I128">
            <v>8739250</v>
          </cell>
        </row>
        <row r="129">
          <cell r="A129" t="str">
            <v>0200|451000</v>
          </cell>
          <cell r="B129" t="str">
            <v>0200</v>
          </cell>
          <cell r="C129">
            <v>451000</v>
          </cell>
          <cell r="D129">
            <v>41244</v>
          </cell>
          <cell r="E129">
            <v>8410500</v>
          </cell>
          <cell r="F129">
            <v>8410500</v>
          </cell>
          <cell r="G129">
            <v>7974550</v>
          </cell>
          <cell r="H129">
            <v>700875</v>
          </cell>
          <cell r="I129">
            <v>0</v>
          </cell>
        </row>
        <row r="130">
          <cell r="A130" t="str">
            <v>0200|452000</v>
          </cell>
          <cell r="B130" t="str">
            <v>0200</v>
          </cell>
          <cell r="C130">
            <v>452000</v>
          </cell>
          <cell r="D130">
            <v>41244</v>
          </cell>
          <cell r="E130">
            <v>1378000000</v>
          </cell>
          <cell r="F130">
            <v>1378000000</v>
          </cell>
          <cell r="G130">
            <v>1175492800</v>
          </cell>
          <cell r="H130">
            <v>114833333</v>
          </cell>
          <cell r="I130">
            <v>84201208</v>
          </cell>
        </row>
        <row r="131">
          <cell r="A131" t="str">
            <v>0200|452001</v>
          </cell>
          <cell r="B131" t="str">
            <v>0200</v>
          </cell>
          <cell r="C131">
            <v>452001</v>
          </cell>
          <cell r="D131">
            <v>41244</v>
          </cell>
          <cell r="E131">
            <v>34000000</v>
          </cell>
          <cell r="F131">
            <v>34000000</v>
          </cell>
          <cell r="G131">
            <v>106340651</v>
          </cell>
          <cell r="H131">
            <v>2833333</v>
          </cell>
          <cell r="I131">
            <v>2000000</v>
          </cell>
        </row>
        <row r="132">
          <cell r="A132" t="str">
            <v>0200|455000</v>
          </cell>
          <cell r="B132" t="str">
            <v>0200</v>
          </cell>
          <cell r="C132">
            <v>455000</v>
          </cell>
          <cell r="D132">
            <v>41244</v>
          </cell>
          <cell r="E132">
            <v>76000000</v>
          </cell>
          <cell r="F132">
            <v>76000000</v>
          </cell>
          <cell r="G132">
            <v>612597045</v>
          </cell>
          <cell r="H132">
            <v>6333333</v>
          </cell>
          <cell r="I132">
            <v>16924033</v>
          </cell>
        </row>
        <row r="133">
          <cell r="A133" t="str">
            <v>0200|455001</v>
          </cell>
          <cell r="B133" t="str">
            <v>0200</v>
          </cell>
          <cell r="C133">
            <v>455001</v>
          </cell>
          <cell r="D133">
            <v>41244</v>
          </cell>
          <cell r="E133">
            <v>18300000</v>
          </cell>
          <cell r="F133">
            <v>18300000</v>
          </cell>
          <cell r="G133">
            <v>231375822</v>
          </cell>
          <cell r="H133">
            <v>1525000</v>
          </cell>
          <cell r="I133">
            <v>5958139</v>
          </cell>
        </row>
        <row r="134">
          <cell r="A134" t="str">
            <v>0200|455002</v>
          </cell>
          <cell r="B134" t="str">
            <v>0200</v>
          </cell>
          <cell r="C134">
            <v>455002</v>
          </cell>
          <cell r="D134">
            <v>41244</v>
          </cell>
          <cell r="E134">
            <v>50000000</v>
          </cell>
          <cell r="F134">
            <v>50000000</v>
          </cell>
          <cell r="G134">
            <v>49839655</v>
          </cell>
          <cell r="H134">
            <v>4166667</v>
          </cell>
          <cell r="I134">
            <v>25736250</v>
          </cell>
        </row>
        <row r="135">
          <cell r="A135" t="str">
            <v>0200|459000</v>
          </cell>
          <cell r="B135" t="str">
            <v>0200</v>
          </cell>
          <cell r="C135">
            <v>459000</v>
          </cell>
          <cell r="D135">
            <v>41244</v>
          </cell>
          <cell r="E135">
            <v>4075000</v>
          </cell>
          <cell r="F135">
            <v>4075000</v>
          </cell>
          <cell r="G135">
            <v>1682260</v>
          </cell>
          <cell r="H135">
            <v>339584</v>
          </cell>
          <cell r="I135">
            <v>523260</v>
          </cell>
        </row>
        <row r="136">
          <cell r="A136" t="str">
            <v>0200|459005</v>
          </cell>
          <cell r="B136" t="str">
            <v>0200</v>
          </cell>
          <cell r="C136">
            <v>459005</v>
          </cell>
          <cell r="D136">
            <v>41244</v>
          </cell>
          <cell r="E136">
            <v>850000</v>
          </cell>
          <cell r="F136">
            <v>850000</v>
          </cell>
          <cell r="G136">
            <v>850000</v>
          </cell>
          <cell r="H136">
            <v>70833</v>
          </cell>
          <cell r="I136">
            <v>0</v>
          </cell>
        </row>
        <row r="137">
          <cell r="A137" t="str">
            <v>0200|470101</v>
          </cell>
          <cell r="B137" t="str">
            <v>0200</v>
          </cell>
          <cell r="C137">
            <v>470101</v>
          </cell>
          <cell r="D137">
            <v>41244</v>
          </cell>
          <cell r="E137">
            <v>4889931</v>
          </cell>
          <cell r="F137">
            <v>4889931</v>
          </cell>
          <cell r="G137">
            <v>3460500</v>
          </cell>
          <cell r="H137">
            <v>407494</v>
          </cell>
          <cell r="I137">
            <v>1008250</v>
          </cell>
        </row>
        <row r="138">
          <cell r="A138" t="str">
            <v>0200|470102</v>
          </cell>
          <cell r="B138" t="str">
            <v>0200</v>
          </cell>
          <cell r="C138">
            <v>470102</v>
          </cell>
          <cell r="D138">
            <v>41244</v>
          </cell>
          <cell r="E138">
            <v>9258161</v>
          </cell>
          <cell r="F138">
            <v>9258161</v>
          </cell>
          <cell r="G138">
            <v>4175252</v>
          </cell>
          <cell r="H138">
            <v>771513</v>
          </cell>
          <cell r="I138">
            <v>401750</v>
          </cell>
        </row>
        <row r="139">
          <cell r="A139" t="str">
            <v>0200|471000</v>
          </cell>
          <cell r="B139" t="str">
            <v>0200</v>
          </cell>
          <cell r="C139">
            <v>471000</v>
          </cell>
          <cell r="D139">
            <v>41244</v>
          </cell>
          <cell r="E139">
            <v>2381690</v>
          </cell>
          <cell r="F139">
            <v>2381690</v>
          </cell>
          <cell r="G139">
            <v>0</v>
          </cell>
          <cell r="H139">
            <v>198474</v>
          </cell>
          <cell r="I139">
            <v>0</v>
          </cell>
        </row>
        <row r="140">
          <cell r="A140" t="str">
            <v>0200|472000</v>
          </cell>
          <cell r="B140" t="str">
            <v>0200</v>
          </cell>
          <cell r="C140">
            <v>472000</v>
          </cell>
          <cell r="D140">
            <v>41244</v>
          </cell>
          <cell r="E140">
            <v>200000</v>
          </cell>
          <cell r="F140">
            <v>200000</v>
          </cell>
          <cell r="G140">
            <v>21774602</v>
          </cell>
          <cell r="H140">
            <v>16667</v>
          </cell>
          <cell r="I140">
            <v>0</v>
          </cell>
        </row>
        <row r="141">
          <cell r="A141" t="str">
            <v>0200|473120</v>
          </cell>
          <cell r="B141" t="str">
            <v>0200</v>
          </cell>
          <cell r="C141">
            <v>473120</v>
          </cell>
          <cell r="D141">
            <v>41244</v>
          </cell>
          <cell r="E141">
            <v>7006703</v>
          </cell>
          <cell r="F141">
            <v>7006703</v>
          </cell>
          <cell r="G141">
            <v>12910879</v>
          </cell>
          <cell r="H141">
            <v>583892</v>
          </cell>
          <cell r="I141">
            <v>5064210</v>
          </cell>
        </row>
        <row r="142">
          <cell r="A142" t="str">
            <v>0200|474100</v>
          </cell>
          <cell r="B142" t="str">
            <v>0200</v>
          </cell>
          <cell r="C142">
            <v>474100</v>
          </cell>
          <cell r="D142">
            <v>41244</v>
          </cell>
          <cell r="E142">
            <v>3487403</v>
          </cell>
          <cell r="F142">
            <v>3487403</v>
          </cell>
          <cell r="G142">
            <v>0</v>
          </cell>
          <cell r="H142">
            <v>290617</v>
          </cell>
          <cell r="I142">
            <v>0</v>
          </cell>
        </row>
        <row r="143">
          <cell r="A143" t="str">
            <v>0200|475003</v>
          </cell>
          <cell r="B143" t="str">
            <v>0200</v>
          </cell>
          <cell r="C143">
            <v>475003</v>
          </cell>
          <cell r="D143">
            <v>41244</v>
          </cell>
          <cell r="E143">
            <v>0</v>
          </cell>
          <cell r="F143">
            <v>0</v>
          </cell>
          <cell r="G143">
            <v>1641500</v>
          </cell>
          <cell r="H143">
            <v>0</v>
          </cell>
          <cell r="I143">
            <v>0</v>
          </cell>
        </row>
        <row r="144">
          <cell r="A144" t="str">
            <v>0200|475006</v>
          </cell>
          <cell r="B144" t="str">
            <v>0200</v>
          </cell>
          <cell r="C144">
            <v>475006</v>
          </cell>
          <cell r="D144">
            <v>41244</v>
          </cell>
          <cell r="E144">
            <v>2107500</v>
          </cell>
          <cell r="F144">
            <v>2107500</v>
          </cell>
          <cell r="G144">
            <v>2214372</v>
          </cell>
          <cell r="H144">
            <v>175625</v>
          </cell>
          <cell r="I144">
            <v>184531</v>
          </cell>
        </row>
        <row r="145">
          <cell r="A145" t="str">
            <v>0200|476000</v>
          </cell>
          <cell r="B145" t="str">
            <v>0200</v>
          </cell>
          <cell r="C145">
            <v>476000</v>
          </cell>
          <cell r="D145">
            <v>41244</v>
          </cell>
          <cell r="E145">
            <v>1449850</v>
          </cell>
          <cell r="F145">
            <v>1449850</v>
          </cell>
          <cell r="G145">
            <v>0</v>
          </cell>
          <cell r="H145">
            <v>120821</v>
          </cell>
          <cell r="I145">
            <v>0</v>
          </cell>
        </row>
        <row r="146">
          <cell r="A146" t="str">
            <v>0200|476001</v>
          </cell>
          <cell r="B146" t="str">
            <v>0200</v>
          </cell>
          <cell r="C146">
            <v>476001</v>
          </cell>
          <cell r="D146">
            <v>41244</v>
          </cell>
          <cell r="E146">
            <v>2500000</v>
          </cell>
          <cell r="F146">
            <v>2500000</v>
          </cell>
          <cell r="G146">
            <v>2300000</v>
          </cell>
          <cell r="H146">
            <v>208333</v>
          </cell>
          <cell r="I146">
            <v>0</v>
          </cell>
        </row>
        <row r="147">
          <cell r="A147" t="str">
            <v>0200|476220</v>
          </cell>
          <cell r="B147" t="str">
            <v>0200</v>
          </cell>
          <cell r="C147">
            <v>476220</v>
          </cell>
          <cell r="D147">
            <v>41244</v>
          </cell>
          <cell r="E147">
            <v>14238246</v>
          </cell>
          <cell r="F147">
            <v>14238246</v>
          </cell>
          <cell r="G147">
            <v>8665054</v>
          </cell>
          <cell r="H147">
            <v>1186520</v>
          </cell>
          <cell r="I147">
            <v>0</v>
          </cell>
        </row>
        <row r="148">
          <cell r="A148" t="str">
            <v>0200|476223</v>
          </cell>
          <cell r="B148" t="str">
            <v>0200</v>
          </cell>
          <cell r="C148">
            <v>476223</v>
          </cell>
          <cell r="D148">
            <v>41244</v>
          </cell>
          <cell r="E148">
            <v>27000000</v>
          </cell>
          <cell r="F148">
            <v>27000000</v>
          </cell>
          <cell r="G148">
            <v>0</v>
          </cell>
          <cell r="H148">
            <v>2250000</v>
          </cell>
          <cell r="I148">
            <v>0</v>
          </cell>
        </row>
        <row r="149">
          <cell r="A149" t="str">
            <v>0200|477800</v>
          </cell>
          <cell r="B149" t="str">
            <v>0200</v>
          </cell>
          <cell r="C149">
            <v>477800</v>
          </cell>
          <cell r="D149">
            <v>41244</v>
          </cell>
          <cell r="E149">
            <v>110000000</v>
          </cell>
          <cell r="F149">
            <v>110000000</v>
          </cell>
          <cell r="G149">
            <v>0</v>
          </cell>
          <cell r="H149">
            <v>9166667</v>
          </cell>
          <cell r="I149">
            <v>0</v>
          </cell>
        </row>
        <row r="150">
          <cell r="A150" t="str">
            <v>0200|477900</v>
          </cell>
          <cell r="B150" t="str">
            <v>0200</v>
          </cell>
          <cell r="C150">
            <v>477900</v>
          </cell>
          <cell r="D150">
            <v>41244</v>
          </cell>
          <cell r="E150">
            <v>300000000</v>
          </cell>
          <cell r="F150">
            <v>300000000</v>
          </cell>
          <cell r="G150">
            <v>0</v>
          </cell>
          <cell r="H150">
            <v>25000000</v>
          </cell>
          <cell r="I150">
            <v>0</v>
          </cell>
        </row>
        <row r="151">
          <cell r="A151" t="str">
            <v>0230|211104</v>
          </cell>
          <cell r="B151" t="str">
            <v>0230</v>
          </cell>
          <cell r="C151">
            <v>211104</v>
          </cell>
          <cell r="D151">
            <v>41244</v>
          </cell>
          <cell r="E151">
            <v>11273736</v>
          </cell>
          <cell r="F151">
            <v>11273736</v>
          </cell>
          <cell r="G151">
            <v>3523477</v>
          </cell>
          <cell r="H151">
            <v>939478</v>
          </cell>
          <cell r="I151">
            <v>1011648</v>
          </cell>
        </row>
        <row r="152">
          <cell r="A152" t="str">
            <v>0230|246000</v>
          </cell>
          <cell r="B152" t="str">
            <v>0230</v>
          </cell>
          <cell r="C152">
            <v>246000</v>
          </cell>
          <cell r="D152">
            <v>41244</v>
          </cell>
          <cell r="E152">
            <v>26800000</v>
          </cell>
          <cell r="F152">
            <v>26800000</v>
          </cell>
          <cell r="G152">
            <v>9482400</v>
          </cell>
          <cell r="H152">
            <v>2233333</v>
          </cell>
          <cell r="I152">
            <v>6000000</v>
          </cell>
        </row>
        <row r="153">
          <cell r="A153" t="str">
            <v>0230|400040</v>
          </cell>
          <cell r="B153" t="str">
            <v>0230</v>
          </cell>
          <cell r="C153">
            <v>400040</v>
          </cell>
          <cell r="D153">
            <v>41244</v>
          </cell>
          <cell r="E153">
            <v>3000000</v>
          </cell>
          <cell r="F153">
            <v>3000000</v>
          </cell>
          <cell r="G153">
            <v>450187</v>
          </cell>
          <cell r="H153">
            <v>250000</v>
          </cell>
          <cell r="I153">
            <v>0</v>
          </cell>
        </row>
        <row r="154">
          <cell r="A154" t="str">
            <v>0230|405200</v>
          </cell>
          <cell r="B154" t="str">
            <v>0230</v>
          </cell>
          <cell r="C154">
            <v>405200</v>
          </cell>
          <cell r="D154">
            <v>41244</v>
          </cell>
          <cell r="E154">
            <v>5000000</v>
          </cell>
          <cell r="F154">
            <v>5000000</v>
          </cell>
          <cell r="G154">
            <v>77000</v>
          </cell>
          <cell r="H154">
            <v>416667</v>
          </cell>
          <cell r="I154">
            <v>0</v>
          </cell>
        </row>
        <row r="155">
          <cell r="A155" t="str">
            <v>0230|405252</v>
          </cell>
          <cell r="B155" t="str">
            <v>0230</v>
          </cell>
          <cell r="C155">
            <v>405252</v>
          </cell>
          <cell r="D155">
            <v>41244</v>
          </cell>
          <cell r="E155">
            <v>0</v>
          </cell>
          <cell r="F155">
            <v>0</v>
          </cell>
          <cell r="G155">
            <v>144376183</v>
          </cell>
          <cell r="H155">
            <v>0</v>
          </cell>
          <cell r="I155">
            <v>20197832</v>
          </cell>
        </row>
        <row r="156">
          <cell r="A156" t="str">
            <v>0230|406000</v>
          </cell>
          <cell r="B156" t="str">
            <v>0230</v>
          </cell>
          <cell r="C156">
            <v>406000</v>
          </cell>
          <cell r="D156">
            <v>41244</v>
          </cell>
          <cell r="E156">
            <v>0</v>
          </cell>
          <cell r="F156">
            <v>0</v>
          </cell>
          <cell r="G156">
            <v>23777000</v>
          </cell>
          <cell r="H156">
            <v>0</v>
          </cell>
          <cell r="I156">
            <v>8086000</v>
          </cell>
        </row>
        <row r="157">
          <cell r="A157" t="str">
            <v>0230|420001</v>
          </cell>
          <cell r="B157" t="str">
            <v>0230</v>
          </cell>
          <cell r="C157">
            <v>420001</v>
          </cell>
          <cell r="D157">
            <v>41244</v>
          </cell>
          <cell r="E157">
            <v>0</v>
          </cell>
          <cell r="F157">
            <v>0</v>
          </cell>
          <cell r="G157">
            <v>36111070</v>
          </cell>
          <cell r="H157">
            <v>0</v>
          </cell>
          <cell r="I157">
            <v>4667500</v>
          </cell>
        </row>
        <row r="158">
          <cell r="A158" t="str">
            <v>0230|420002</v>
          </cell>
          <cell r="B158" t="str">
            <v>0230</v>
          </cell>
          <cell r="C158">
            <v>420002</v>
          </cell>
          <cell r="D158">
            <v>41244</v>
          </cell>
          <cell r="E158">
            <v>71303847</v>
          </cell>
          <cell r="F158">
            <v>71303847</v>
          </cell>
          <cell r="G158">
            <v>68256000</v>
          </cell>
          <cell r="H158">
            <v>5941987</v>
          </cell>
          <cell r="I158">
            <v>5738500</v>
          </cell>
        </row>
        <row r="159">
          <cell r="A159" t="str">
            <v>0230|420003</v>
          </cell>
          <cell r="B159" t="str">
            <v>0230</v>
          </cell>
          <cell r="C159">
            <v>420003</v>
          </cell>
          <cell r="D159">
            <v>41244</v>
          </cell>
          <cell r="E159">
            <v>991600300</v>
          </cell>
          <cell r="F159">
            <v>991600300</v>
          </cell>
          <cell r="G159">
            <v>902776470</v>
          </cell>
          <cell r="H159">
            <v>82633358</v>
          </cell>
          <cell r="I159">
            <v>71215726</v>
          </cell>
        </row>
        <row r="160">
          <cell r="A160" t="str">
            <v>0230|422003</v>
          </cell>
          <cell r="B160" t="str">
            <v>0230</v>
          </cell>
          <cell r="C160">
            <v>422003</v>
          </cell>
          <cell r="D160">
            <v>41244</v>
          </cell>
          <cell r="E160">
            <v>1028576</v>
          </cell>
          <cell r="F160">
            <v>1028576</v>
          </cell>
          <cell r="G160">
            <v>602600</v>
          </cell>
          <cell r="H160">
            <v>85715</v>
          </cell>
          <cell r="I160">
            <v>0</v>
          </cell>
        </row>
        <row r="161">
          <cell r="A161" t="str">
            <v>0230|431000</v>
          </cell>
          <cell r="B161" t="str">
            <v>0230</v>
          </cell>
          <cell r="C161">
            <v>431000</v>
          </cell>
          <cell r="D161">
            <v>41244</v>
          </cell>
          <cell r="E161">
            <v>1100000</v>
          </cell>
          <cell r="F161">
            <v>1100000</v>
          </cell>
          <cell r="G161">
            <v>0</v>
          </cell>
          <cell r="H161">
            <v>91667</v>
          </cell>
          <cell r="I161">
            <v>0</v>
          </cell>
        </row>
        <row r="162">
          <cell r="A162" t="str">
            <v>0230|431001</v>
          </cell>
          <cell r="B162" t="str">
            <v>0230</v>
          </cell>
          <cell r="C162">
            <v>431001</v>
          </cell>
          <cell r="D162">
            <v>41244</v>
          </cell>
          <cell r="E162">
            <v>11798995</v>
          </cell>
          <cell r="F162">
            <v>11798995</v>
          </cell>
          <cell r="G162">
            <v>2641255</v>
          </cell>
          <cell r="H162">
            <v>983250</v>
          </cell>
          <cell r="I162">
            <v>0</v>
          </cell>
        </row>
        <row r="163">
          <cell r="A163" t="str">
            <v>0230|431002</v>
          </cell>
          <cell r="B163" t="str">
            <v>0230</v>
          </cell>
          <cell r="C163">
            <v>431002</v>
          </cell>
          <cell r="D163">
            <v>41244</v>
          </cell>
          <cell r="E163">
            <v>1795302</v>
          </cell>
          <cell r="F163">
            <v>1795302</v>
          </cell>
          <cell r="G163">
            <v>307692</v>
          </cell>
          <cell r="H163">
            <v>149608</v>
          </cell>
          <cell r="I163">
            <v>307692</v>
          </cell>
        </row>
        <row r="164">
          <cell r="A164" t="str">
            <v>0230|434011</v>
          </cell>
          <cell r="B164" t="str">
            <v>0230</v>
          </cell>
          <cell r="C164">
            <v>434011</v>
          </cell>
          <cell r="D164">
            <v>41244</v>
          </cell>
          <cell r="E164">
            <v>0</v>
          </cell>
          <cell r="F164">
            <v>0</v>
          </cell>
          <cell r="G164">
            <v>1390078</v>
          </cell>
          <cell r="H164">
            <v>0</v>
          </cell>
          <cell r="I164">
            <v>336604</v>
          </cell>
        </row>
        <row r="165">
          <cell r="A165" t="str">
            <v>0230|434012</v>
          </cell>
          <cell r="B165" t="str">
            <v>0230</v>
          </cell>
          <cell r="C165">
            <v>434012</v>
          </cell>
          <cell r="D165">
            <v>41244</v>
          </cell>
          <cell r="E165">
            <v>0</v>
          </cell>
          <cell r="F165">
            <v>0</v>
          </cell>
          <cell r="G165">
            <v>2799543</v>
          </cell>
          <cell r="H165">
            <v>0</v>
          </cell>
          <cell r="I165">
            <v>982145</v>
          </cell>
        </row>
        <row r="166">
          <cell r="A166" t="str">
            <v>0230|434013</v>
          </cell>
          <cell r="B166" t="str">
            <v>0230</v>
          </cell>
          <cell r="C166">
            <v>434013</v>
          </cell>
          <cell r="D166">
            <v>41244</v>
          </cell>
          <cell r="E166">
            <v>0</v>
          </cell>
          <cell r="F166">
            <v>0</v>
          </cell>
          <cell r="G166">
            <v>16979550</v>
          </cell>
          <cell r="H166">
            <v>0</v>
          </cell>
          <cell r="I166">
            <v>5466384</v>
          </cell>
        </row>
        <row r="167">
          <cell r="A167" t="str">
            <v>0230|435001</v>
          </cell>
          <cell r="B167" t="str">
            <v>0230</v>
          </cell>
          <cell r="C167">
            <v>435001</v>
          </cell>
          <cell r="D167">
            <v>41244</v>
          </cell>
          <cell r="E167">
            <v>0</v>
          </cell>
          <cell r="F167">
            <v>0</v>
          </cell>
          <cell r="G167">
            <v>4667500</v>
          </cell>
          <cell r="H167">
            <v>0</v>
          </cell>
          <cell r="I167">
            <v>4667500</v>
          </cell>
        </row>
        <row r="168">
          <cell r="A168" t="str">
            <v>0230|435002</v>
          </cell>
          <cell r="B168" t="str">
            <v>0230</v>
          </cell>
          <cell r="C168">
            <v>435002</v>
          </cell>
          <cell r="D168">
            <v>41244</v>
          </cell>
          <cell r="E168">
            <v>5941987</v>
          </cell>
          <cell r="F168">
            <v>5941987</v>
          </cell>
          <cell r="G168">
            <v>5738500</v>
          </cell>
          <cell r="H168">
            <v>495166</v>
          </cell>
          <cell r="I168">
            <v>5738500</v>
          </cell>
        </row>
        <row r="169">
          <cell r="A169" t="str">
            <v>0230|435003</v>
          </cell>
          <cell r="B169" t="str">
            <v>0230</v>
          </cell>
          <cell r="C169">
            <v>435003</v>
          </cell>
          <cell r="D169">
            <v>41244</v>
          </cell>
          <cell r="E169">
            <v>123950038</v>
          </cell>
          <cell r="F169">
            <v>123950038</v>
          </cell>
          <cell r="G169">
            <v>123646163</v>
          </cell>
          <cell r="H169">
            <v>10329170</v>
          </cell>
          <cell r="I169">
            <v>0</v>
          </cell>
        </row>
        <row r="170">
          <cell r="A170" t="str">
            <v>0230|439001</v>
          </cell>
          <cell r="B170" t="str">
            <v>0230</v>
          </cell>
          <cell r="C170">
            <v>439001</v>
          </cell>
          <cell r="D170">
            <v>41244</v>
          </cell>
          <cell r="E170">
            <v>0</v>
          </cell>
          <cell r="F170">
            <v>0</v>
          </cell>
          <cell r="G170">
            <v>10815282</v>
          </cell>
          <cell r="H170">
            <v>0</v>
          </cell>
          <cell r="I170">
            <v>0</v>
          </cell>
        </row>
        <row r="171">
          <cell r="A171" t="str">
            <v>0230|439003</v>
          </cell>
          <cell r="B171" t="str">
            <v>0230</v>
          </cell>
          <cell r="C171">
            <v>439003</v>
          </cell>
          <cell r="D171">
            <v>41244</v>
          </cell>
          <cell r="E171">
            <v>220278169</v>
          </cell>
          <cell r="F171">
            <v>220278169</v>
          </cell>
          <cell r="G171">
            <v>289674774</v>
          </cell>
          <cell r="H171">
            <v>18356514</v>
          </cell>
          <cell r="I171">
            <v>33186399</v>
          </cell>
        </row>
        <row r="172">
          <cell r="A172" t="str">
            <v>0230|439008</v>
          </cell>
          <cell r="B172" t="str">
            <v>0230</v>
          </cell>
          <cell r="C172">
            <v>439008</v>
          </cell>
          <cell r="D172">
            <v>41244</v>
          </cell>
          <cell r="E172">
            <v>16368905</v>
          </cell>
          <cell r="F172">
            <v>16368905</v>
          </cell>
          <cell r="G172">
            <v>22346622</v>
          </cell>
          <cell r="H172">
            <v>1364075</v>
          </cell>
          <cell r="I172">
            <v>0</v>
          </cell>
        </row>
        <row r="173">
          <cell r="A173" t="str">
            <v>0230|439201</v>
          </cell>
          <cell r="B173" t="str">
            <v>0230</v>
          </cell>
          <cell r="C173">
            <v>439201</v>
          </cell>
          <cell r="D173">
            <v>41244</v>
          </cell>
          <cell r="E173">
            <v>0</v>
          </cell>
          <cell r="F173">
            <v>0</v>
          </cell>
          <cell r="G173">
            <v>165000</v>
          </cell>
          <cell r="H173">
            <v>0</v>
          </cell>
          <cell r="I173">
            <v>0</v>
          </cell>
        </row>
        <row r="174">
          <cell r="A174" t="str">
            <v>0230|439202</v>
          </cell>
          <cell r="B174" t="str">
            <v>0230</v>
          </cell>
          <cell r="C174">
            <v>439202</v>
          </cell>
          <cell r="D174">
            <v>41244</v>
          </cell>
          <cell r="E174">
            <v>0</v>
          </cell>
          <cell r="F174">
            <v>0</v>
          </cell>
          <cell r="G174">
            <v>198000</v>
          </cell>
          <cell r="H174">
            <v>0</v>
          </cell>
          <cell r="I174">
            <v>0</v>
          </cell>
        </row>
        <row r="175">
          <cell r="A175" t="str">
            <v>0230|439203</v>
          </cell>
          <cell r="B175" t="str">
            <v>0230</v>
          </cell>
          <cell r="C175">
            <v>439203</v>
          </cell>
          <cell r="D175">
            <v>41244</v>
          </cell>
          <cell r="E175">
            <v>0</v>
          </cell>
          <cell r="F175">
            <v>0</v>
          </cell>
          <cell r="G175">
            <v>1058000</v>
          </cell>
          <cell r="H175">
            <v>0</v>
          </cell>
          <cell r="I175">
            <v>0</v>
          </cell>
        </row>
        <row r="176">
          <cell r="A176" t="str">
            <v>0230|440001</v>
          </cell>
          <cell r="B176" t="str">
            <v>0230</v>
          </cell>
          <cell r="C176">
            <v>440001</v>
          </cell>
          <cell r="D176">
            <v>41244</v>
          </cell>
          <cell r="E176">
            <v>0</v>
          </cell>
          <cell r="F176">
            <v>0</v>
          </cell>
          <cell r="G176">
            <v>2996010</v>
          </cell>
          <cell r="H176">
            <v>0</v>
          </cell>
          <cell r="I176">
            <v>356782</v>
          </cell>
        </row>
        <row r="177">
          <cell r="A177" t="str">
            <v>0230|440002</v>
          </cell>
          <cell r="B177" t="str">
            <v>0230</v>
          </cell>
          <cell r="C177">
            <v>440002</v>
          </cell>
          <cell r="D177">
            <v>41244</v>
          </cell>
          <cell r="E177">
            <v>5941987</v>
          </cell>
          <cell r="F177">
            <v>5941987</v>
          </cell>
          <cell r="G177">
            <v>6041873</v>
          </cell>
          <cell r="H177">
            <v>495166</v>
          </cell>
          <cell r="I177">
            <v>558485</v>
          </cell>
        </row>
        <row r="178">
          <cell r="A178" t="str">
            <v>0230|440003</v>
          </cell>
          <cell r="B178" t="str">
            <v>0230</v>
          </cell>
          <cell r="C178">
            <v>440003</v>
          </cell>
          <cell r="D178">
            <v>41244</v>
          </cell>
          <cell r="E178">
            <v>98839666</v>
          </cell>
          <cell r="F178">
            <v>98839666</v>
          </cell>
          <cell r="G178">
            <v>86730407</v>
          </cell>
          <cell r="H178">
            <v>8236639</v>
          </cell>
          <cell r="I178">
            <v>6579627</v>
          </cell>
        </row>
        <row r="179">
          <cell r="A179" t="str">
            <v>0230|446001</v>
          </cell>
          <cell r="B179" t="str">
            <v>0230</v>
          </cell>
          <cell r="C179">
            <v>446001</v>
          </cell>
          <cell r="D179">
            <v>41244</v>
          </cell>
          <cell r="E179">
            <v>0</v>
          </cell>
          <cell r="F179">
            <v>0</v>
          </cell>
          <cell r="G179">
            <v>4067972</v>
          </cell>
          <cell r="H179">
            <v>0</v>
          </cell>
          <cell r="I179">
            <v>100000</v>
          </cell>
        </row>
        <row r="180">
          <cell r="A180" t="str">
            <v>0230|446002</v>
          </cell>
          <cell r="B180" t="str">
            <v>0230</v>
          </cell>
          <cell r="C180">
            <v>446002</v>
          </cell>
          <cell r="D180">
            <v>41244</v>
          </cell>
          <cell r="E180">
            <v>2970994</v>
          </cell>
          <cell r="F180">
            <v>2970994</v>
          </cell>
          <cell r="G180">
            <v>2066400</v>
          </cell>
          <cell r="H180">
            <v>247583</v>
          </cell>
          <cell r="I180">
            <v>150000</v>
          </cell>
        </row>
        <row r="181">
          <cell r="A181" t="str">
            <v>0230|447001</v>
          </cell>
          <cell r="B181" t="str">
            <v>0230</v>
          </cell>
          <cell r="C181">
            <v>447001</v>
          </cell>
          <cell r="D181">
            <v>41244</v>
          </cell>
          <cell r="E181">
            <v>0</v>
          </cell>
          <cell r="F181">
            <v>0</v>
          </cell>
          <cell r="G181">
            <v>583650</v>
          </cell>
          <cell r="H181">
            <v>0</v>
          </cell>
          <cell r="I181">
            <v>73280</v>
          </cell>
        </row>
        <row r="182">
          <cell r="A182" t="str">
            <v>0230|447002</v>
          </cell>
          <cell r="B182" t="str">
            <v>0230</v>
          </cell>
          <cell r="C182">
            <v>447002</v>
          </cell>
          <cell r="D182">
            <v>41244</v>
          </cell>
          <cell r="E182">
            <v>2072652</v>
          </cell>
          <cell r="F182">
            <v>2072652</v>
          </cell>
          <cell r="G182">
            <v>368586</v>
          </cell>
          <cell r="H182">
            <v>172721</v>
          </cell>
          <cell r="I182">
            <v>30988</v>
          </cell>
        </row>
        <row r="183">
          <cell r="A183" t="str">
            <v>0230|447003</v>
          </cell>
          <cell r="B183" t="str">
            <v>0230</v>
          </cell>
          <cell r="C183">
            <v>447003</v>
          </cell>
          <cell r="D183">
            <v>41244</v>
          </cell>
          <cell r="E183">
            <v>8151082</v>
          </cell>
          <cell r="F183">
            <v>8151082</v>
          </cell>
          <cell r="G183">
            <v>15235538</v>
          </cell>
          <cell r="H183">
            <v>679257</v>
          </cell>
          <cell r="I183">
            <v>1252570</v>
          </cell>
        </row>
        <row r="184">
          <cell r="A184" t="str">
            <v>0230|447011</v>
          </cell>
          <cell r="B184" t="str">
            <v>0230</v>
          </cell>
          <cell r="C184">
            <v>447011</v>
          </cell>
          <cell r="D184">
            <v>41244</v>
          </cell>
          <cell r="E184">
            <v>0</v>
          </cell>
          <cell r="F184">
            <v>0</v>
          </cell>
          <cell r="G184">
            <v>1375478</v>
          </cell>
          <cell r="H184">
            <v>0</v>
          </cell>
          <cell r="I184">
            <v>172698</v>
          </cell>
        </row>
        <row r="185">
          <cell r="A185" t="str">
            <v>0230|447012</v>
          </cell>
          <cell r="B185" t="str">
            <v>0230</v>
          </cell>
          <cell r="C185">
            <v>447012</v>
          </cell>
          <cell r="D185">
            <v>41244</v>
          </cell>
          <cell r="E185">
            <v>4884593</v>
          </cell>
          <cell r="F185">
            <v>4884593</v>
          </cell>
          <cell r="G185">
            <v>2525478</v>
          </cell>
          <cell r="H185">
            <v>407049</v>
          </cell>
          <cell r="I185">
            <v>212325</v>
          </cell>
        </row>
        <row r="186">
          <cell r="A186" t="str">
            <v>0230|447013</v>
          </cell>
          <cell r="B186" t="str">
            <v>0230</v>
          </cell>
          <cell r="C186">
            <v>447013</v>
          </cell>
          <cell r="D186">
            <v>41244</v>
          </cell>
          <cell r="E186">
            <v>19209557</v>
          </cell>
          <cell r="F186">
            <v>19209557</v>
          </cell>
          <cell r="G186">
            <v>35905406</v>
          </cell>
          <cell r="H186">
            <v>1600796</v>
          </cell>
          <cell r="I186">
            <v>2951917</v>
          </cell>
        </row>
        <row r="187">
          <cell r="A187" t="str">
            <v>0230|447021</v>
          </cell>
          <cell r="B187" t="str">
            <v>0230</v>
          </cell>
          <cell r="C187">
            <v>447021</v>
          </cell>
          <cell r="D187">
            <v>41244</v>
          </cell>
          <cell r="E187">
            <v>0</v>
          </cell>
          <cell r="F187">
            <v>0</v>
          </cell>
          <cell r="G187">
            <v>29000</v>
          </cell>
          <cell r="H187">
            <v>0</v>
          </cell>
          <cell r="I187">
            <v>3650</v>
          </cell>
        </row>
        <row r="188">
          <cell r="A188" t="str">
            <v>0230|447022</v>
          </cell>
          <cell r="B188" t="str">
            <v>0230</v>
          </cell>
          <cell r="C188">
            <v>447022</v>
          </cell>
          <cell r="D188">
            <v>41244</v>
          </cell>
          <cell r="E188">
            <v>207265</v>
          </cell>
          <cell r="F188">
            <v>207265</v>
          </cell>
          <cell r="G188">
            <v>56969</v>
          </cell>
          <cell r="H188">
            <v>17272</v>
          </cell>
          <cell r="I188">
            <v>5100</v>
          </cell>
        </row>
        <row r="189">
          <cell r="A189" t="str">
            <v>0230|447023</v>
          </cell>
          <cell r="B189" t="str">
            <v>0230</v>
          </cell>
          <cell r="C189">
            <v>447023</v>
          </cell>
          <cell r="D189">
            <v>41244</v>
          </cell>
          <cell r="E189">
            <v>815108</v>
          </cell>
          <cell r="F189">
            <v>815108</v>
          </cell>
          <cell r="G189">
            <v>3918249</v>
          </cell>
          <cell r="H189">
            <v>67926</v>
          </cell>
          <cell r="I189">
            <v>42750</v>
          </cell>
        </row>
        <row r="190">
          <cell r="A190" t="str">
            <v>0230|448001</v>
          </cell>
          <cell r="B190" t="str">
            <v>0230</v>
          </cell>
          <cell r="C190">
            <v>448001</v>
          </cell>
          <cell r="D190">
            <v>41244</v>
          </cell>
          <cell r="E190">
            <v>0</v>
          </cell>
          <cell r="F190">
            <v>0</v>
          </cell>
          <cell r="G190">
            <v>1017000</v>
          </cell>
          <cell r="H190">
            <v>0</v>
          </cell>
          <cell r="I190">
            <v>184700</v>
          </cell>
        </row>
        <row r="191">
          <cell r="A191" t="str">
            <v>0230|448002</v>
          </cell>
          <cell r="B191" t="str">
            <v>0230</v>
          </cell>
          <cell r="C191">
            <v>448002</v>
          </cell>
          <cell r="D191">
            <v>41244</v>
          </cell>
          <cell r="E191">
            <v>12314417</v>
          </cell>
          <cell r="F191">
            <v>12314417</v>
          </cell>
          <cell r="G191">
            <v>4127000</v>
          </cell>
          <cell r="H191">
            <v>1026201</v>
          </cell>
          <cell r="I191">
            <v>0</v>
          </cell>
        </row>
        <row r="192">
          <cell r="A192" t="str">
            <v>0230|448003</v>
          </cell>
          <cell r="B192" t="str">
            <v>0230</v>
          </cell>
          <cell r="C192">
            <v>448003</v>
          </cell>
          <cell r="D192">
            <v>41244</v>
          </cell>
          <cell r="E192">
            <v>92771569</v>
          </cell>
          <cell r="F192">
            <v>92771569</v>
          </cell>
          <cell r="G192">
            <v>153783157</v>
          </cell>
          <cell r="H192">
            <v>7730964</v>
          </cell>
          <cell r="I192">
            <v>5185900</v>
          </cell>
        </row>
        <row r="193">
          <cell r="A193" t="str">
            <v>0230|449004</v>
          </cell>
          <cell r="B193" t="str">
            <v>0230</v>
          </cell>
          <cell r="C193">
            <v>449004</v>
          </cell>
          <cell r="D193">
            <v>41244</v>
          </cell>
          <cell r="E193">
            <v>500000</v>
          </cell>
          <cell r="F193">
            <v>500000</v>
          </cell>
          <cell r="G193">
            <v>430000</v>
          </cell>
          <cell r="H193">
            <v>41667</v>
          </cell>
          <cell r="I193">
            <v>0</v>
          </cell>
        </row>
        <row r="194">
          <cell r="A194" t="str">
            <v>0230|449022</v>
          </cell>
          <cell r="B194" t="str">
            <v>0230</v>
          </cell>
          <cell r="C194">
            <v>449022</v>
          </cell>
          <cell r="D194">
            <v>41244</v>
          </cell>
          <cell r="E194">
            <v>3960000</v>
          </cell>
          <cell r="F194">
            <v>3960000</v>
          </cell>
          <cell r="G194">
            <v>3519000</v>
          </cell>
          <cell r="H194">
            <v>330000</v>
          </cell>
          <cell r="I194">
            <v>340000</v>
          </cell>
        </row>
        <row r="195">
          <cell r="A195" t="str">
            <v>0230|449023</v>
          </cell>
          <cell r="B195" t="str">
            <v>0230</v>
          </cell>
          <cell r="C195">
            <v>449023</v>
          </cell>
          <cell r="D195">
            <v>41244</v>
          </cell>
          <cell r="E195">
            <v>45330000</v>
          </cell>
          <cell r="F195">
            <v>45330000</v>
          </cell>
          <cell r="G195">
            <v>44734272</v>
          </cell>
          <cell r="H195">
            <v>3777500</v>
          </cell>
          <cell r="I195">
            <v>2963000</v>
          </cell>
        </row>
        <row r="196">
          <cell r="A196" t="str">
            <v>0230|449025</v>
          </cell>
          <cell r="B196" t="str">
            <v>0230</v>
          </cell>
          <cell r="C196">
            <v>449025</v>
          </cell>
          <cell r="D196">
            <v>41244</v>
          </cell>
          <cell r="E196">
            <v>0</v>
          </cell>
          <cell r="F196">
            <v>0</v>
          </cell>
          <cell r="G196">
            <v>2581000</v>
          </cell>
          <cell r="H196">
            <v>0</v>
          </cell>
          <cell r="I196">
            <v>380000</v>
          </cell>
        </row>
        <row r="197">
          <cell r="A197" t="str">
            <v>0230|449032</v>
          </cell>
          <cell r="B197" t="str">
            <v>0230</v>
          </cell>
          <cell r="C197">
            <v>449032</v>
          </cell>
          <cell r="D197">
            <v>41244</v>
          </cell>
          <cell r="E197">
            <v>507965000</v>
          </cell>
          <cell r="F197">
            <v>507965000</v>
          </cell>
          <cell r="G197">
            <v>87154044</v>
          </cell>
          <cell r="H197">
            <v>42330415</v>
          </cell>
          <cell r="I197">
            <v>0</v>
          </cell>
        </row>
        <row r="198">
          <cell r="A198" t="str">
            <v>0230|449040</v>
          </cell>
          <cell r="B198" t="str">
            <v>0230</v>
          </cell>
          <cell r="C198">
            <v>449040</v>
          </cell>
          <cell r="D198">
            <v>41244</v>
          </cell>
          <cell r="E198">
            <v>37722500</v>
          </cell>
          <cell r="F198">
            <v>37722500</v>
          </cell>
          <cell r="G198">
            <v>4171060</v>
          </cell>
          <cell r="H198">
            <v>3143539</v>
          </cell>
          <cell r="I198">
            <v>0</v>
          </cell>
        </row>
        <row r="199">
          <cell r="A199" t="str">
            <v>0230|449050</v>
          </cell>
          <cell r="B199" t="str">
            <v>0230</v>
          </cell>
          <cell r="C199">
            <v>449050</v>
          </cell>
          <cell r="D199">
            <v>41244</v>
          </cell>
          <cell r="E199">
            <v>0</v>
          </cell>
          <cell r="F199">
            <v>0</v>
          </cell>
          <cell r="G199">
            <v>81013254</v>
          </cell>
          <cell r="H199">
            <v>0</v>
          </cell>
          <cell r="I199">
            <v>23413424</v>
          </cell>
        </row>
        <row r="200">
          <cell r="A200" t="str">
            <v>0230|449061</v>
          </cell>
          <cell r="B200" t="str">
            <v>0230</v>
          </cell>
          <cell r="C200">
            <v>449061</v>
          </cell>
          <cell r="D200">
            <v>41244</v>
          </cell>
          <cell r="E200">
            <v>30715600</v>
          </cell>
          <cell r="F200">
            <v>30715600</v>
          </cell>
          <cell r="G200">
            <v>27346200</v>
          </cell>
          <cell r="H200">
            <v>2559634</v>
          </cell>
          <cell r="I200">
            <v>2461600</v>
          </cell>
        </row>
        <row r="201">
          <cell r="A201" t="str">
            <v>0230|451000</v>
          </cell>
          <cell r="B201" t="str">
            <v>0230</v>
          </cell>
          <cell r="C201">
            <v>451000</v>
          </cell>
          <cell r="D201">
            <v>41244</v>
          </cell>
          <cell r="E201">
            <v>0</v>
          </cell>
          <cell r="F201">
            <v>0</v>
          </cell>
          <cell r="G201">
            <v>41429892</v>
          </cell>
          <cell r="H201">
            <v>0</v>
          </cell>
          <cell r="I201">
            <v>0</v>
          </cell>
        </row>
        <row r="202">
          <cell r="A202" t="str">
            <v>0230|455000</v>
          </cell>
          <cell r="B202" t="str">
            <v>0230</v>
          </cell>
          <cell r="C202">
            <v>455000</v>
          </cell>
          <cell r="D202">
            <v>41244</v>
          </cell>
          <cell r="E202">
            <v>27000000</v>
          </cell>
          <cell r="F202">
            <v>27000000</v>
          </cell>
          <cell r="G202">
            <v>445000</v>
          </cell>
          <cell r="H202">
            <v>2250000</v>
          </cell>
          <cell r="I202">
            <v>0</v>
          </cell>
        </row>
        <row r="203">
          <cell r="A203" t="str">
            <v>0230|459000</v>
          </cell>
          <cell r="B203" t="str">
            <v>0230</v>
          </cell>
          <cell r="C203">
            <v>459000</v>
          </cell>
          <cell r="D203">
            <v>41244</v>
          </cell>
          <cell r="E203">
            <v>1200000</v>
          </cell>
          <cell r="F203">
            <v>1200000</v>
          </cell>
          <cell r="G203">
            <v>1159000</v>
          </cell>
          <cell r="H203">
            <v>100000</v>
          </cell>
          <cell r="I203">
            <v>0</v>
          </cell>
        </row>
        <row r="204">
          <cell r="A204" t="str">
            <v>0230|459005</v>
          </cell>
          <cell r="B204" t="str">
            <v>0230</v>
          </cell>
          <cell r="C204">
            <v>459005</v>
          </cell>
          <cell r="D204">
            <v>41244</v>
          </cell>
          <cell r="E204">
            <v>2467935</v>
          </cell>
          <cell r="F204">
            <v>2467935</v>
          </cell>
          <cell r="G204">
            <v>1109405</v>
          </cell>
          <cell r="H204">
            <v>205661</v>
          </cell>
          <cell r="I204">
            <v>0</v>
          </cell>
        </row>
        <row r="205">
          <cell r="A205" t="str">
            <v>0230|470101</v>
          </cell>
          <cell r="B205" t="str">
            <v>0230</v>
          </cell>
          <cell r="C205">
            <v>470101</v>
          </cell>
          <cell r="D205">
            <v>41244</v>
          </cell>
          <cell r="E205">
            <v>0</v>
          </cell>
          <cell r="F205">
            <v>0</v>
          </cell>
          <cell r="G205">
            <v>70000</v>
          </cell>
          <cell r="H205">
            <v>0</v>
          </cell>
          <cell r="I205">
            <v>0</v>
          </cell>
        </row>
        <row r="206">
          <cell r="A206" t="str">
            <v>0230|470102</v>
          </cell>
          <cell r="B206" t="str">
            <v>0230</v>
          </cell>
          <cell r="C206">
            <v>470102</v>
          </cell>
          <cell r="D206">
            <v>41244</v>
          </cell>
          <cell r="E206">
            <v>8070011</v>
          </cell>
          <cell r="F206">
            <v>8070011</v>
          </cell>
          <cell r="G206">
            <v>6289076</v>
          </cell>
          <cell r="H206">
            <v>672500</v>
          </cell>
          <cell r="I206">
            <v>1187500</v>
          </cell>
        </row>
        <row r="207">
          <cell r="A207" t="str">
            <v>0230|471000</v>
          </cell>
          <cell r="B207" t="str">
            <v>0230</v>
          </cell>
          <cell r="C207">
            <v>471000</v>
          </cell>
          <cell r="D207">
            <v>41244</v>
          </cell>
          <cell r="E207">
            <v>41803900</v>
          </cell>
          <cell r="F207">
            <v>41803900</v>
          </cell>
          <cell r="G207">
            <v>48514155</v>
          </cell>
          <cell r="H207">
            <v>3483658</v>
          </cell>
          <cell r="I207">
            <v>21326520</v>
          </cell>
        </row>
        <row r="208">
          <cell r="A208" t="str">
            <v>0230|472000</v>
          </cell>
          <cell r="B208" t="str">
            <v>0230</v>
          </cell>
          <cell r="C208">
            <v>472000</v>
          </cell>
          <cell r="D208">
            <v>41244</v>
          </cell>
          <cell r="E208">
            <v>1200000</v>
          </cell>
          <cell r="F208">
            <v>1200000</v>
          </cell>
          <cell r="G208">
            <v>0</v>
          </cell>
          <cell r="H208">
            <v>100000</v>
          </cell>
          <cell r="I208">
            <v>0</v>
          </cell>
        </row>
        <row r="209">
          <cell r="A209" t="str">
            <v>0230|473000</v>
          </cell>
          <cell r="B209" t="str">
            <v>0230</v>
          </cell>
          <cell r="C209">
            <v>473000</v>
          </cell>
          <cell r="D209">
            <v>41244</v>
          </cell>
          <cell r="E209">
            <v>30000</v>
          </cell>
          <cell r="F209">
            <v>30000</v>
          </cell>
          <cell r="G209">
            <v>290400</v>
          </cell>
          <cell r="H209">
            <v>2499</v>
          </cell>
          <cell r="I209">
            <v>0</v>
          </cell>
        </row>
        <row r="210">
          <cell r="A210" t="str">
            <v>0230|473120</v>
          </cell>
          <cell r="B210" t="str">
            <v>0230</v>
          </cell>
          <cell r="C210">
            <v>473120</v>
          </cell>
          <cell r="D210">
            <v>41244</v>
          </cell>
          <cell r="E210">
            <v>4734891</v>
          </cell>
          <cell r="F210">
            <v>4734891</v>
          </cell>
          <cell r="G210">
            <v>10255092</v>
          </cell>
          <cell r="H210">
            <v>394574</v>
          </cell>
          <cell r="I210">
            <v>2857168</v>
          </cell>
        </row>
        <row r="211">
          <cell r="A211" t="str">
            <v>0230|474100</v>
          </cell>
          <cell r="B211" t="str">
            <v>0230</v>
          </cell>
          <cell r="C211">
            <v>474100</v>
          </cell>
          <cell r="D211">
            <v>41244</v>
          </cell>
          <cell r="E211">
            <v>148509400</v>
          </cell>
          <cell r="F211">
            <v>148509400</v>
          </cell>
          <cell r="G211">
            <v>144593724</v>
          </cell>
          <cell r="H211">
            <v>12375785</v>
          </cell>
          <cell r="I211">
            <v>0</v>
          </cell>
        </row>
        <row r="212">
          <cell r="A212" t="str">
            <v>0230|474110</v>
          </cell>
          <cell r="B212" t="str">
            <v>0230</v>
          </cell>
          <cell r="C212">
            <v>474110</v>
          </cell>
          <cell r="D212">
            <v>41244</v>
          </cell>
          <cell r="E212">
            <v>5700290</v>
          </cell>
          <cell r="F212">
            <v>5700290</v>
          </cell>
          <cell r="G212">
            <v>11383680</v>
          </cell>
          <cell r="H212">
            <v>475024</v>
          </cell>
          <cell r="I212">
            <v>0</v>
          </cell>
        </row>
        <row r="213">
          <cell r="A213" t="str">
            <v>0230|475003</v>
          </cell>
          <cell r="B213" t="str">
            <v>0230</v>
          </cell>
          <cell r="C213">
            <v>475003</v>
          </cell>
          <cell r="D213">
            <v>41244</v>
          </cell>
          <cell r="E213">
            <v>8181900</v>
          </cell>
          <cell r="F213">
            <v>8181900</v>
          </cell>
          <cell r="G213">
            <v>6148835</v>
          </cell>
          <cell r="H213">
            <v>681824</v>
          </cell>
          <cell r="I213">
            <v>0</v>
          </cell>
        </row>
        <row r="214">
          <cell r="A214" t="str">
            <v>0230|475004</v>
          </cell>
          <cell r="B214" t="str">
            <v>0230</v>
          </cell>
          <cell r="C214">
            <v>475004</v>
          </cell>
          <cell r="D214">
            <v>41244</v>
          </cell>
          <cell r="E214">
            <v>19350000</v>
          </cell>
          <cell r="F214">
            <v>19350000</v>
          </cell>
          <cell r="G214">
            <v>17800000</v>
          </cell>
          <cell r="H214">
            <v>1612500</v>
          </cell>
          <cell r="I214">
            <v>1850000</v>
          </cell>
        </row>
        <row r="215">
          <cell r="A215" t="str">
            <v>0230|475006</v>
          </cell>
          <cell r="B215" t="str">
            <v>0230</v>
          </cell>
          <cell r="C215">
            <v>475006</v>
          </cell>
          <cell r="D215">
            <v>41244</v>
          </cell>
          <cell r="E215">
            <v>11985136</v>
          </cell>
          <cell r="F215">
            <v>11985136</v>
          </cell>
          <cell r="G215">
            <v>10050012</v>
          </cell>
          <cell r="H215">
            <v>998761</v>
          </cell>
          <cell r="I215">
            <v>837501</v>
          </cell>
        </row>
        <row r="216">
          <cell r="A216" t="str">
            <v>0230|476000</v>
          </cell>
          <cell r="B216" t="str">
            <v>0230</v>
          </cell>
          <cell r="C216">
            <v>476000</v>
          </cell>
          <cell r="D216">
            <v>41244</v>
          </cell>
          <cell r="E216">
            <v>62097300</v>
          </cell>
          <cell r="F216">
            <v>62097300</v>
          </cell>
          <cell r="G216">
            <v>38544898</v>
          </cell>
          <cell r="H216">
            <v>5174775</v>
          </cell>
          <cell r="I216">
            <v>844000</v>
          </cell>
        </row>
        <row r="217">
          <cell r="A217" t="str">
            <v>0230|476001</v>
          </cell>
          <cell r="B217" t="str">
            <v>0230</v>
          </cell>
          <cell r="C217">
            <v>476001</v>
          </cell>
          <cell r="D217">
            <v>41244</v>
          </cell>
          <cell r="E217">
            <v>20456000</v>
          </cell>
          <cell r="F217">
            <v>20456000</v>
          </cell>
          <cell r="G217">
            <v>15910000</v>
          </cell>
          <cell r="H217">
            <v>1704680</v>
          </cell>
          <cell r="I217">
            <v>0</v>
          </cell>
        </row>
        <row r="218">
          <cell r="A218" t="str">
            <v>0230|476220</v>
          </cell>
          <cell r="B218" t="str">
            <v>0230</v>
          </cell>
          <cell r="C218">
            <v>476220</v>
          </cell>
          <cell r="D218">
            <v>41244</v>
          </cell>
          <cell r="E218">
            <v>5011079</v>
          </cell>
          <cell r="F218">
            <v>5011079</v>
          </cell>
          <cell r="G218">
            <v>2714534</v>
          </cell>
          <cell r="H218">
            <v>417590</v>
          </cell>
          <cell r="I218">
            <v>0</v>
          </cell>
        </row>
        <row r="219">
          <cell r="A219" t="str">
            <v>0230|476223</v>
          </cell>
          <cell r="B219" t="str">
            <v>0230</v>
          </cell>
          <cell r="C219">
            <v>476223</v>
          </cell>
          <cell r="D219">
            <v>41244</v>
          </cell>
          <cell r="E219">
            <v>0</v>
          </cell>
          <cell r="F219">
            <v>0</v>
          </cell>
          <cell r="G219">
            <v>33007000</v>
          </cell>
          <cell r="H219">
            <v>0</v>
          </cell>
          <cell r="I219">
            <v>0</v>
          </cell>
        </row>
        <row r="220">
          <cell r="A220" t="str">
            <v>0230|476900</v>
          </cell>
          <cell r="B220" t="str">
            <v>0230</v>
          </cell>
          <cell r="C220">
            <v>476900</v>
          </cell>
          <cell r="D220">
            <v>41244</v>
          </cell>
          <cell r="E220">
            <v>6924450</v>
          </cell>
          <cell r="F220">
            <v>6924450</v>
          </cell>
          <cell r="G220">
            <v>1959090</v>
          </cell>
          <cell r="H220">
            <v>577037</v>
          </cell>
          <cell r="I220">
            <v>0</v>
          </cell>
        </row>
        <row r="221">
          <cell r="A221" t="str">
            <v>0230|476910</v>
          </cell>
          <cell r="B221" t="str">
            <v>0230</v>
          </cell>
          <cell r="C221">
            <v>476910</v>
          </cell>
          <cell r="D221">
            <v>41244</v>
          </cell>
          <cell r="E221">
            <v>0</v>
          </cell>
          <cell r="F221">
            <v>0</v>
          </cell>
          <cell r="G221">
            <v>380000</v>
          </cell>
          <cell r="H221">
            <v>0</v>
          </cell>
          <cell r="I221">
            <v>0</v>
          </cell>
        </row>
        <row r="222">
          <cell r="A222" t="str">
            <v>0230|477500</v>
          </cell>
          <cell r="B222" t="str">
            <v>0230</v>
          </cell>
          <cell r="C222">
            <v>477500</v>
          </cell>
          <cell r="D222">
            <v>41244</v>
          </cell>
          <cell r="E222">
            <v>661500</v>
          </cell>
          <cell r="F222">
            <v>661500</v>
          </cell>
          <cell r="G222">
            <v>276500</v>
          </cell>
          <cell r="H222">
            <v>55125</v>
          </cell>
          <cell r="I222">
            <v>0</v>
          </cell>
        </row>
        <row r="223">
          <cell r="A223" t="str">
            <v>0230|477800</v>
          </cell>
          <cell r="B223" t="str">
            <v>0230</v>
          </cell>
          <cell r="C223">
            <v>477800</v>
          </cell>
          <cell r="D223">
            <v>41244</v>
          </cell>
          <cell r="E223">
            <v>220000000</v>
          </cell>
          <cell r="F223">
            <v>220000000</v>
          </cell>
          <cell r="G223">
            <v>312552604</v>
          </cell>
          <cell r="H223">
            <v>18333333</v>
          </cell>
          <cell r="I223">
            <v>0</v>
          </cell>
        </row>
        <row r="224">
          <cell r="A224" t="str">
            <v>0260|211100</v>
          </cell>
          <cell r="B224" t="str">
            <v>0260</v>
          </cell>
          <cell r="C224">
            <v>211100</v>
          </cell>
          <cell r="D224">
            <v>41244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</row>
        <row r="225">
          <cell r="A225" t="str">
            <v>0260|211104</v>
          </cell>
          <cell r="B225" t="str">
            <v>0260</v>
          </cell>
          <cell r="C225">
            <v>211104</v>
          </cell>
          <cell r="D225">
            <v>41244</v>
          </cell>
          <cell r="E225">
            <v>227238296</v>
          </cell>
          <cell r="F225">
            <v>227238296</v>
          </cell>
          <cell r="G225">
            <v>154547118</v>
          </cell>
          <cell r="H225">
            <v>18936525</v>
          </cell>
          <cell r="I225">
            <v>13550278</v>
          </cell>
        </row>
        <row r="226">
          <cell r="A226" t="str">
            <v>0260|400040</v>
          </cell>
          <cell r="B226" t="str">
            <v>0260</v>
          </cell>
          <cell r="C226">
            <v>400040</v>
          </cell>
          <cell r="D226">
            <v>41244</v>
          </cell>
          <cell r="E226">
            <v>65000000</v>
          </cell>
          <cell r="F226">
            <v>65000000</v>
          </cell>
          <cell r="G226">
            <v>59373624</v>
          </cell>
          <cell r="H226">
            <v>5416667</v>
          </cell>
          <cell r="I226">
            <v>4427187</v>
          </cell>
        </row>
        <row r="227">
          <cell r="A227" t="str">
            <v>0260|405200</v>
          </cell>
          <cell r="B227" t="str">
            <v>0260</v>
          </cell>
          <cell r="C227">
            <v>405200</v>
          </cell>
          <cell r="D227">
            <v>41244</v>
          </cell>
          <cell r="E227">
            <v>6500000</v>
          </cell>
          <cell r="F227">
            <v>6500000</v>
          </cell>
          <cell r="G227">
            <v>0</v>
          </cell>
          <cell r="H227">
            <v>541667</v>
          </cell>
          <cell r="I227">
            <v>0</v>
          </cell>
        </row>
        <row r="228">
          <cell r="A228" t="str">
            <v>0260|405251</v>
          </cell>
          <cell r="B228" t="str">
            <v>0260</v>
          </cell>
          <cell r="C228">
            <v>405251</v>
          </cell>
          <cell r="D228">
            <v>41244</v>
          </cell>
          <cell r="E228">
            <v>0</v>
          </cell>
          <cell r="F228">
            <v>0</v>
          </cell>
          <cell r="G228">
            <v>2284877</v>
          </cell>
          <cell r="H228">
            <v>0</v>
          </cell>
          <cell r="I228">
            <v>0</v>
          </cell>
        </row>
        <row r="229">
          <cell r="A229" t="str">
            <v>0260|405252</v>
          </cell>
          <cell r="B229" t="str">
            <v>0260</v>
          </cell>
          <cell r="C229">
            <v>405252</v>
          </cell>
          <cell r="D229">
            <v>41244</v>
          </cell>
          <cell r="E229">
            <v>0</v>
          </cell>
          <cell r="F229">
            <v>0</v>
          </cell>
          <cell r="G229">
            <v>5714786</v>
          </cell>
          <cell r="H229">
            <v>0</v>
          </cell>
          <cell r="I229">
            <v>0</v>
          </cell>
        </row>
        <row r="230">
          <cell r="A230" t="str">
            <v>0260|405254</v>
          </cell>
          <cell r="B230" t="str">
            <v>0260</v>
          </cell>
          <cell r="C230">
            <v>405254</v>
          </cell>
          <cell r="D230">
            <v>41244</v>
          </cell>
          <cell r="E230">
            <v>0</v>
          </cell>
          <cell r="F230">
            <v>0</v>
          </cell>
          <cell r="G230">
            <v>4421520</v>
          </cell>
          <cell r="H230">
            <v>0</v>
          </cell>
          <cell r="I230">
            <v>0</v>
          </cell>
        </row>
        <row r="231">
          <cell r="A231" t="str">
            <v>0260|420000</v>
          </cell>
          <cell r="B231" t="str">
            <v>0260</v>
          </cell>
          <cell r="C231">
            <v>420000</v>
          </cell>
          <cell r="D231">
            <v>41244</v>
          </cell>
          <cell r="E231">
            <v>122326855</v>
          </cell>
          <cell r="F231">
            <v>122326855</v>
          </cell>
          <cell r="G231">
            <v>47599748</v>
          </cell>
          <cell r="H231">
            <v>10193905</v>
          </cell>
          <cell r="I231">
            <v>0</v>
          </cell>
        </row>
        <row r="232">
          <cell r="A232" t="str">
            <v>0260|420001</v>
          </cell>
          <cell r="B232" t="str">
            <v>0260</v>
          </cell>
          <cell r="C232">
            <v>420001</v>
          </cell>
          <cell r="D232">
            <v>41244</v>
          </cell>
          <cell r="E232">
            <v>910000992</v>
          </cell>
          <cell r="F232">
            <v>910000992</v>
          </cell>
          <cell r="G232">
            <v>994639608</v>
          </cell>
          <cell r="H232">
            <v>75833416</v>
          </cell>
          <cell r="I232">
            <v>82450574</v>
          </cell>
        </row>
        <row r="233">
          <cell r="A233" t="str">
            <v>0260|420003</v>
          </cell>
          <cell r="B233" t="str">
            <v>0260</v>
          </cell>
          <cell r="C233">
            <v>420003</v>
          </cell>
          <cell r="D233">
            <v>41244</v>
          </cell>
          <cell r="E233">
            <v>231101892</v>
          </cell>
          <cell r="F233">
            <v>231101892</v>
          </cell>
          <cell r="G233">
            <v>248535338</v>
          </cell>
          <cell r="H233">
            <v>19258491</v>
          </cell>
          <cell r="I233">
            <v>19094022</v>
          </cell>
        </row>
        <row r="234">
          <cell r="A234" t="str">
            <v>0260|422000</v>
          </cell>
          <cell r="B234" t="str">
            <v>0260</v>
          </cell>
          <cell r="C234">
            <v>422000</v>
          </cell>
          <cell r="D234">
            <v>41244</v>
          </cell>
          <cell r="E234">
            <v>0</v>
          </cell>
          <cell r="F234">
            <v>0</v>
          </cell>
          <cell r="G234">
            <v>76950</v>
          </cell>
          <cell r="H234">
            <v>0</v>
          </cell>
          <cell r="I234">
            <v>0</v>
          </cell>
        </row>
        <row r="235">
          <cell r="A235" t="str">
            <v>0260|422001</v>
          </cell>
          <cell r="B235" t="str">
            <v>0260</v>
          </cell>
          <cell r="C235">
            <v>422001</v>
          </cell>
          <cell r="D235">
            <v>41244</v>
          </cell>
          <cell r="E235">
            <v>3132843</v>
          </cell>
          <cell r="F235">
            <v>3132843</v>
          </cell>
          <cell r="G235">
            <v>482150</v>
          </cell>
          <cell r="H235">
            <v>261070</v>
          </cell>
          <cell r="I235">
            <v>0</v>
          </cell>
        </row>
        <row r="236">
          <cell r="A236" t="str">
            <v>0260|431000</v>
          </cell>
          <cell r="B236" t="str">
            <v>0260</v>
          </cell>
          <cell r="C236">
            <v>431000</v>
          </cell>
          <cell r="D236">
            <v>41244</v>
          </cell>
          <cell r="E236">
            <v>3000000</v>
          </cell>
          <cell r="F236">
            <v>3000000</v>
          </cell>
          <cell r="G236">
            <v>1644703</v>
          </cell>
          <cell r="H236">
            <v>250000</v>
          </cell>
          <cell r="I236">
            <v>0</v>
          </cell>
        </row>
        <row r="237">
          <cell r="A237" t="str">
            <v>0260|431001</v>
          </cell>
          <cell r="B237" t="str">
            <v>0260</v>
          </cell>
          <cell r="C237">
            <v>431001</v>
          </cell>
          <cell r="D237">
            <v>41244</v>
          </cell>
          <cell r="E237">
            <v>113798626</v>
          </cell>
          <cell r="F237">
            <v>113798626</v>
          </cell>
          <cell r="G237">
            <v>116087167</v>
          </cell>
          <cell r="H237">
            <v>9483219</v>
          </cell>
          <cell r="I237">
            <v>4590992</v>
          </cell>
        </row>
        <row r="238">
          <cell r="A238" t="str">
            <v>0260|431002</v>
          </cell>
          <cell r="B238" t="str">
            <v>0260</v>
          </cell>
          <cell r="C238">
            <v>431002</v>
          </cell>
          <cell r="D238">
            <v>41244</v>
          </cell>
          <cell r="E238">
            <v>825360</v>
          </cell>
          <cell r="F238">
            <v>825360</v>
          </cell>
          <cell r="G238">
            <v>0</v>
          </cell>
          <cell r="H238">
            <v>68780</v>
          </cell>
          <cell r="I238">
            <v>0</v>
          </cell>
        </row>
        <row r="239">
          <cell r="A239" t="str">
            <v>0260|434011</v>
          </cell>
          <cell r="B239" t="str">
            <v>0260</v>
          </cell>
          <cell r="C239">
            <v>434011</v>
          </cell>
          <cell r="D239">
            <v>41244</v>
          </cell>
          <cell r="E239">
            <v>35258354</v>
          </cell>
          <cell r="F239">
            <v>35258354</v>
          </cell>
          <cell r="G239">
            <v>40837322</v>
          </cell>
          <cell r="H239">
            <v>2938196</v>
          </cell>
          <cell r="I239">
            <v>5722260</v>
          </cell>
        </row>
        <row r="240">
          <cell r="A240" t="str">
            <v>0260|434013</v>
          </cell>
          <cell r="B240" t="str">
            <v>0260</v>
          </cell>
          <cell r="C240">
            <v>434013</v>
          </cell>
          <cell r="D240">
            <v>41244</v>
          </cell>
          <cell r="E240">
            <v>23120250</v>
          </cell>
          <cell r="F240">
            <v>23120250</v>
          </cell>
          <cell r="G240">
            <v>19419804</v>
          </cell>
          <cell r="H240">
            <v>1926687</v>
          </cell>
          <cell r="I240">
            <v>1366596</v>
          </cell>
        </row>
        <row r="241">
          <cell r="A241" t="str">
            <v>0260|435000</v>
          </cell>
          <cell r="B241" t="str">
            <v>0260</v>
          </cell>
          <cell r="C241">
            <v>435000</v>
          </cell>
          <cell r="D241">
            <v>41244</v>
          </cell>
          <cell r="E241">
            <v>10193905</v>
          </cell>
          <cell r="F241">
            <v>10193905</v>
          </cell>
          <cell r="G241">
            <v>0</v>
          </cell>
          <cell r="H241">
            <v>849492</v>
          </cell>
          <cell r="I241">
            <v>0</v>
          </cell>
        </row>
        <row r="242">
          <cell r="A242" t="str">
            <v>0260|435001</v>
          </cell>
          <cell r="B242" t="str">
            <v>0260</v>
          </cell>
          <cell r="C242">
            <v>435001</v>
          </cell>
          <cell r="D242">
            <v>41244</v>
          </cell>
          <cell r="E242">
            <v>86637621</v>
          </cell>
          <cell r="F242">
            <v>86637621</v>
          </cell>
          <cell r="G242">
            <v>96556229</v>
          </cell>
          <cell r="H242">
            <v>7219802</v>
          </cell>
          <cell r="I242">
            <v>61536714</v>
          </cell>
        </row>
        <row r="243">
          <cell r="A243" t="str">
            <v>0260|435003</v>
          </cell>
          <cell r="B243" t="str">
            <v>0260</v>
          </cell>
          <cell r="C243">
            <v>435003</v>
          </cell>
          <cell r="D243">
            <v>41244</v>
          </cell>
          <cell r="E243">
            <v>28887737</v>
          </cell>
          <cell r="F243">
            <v>28887737</v>
          </cell>
          <cell r="G243">
            <v>26218409</v>
          </cell>
          <cell r="H243">
            <v>2407311</v>
          </cell>
          <cell r="I243">
            <v>0</v>
          </cell>
        </row>
        <row r="244">
          <cell r="A244" t="str">
            <v>0260|439000</v>
          </cell>
          <cell r="B244" t="str">
            <v>0260</v>
          </cell>
          <cell r="C244">
            <v>439000</v>
          </cell>
          <cell r="D244">
            <v>41244</v>
          </cell>
          <cell r="E244">
            <v>14545268</v>
          </cell>
          <cell r="F244">
            <v>14545268</v>
          </cell>
          <cell r="G244">
            <v>4090071</v>
          </cell>
          <cell r="H244">
            <v>1212106</v>
          </cell>
          <cell r="I244">
            <v>0</v>
          </cell>
        </row>
        <row r="245">
          <cell r="A245" t="str">
            <v>0260|439001</v>
          </cell>
          <cell r="B245" t="str">
            <v>0260</v>
          </cell>
          <cell r="C245">
            <v>439001</v>
          </cell>
          <cell r="D245">
            <v>41244</v>
          </cell>
          <cell r="E245">
            <v>204325850</v>
          </cell>
          <cell r="F245">
            <v>204325850</v>
          </cell>
          <cell r="G245">
            <v>229093817</v>
          </cell>
          <cell r="H245">
            <v>17027154</v>
          </cell>
          <cell r="I245">
            <v>0</v>
          </cell>
        </row>
        <row r="246">
          <cell r="A246" t="str">
            <v>0260|439003</v>
          </cell>
          <cell r="B246" t="str">
            <v>0260</v>
          </cell>
          <cell r="C246">
            <v>439003</v>
          </cell>
          <cell r="D246">
            <v>41244</v>
          </cell>
          <cell r="E246">
            <v>44055634</v>
          </cell>
          <cell r="F246">
            <v>44055634</v>
          </cell>
          <cell r="G246">
            <v>75653769</v>
          </cell>
          <cell r="H246">
            <v>3671303</v>
          </cell>
          <cell r="I246">
            <v>8296600</v>
          </cell>
        </row>
        <row r="247">
          <cell r="A247" t="str">
            <v>0260|439201</v>
          </cell>
          <cell r="B247" t="str">
            <v>0260</v>
          </cell>
          <cell r="C247">
            <v>439201</v>
          </cell>
          <cell r="D247">
            <v>41244</v>
          </cell>
          <cell r="E247">
            <v>0</v>
          </cell>
          <cell r="F247">
            <v>0</v>
          </cell>
          <cell r="G247">
            <v>3320000</v>
          </cell>
          <cell r="H247">
            <v>0</v>
          </cell>
          <cell r="I247">
            <v>0</v>
          </cell>
        </row>
        <row r="248">
          <cell r="A248" t="str">
            <v>0260|440000</v>
          </cell>
          <cell r="B248" t="str">
            <v>0260</v>
          </cell>
          <cell r="C248">
            <v>440000</v>
          </cell>
          <cell r="D248">
            <v>41244</v>
          </cell>
          <cell r="E248">
            <v>10193905</v>
          </cell>
          <cell r="F248">
            <v>10193905</v>
          </cell>
          <cell r="G248">
            <v>4408453</v>
          </cell>
          <cell r="H248">
            <v>849492</v>
          </cell>
          <cell r="I248">
            <v>0</v>
          </cell>
        </row>
        <row r="249">
          <cell r="A249" t="str">
            <v>0260|440001</v>
          </cell>
          <cell r="B249" t="str">
            <v>0260</v>
          </cell>
          <cell r="C249">
            <v>440001</v>
          </cell>
          <cell r="D249">
            <v>41244</v>
          </cell>
          <cell r="E249">
            <v>86637621</v>
          </cell>
          <cell r="F249">
            <v>86637621</v>
          </cell>
          <cell r="G249">
            <v>85629142</v>
          </cell>
          <cell r="H249">
            <v>7219802</v>
          </cell>
          <cell r="I249">
            <v>6065286</v>
          </cell>
        </row>
        <row r="250">
          <cell r="A250" t="str">
            <v>0260|440003</v>
          </cell>
          <cell r="B250" t="str">
            <v>0260</v>
          </cell>
          <cell r="C250">
            <v>440003</v>
          </cell>
          <cell r="D250">
            <v>41244</v>
          </cell>
          <cell r="E250">
            <v>19258491</v>
          </cell>
          <cell r="F250">
            <v>19258491</v>
          </cell>
          <cell r="G250">
            <v>10047330</v>
          </cell>
          <cell r="H250">
            <v>1604874</v>
          </cell>
          <cell r="I250">
            <v>1764098</v>
          </cell>
        </row>
        <row r="251">
          <cell r="A251" t="str">
            <v>0260|446000</v>
          </cell>
          <cell r="B251" t="str">
            <v>0260</v>
          </cell>
          <cell r="C251">
            <v>446000</v>
          </cell>
          <cell r="D251">
            <v>41244</v>
          </cell>
          <cell r="E251">
            <v>5096952</v>
          </cell>
          <cell r="F251">
            <v>5096952</v>
          </cell>
          <cell r="G251">
            <v>1992378</v>
          </cell>
          <cell r="H251">
            <v>424746</v>
          </cell>
          <cell r="I251">
            <v>0</v>
          </cell>
        </row>
        <row r="252">
          <cell r="A252" t="str">
            <v>0260|446001</v>
          </cell>
          <cell r="B252" t="str">
            <v>0260</v>
          </cell>
          <cell r="C252">
            <v>446001</v>
          </cell>
          <cell r="D252">
            <v>41244</v>
          </cell>
          <cell r="E252">
            <v>15228528</v>
          </cell>
          <cell r="F252">
            <v>15228528</v>
          </cell>
          <cell r="G252">
            <v>82326143</v>
          </cell>
          <cell r="H252">
            <v>1269044</v>
          </cell>
          <cell r="I252">
            <v>2550000</v>
          </cell>
        </row>
        <row r="253">
          <cell r="A253" t="str">
            <v>0260|447000</v>
          </cell>
          <cell r="B253" t="str">
            <v>0260</v>
          </cell>
          <cell r="C253">
            <v>447000</v>
          </cell>
          <cell r="D253">
            <v>41244</v>
          </cell>
          <cell r="E253">
            <v>1920532</v>
          </cell>
          <cell r="F253">
            <v>1920532</v>
          </cell>
          <cell r="G253">
            <v>737824</v>
          </cell>
          <cell r="H253">
            <v>160044</v>
          </cell>
          <cell r="I253">
            <v>0</v>
          </cell>
        </row>
        <row r="254">
          <cell r="A254" t="str">
            <v>0260|447001</v>
          </cell>
          <cell r="B254" t="str">
            <v>0260</v>
          </cell>
          <cell r="C254">
            <v>447001</v>
          </cell>
          <cell r="D254">
            <v>41244</v>
          </cell>
          <cell r="E254">
            <v>15686896</v>
          </cell>
          <cell r="F254">
            <v>15686896</v>
          </cell>
          <cell r="G254">
            <v>15428500</v>
          </cell>
          <cell r="H254">
            <v>1307241</v>
          </cell>
          <cell r="I254">
            <v>1316194</v>
          </cell>
        </row>
        <row r="255">
          <cell r="A255" t="str">
            <v>0260|447003</v>
          </cell>
          <cell r="B255" t="str">
            <v>0260</v>
          </cell>
          <cell r="C255">
            <v>447003</v>
          </cell>
          <cell r="D255">
            <v>41244</v>
          </cell>
          <cell r="E255">
            <v>2035512</v>
          </cell>
          <cell r="F255">
            <v>2035512</v>
          </cell>
          <cell r="G255">
            <v>3718264</v>
          </cell>
          <cell r="H255">
            <v>169626</v>
          </cell>
          <cell r="I255">
            <v>298441</v>
          </cell>
        </row>
        <row r="256">
          <cell r="A256" t="str">
            <v>0260|447010</v>
          </cell>
          <cell r="B256" t="str">
            <v>0260</v>
          </cell>
          <cell r="C256">
            <v>447010</v>
          </cell>
          <cell r="D256">
            <v>41244</v>
          </cell>
          <cell r="E256">
            <v>4526094</v>
          </cell>
          <cell r="F256">
            <v>4526094</v>
          </cell>
          <cell r="G256">
            <v>1738820</v>
          </cell>
          <cell r="H256">
            <v>377174</v>
          </cell>
          <cell r="I256">
            <v>0</v>
          </cell>
        </row>
        <row r="257">
          <cell r="A257" t="str">
            <v>0260|447011</v>
          </cell>
          <cell r="B257" t="str">
            <v>0260</v>
          </cell>
          <cell r="C257">
            <v>447011</v>
          </cell>
          <cell r="D257">
            <v>41244</v>
          </cell>
          <cell r="E257">
            <v>36969118</v>
          </cell>
          <cell r="F257">
            <v>36969118</v>
          </cell>
          <cell r="G257">
            <v>36360123</v>
          </cell>
          <cell r="H257">
            <v>3080760</v>
          </cell>
          <cell r="I257">
            <v>3101856</v>
          </cell>
        </row>
        <row r="258">
          <cell r="A258" t="str">
            <v>0260|447013</v>
          </cell>
          <cell r="B258" t="str">
            <v>0260</v>
          </cell>
          <cell r="C258">
            <v>447013</v>
          </cell>
          <cell r="D258">
            <v>41244</v>
          </cell>
          <cell r="E258">
            <v>4797067</v>
          </cell>
          <cell r="F258">
            <v>4797067</v>
          </cell>
          <cell r="G258">
            <v>8762788</v>
          </cell>
          <cell r="H258">
            <v>399756</v>
          </cell>
          <cell r="I258">
            <v>703333</v>
          </cell>
        </row>
        <row r="259">
          <cell r="A259" t="str">
            <v>0260|447020</v>
          </cell>
          <cell r="B259" t="str">
            <v>0260</v>
          </cell>
          <cell r="C259">
            <v>447020</v>
          </cell>
          <cell r="D259">
            <v>41244</v>
          </cell>
          <cell r="E259">
            <v>192053</v>
          </cell>
          <cell r="F259">
            <v>192053</v>
          </cell>
          <cell r="G259">
            <v>36798</v>
          </cell>
          <cell r="H259">
            <v>16004</v>
          </cell>
          <cell r="I259">
            <v>0</v>
          </cell>
        </row>
        <row r="260">
          <cell r="A260" t="str">
            <v>0260|447021</v>
          </cell>
          <cell r="B260" t="str">
            <v>0260</v>
          </cell>
          <cell r="C260">
            <v>447021</v>
          </cell>
          <cell r="D260">
            <v>41244</v>
          </cell>
          <cell r="E260">
            <v>1568690</v>
          </cell>
          <cell r="F260">
            <v>1568690</v>
          </cell>
          <cell r="G260">
            <v>1431994</v>
          </cell>
          <cell r="H260">
            <v>130724</v>
          </cell>
          <cell r="I260">
            <v>94750</v>
          </cell>
        </row>
        <row r="261">
          <cell r="A261" t="str">
            <v>0260|447023</v>
          </cell>
          <cell r="B261" t="str">
            <v>0260</v>
          </cell>
          <cell r="C261">
            <v>447023</v>
          </cell>
          <cell r="D261">
            <v>41244</v>
          </cell>
          <cell r="E261">
            <v>203551</v>
          </cell>
          <cell r="F261">
            <v>203551</v>
          </cell>
          <cell r="G261">
            <v>634800</v>
          </cell>
          <cell r="H261">
            <v>16963</v>
          </cell>
          <cell r="I261">
            <v>52650</v>
          </cell>
        </row>
        <row r="262">
          <cell r="A262" t="str">
            <v>0260|448000</v>
          </cell>
          <cell r="B262" t="str">
            <v>0260</v>
          </cell>
          <cell r="C262">
            <v>448000</v>
          </cell>
          <cell r="D262">
            <v>41244</v>
          </cell>
          <cell r="E262">
            <v>23435740</v>
          </cell>
          <cell r="F262">
            <v>23435740</v>
          </cell>
          <cell r="G262">
            <v>4216950</v>
          </cell>
          <cell r="H262">
            <v>1952978</v>
          </cell>
          <cell r="I262">
            <v>0</v>
          </cell>
        </row>
        <row r="263">
          <cell r="A263" t="str">
            <v>0260|448001</v>
          </cell>
          <cell r="B263" t="str">
            <v>0260</v>
          </cell>
          <cell r="C263">
            <v>448001</v>
          </cell>
          <cell r="D263">
            <v>41244</v>
          </cell>
          <cell r="E263">
            <v>161904698</v>
          </cell>
          <cell r="F263">
            <v>161904698</v>
          </cell>
          <cell r="G263">
            <v>77000348</v>
          </cell>
          <cell r="H263">
            <v>13492058</v>
          </cell>
          <cell r="I263">
            <v>3338500</v>
          </cell>
        </row>
        <row r="264">
          <cell r="A264" t="str">
            <v>0260|448002</v>
          </cell>
          <cell r="B264" t="str">
            <v>0260</v>
          </cell>
          <cell r="C264">
            <v>448002</v>
          </cell>
          <cell r="D264">
            <v>41244</v>
          </cell>
          <cell r="E264">
            <v>0</v>
          </cell>
          <cell r="F264">
            <v>0</v>
          </cell>
          <cell r="G264">
            <v>380000</v>
          </cell>
          <cell r="H264">
            <v>0</v>
          </cell>
          <cell r="I264">
            <v>0</v>
          </cell>
        </row>
        <row r="265">
          <cell r="A265" t="str">
            <v>0260|448003</v>
          </cell>
          <cell r="B265" t="str">
            <v>0260</v>
          </cell>
          <cell r="C265">
            <v>448003</v>
          </cell>
          <cell r="D265">
            <v>41244</v>
          </cell>
          <cell r="E265">
            <v>19610005</v>
          </cell>
          <cell r="F265">
            <v>19610005</v>
          </cell>
          <cell r="G265">
            <v>1891700</v>
          </cell>
          <cell r="H265">
            <v>1634167</v>
          </cell>
          <cell r="I265">
            <v>0</v>
          </cell>
        </row>
        <row r="266">
          <cell r="A266" t="str">
            <v>0260|449004</v>
          </cell>
          <cell r="B266" t="str">
            <v>0260</v>
          </cell>
          <cell r="C266">
            <v>449004</v>
          </cell>
          <cell r="D266">
            <v>41244</v>
          </cell>
          <cell r="E266">
            <v>1000000</v>
          </cell>
          <cell r="F266">
            <v>1000000</v>
          </cell>
          <cell r="G266">
            <v>0</v>
          </cell>
          <cell r="H266">
            <v>83333</v>
          </cell>
          <cell r="I266">
            <v>0</v>
          </cell>
        </row>
        <row r="267">
          <cell r="A267" t="str">
            <v>0260|449020</v>
          </cell>
          <cell r="B267" t="str">
            <v>0260</v>
          </cell>
          <cell r="C267">
            <v>449020</v>
          </cell>
          <cell r="D267">
            <v>41244</v>
          </cell>
          <cell r="E267">
            <v>11880000</v>
          </cell>
          <cell r="F267">
            <v>11880000</v>
          </cell>
          <cell r="G267">
            <v>3795000</v>
          </cell>
          <cell r="H267">
            <v>990000</v>
          </cell>
          <cell r="I267">
            <v>0</v>
          </cell>
        </row>
        <row r="268">
          <cell r="A268" t="str">
            <v>0260|449023</v>
          </cell>
          <cell r="B268" t="str">
            <v>0260</v>
          </cell>
          <cell r="C268">
            <v>449023</v>
          </cell>
          <cell r="D268">
            <v>41244</v>
          </cell>
          <cell r="E268">
            <v>33450000</v>
          </cell>
          <cell r="F268">
            <v>33450000</v>
          </cell>
          <cell r="G268">
            <v>32067288</v>
          </cell>
          <cell r="H268">
            <v>2787500</v>
          </cell>
          <cell r="I268">
            <v>2623600</v>
          </cell>
        </row>
        <row r="269">
          <cell r="A269" t="str">
            <v>0260|449025</v>
          </cell>
          <cell r="B269" t="str">
            <v>0260</v>
          </cell>
          <cell r="C269">
            <v>449025</v>
          </cell>
          <cell r="D269">
            <v>41244</v>
          </cell>
          <cell r="E269">
            <v>59400000</v>
          </cell>
          <cell r="F269">
            <v>59400000</v>
          </cell>
          <cell r="G269">
            <v>69573500</v>
          </cell>
          <cell r="H269">
            <v>4950000</v>
          </cell>
          <cell r="I269">
            <v>6373500</v>
          </cell>
        </row>
        <row r="270">
          <cell r="A270" t="str">
            <v>0260|449032</v>
          </cell>
          <cell r="B270" t="str">
            <v>0260</v>
          </cell>
          <cell r="C270">
            <v>449032</v>
          </cell>
          <cell r="D270">
            <v>41244</v>
          </cell>
          <cell r="E270">
            <v>47014500</v>
          </cell>
          <cell r="F270">
            <v>47014500</v>
          </cell>
          <cell r="G270">
            <v>36799211</v>
          </cell>
          <cell r="H270">
            <v>3917874</v>
          </cell>
          <cell r="I270">
            <v>0</v>
          </cell>
        </row>
        <row r="271">
          <cell r="A271" t="str">
            <v>0260|449040</v>
          </cell>
          <cell r="B271" t="str">
            <v>0260</v>
          </cell>
          <cell r="C271">
            <v>449040</v>
          </cell>
          <cell r="D271">
            <v>41244</v>
          </cell>
          <cell r="E271">
            <v>2800000</v>
          </cell>
          <cell r="F271">
            <v>2800000</v>
          </cell>
          <cell r="G271">
            <v>650000</v>
          </cell>
          <cell r="H271">
            <v>233333</v>
          </cell>
          <cell r="I271">
            <v>0</v>
          </cell>
        </row>
        <row r="272">
          <cell r="A272" t="str">
            <v>0260|449050</v>
          </cell>
          <cell r="B272" t="str">
            <v>0260</v>
          </cell>
          <cell r="C272">
            <v>449050</v>
          </cell>
          <cell r="D272">
            <v>41244</v>
          </cell>
          <cell r="E272">
            <v>10390000</v>
          </cell>
          <cell r="F272">
            <v>10390000</v>
          </cell>
          <cell r="G272">
            <v>29600004</v>
          </cell>
          <cell r="H272">
            <v>865834</v>
          </cell>
          <cell r="I272">
            <v>2466667</v>
          </cell>
        </row>
        <row r="273">
          <cell r="A273" t="str">
            <v>0260|449060</v>
          </cell>
          <cell r="B273" t="str">
            <v>0260</v>
          </cell>
          <cell r="C273">
            <v>449060</v>
          </cell>
          <cell r="D273">
            <v>41244</v>
          </cell>
          <cell r="E273">
            <v>7000000</v>
          </cell>
          <cell r="F273">
            <v>7000000</v>
          </cell>
          <cell r="G273">
            <v>4002410</v>
          </cell>
          <cell r="H273">
            <v>583333</v>
          </cell>
          <cell r="I273">
            <v>476233</v>
          </cell>
        </row>
        <row r="274">
          <cell r="A274" t="str">
            <v>0260|449061</v>
          </cell>
          <cell r="B274" t="str">
            <v>0260</v>
          </cell>
          <cell r="C274">
            <v>449061</v>
          </cell>
          <cell r="D274">
            <v>41244</v>
          </cell>
          <cell r="E274">
            <v>8138100</v>
          </cell>
          <cell r="F274">
            <v>8138100</v>
          </cell>
          <cell r="G274">
            <v>9320350</v>
          </cell>
          <cell r="H274">
            <v>678175</v>
          </cell>
          <cell r="I274">
            <v>1158300</v>
          </cell>
        </row>
        <row r="275">
          <cell r="A275" t="str">
            <v>0260|451000</v>
          </cell>
          <cell r="B275" t="str">
            <v>0260</v>
          </cell>
          <cell r="C275">
            <v>451000</v>
          </cell>
          <cell r="D275">
            <v>41244</v>
          </cell>
          <cell r="E275">
            <v>10846300</v>
          </cell>
          <cell r="F275">
            <v>10846300</v>
          </cell>
          <cell r="G275">
            <v>9370000</v>
          </cell>
          <cell r="H275">
            <v>903858</v>
          </cell>
          <cell r="I275">
            <v>0</v>
          </cell>
        </row>
        <row r="276">
          <cell r="A276" t="str">
            <v>0260|452000</v>
          </cell>
          <cell r="B276" t="str">
            <v>0260</v>
          </cell>
          <cell r="C276">
            <v>452000</v>
          </cell>
          <cell r="D276">
            <v>41244</v>
          </cell>
          <cell r="E276">
            <v>2500000</v>
          </cell>
          <cell r="F276">
            <v>2500000</v>
          </cell>
          <cell r="G276">
            <v>0</v>
          </cell>
          <cell r="H276">
            <v>208333</v>
          </cell>
          <cell r="I276">
            <v>0</v>
          </cell>
        </row>
        <row r="277">
          <cell r="A277" t="str">
            <v>0260|452001</v>
          </cell>
          <cell r="B277" t="str">
            <v>0260</v>
          </cell>
          <cell r="C277">
            <v>452001</v>
          </cell>
          <cell r="D277">
            <v>41244</v>
          </cell>
          <cell r="E277">
            <v>5500000</v>
          </cell>
          <cell r="F277">
            <v>5500000</v>
          </cell>
          <cell r="G277">
            <v>0</v>
          </cell>
          <cell r="H277">
            <v>458333</v>
          </cell>
          <cell r="I277">
            <v>0</v>
          </cell>
        </row>
        <row r="278">
          <cell r="A278" t="str">
            <v>0260|455000</v>
          </cell>
          <cell r="B278" t="str">
            <v>0260</v>
          </cell>
          <cell r="C278">
            <v>455000</v>
          </cell>
          <cell r="D278">
            <v>41244</v>
          </cell>
          <cell r="E278">
            <v>8500000</v>
          </cell>
          <cell r="F278">
            <v>8500000</v>
          </cell>
          <cell r="G278">
            <v>4508217</v>
          </cell>
          <cell r="H278">
            <v>708333</v>
          </cell>
          <cell r="I278">
            <v>0</v>
          </cell>
        </row>
        <row r="279">
          <cell r="A279" t="str">
            <v>0260|455002</v>
          </cell>
          <cell r="B279" t="str">
            <v>0260</v>
          </cell>
          <cell r="C279">
            <v>455002</v>
          </cell>
          <cell r="D279">
            <v>41244</v>
          </cell>
          <cell r="E279">
            <v>10500000</v>
          </cell>
          <cell r="F279">
            <v>10500000</v>
          </cell>
          <cell r="G279">
            <v>4081754</v>
          </cell>
          <cell r="H279">
            <v>875000</v>
          </cell>
          <cell r="I279">
            <v>0</v>
          </cell>
        </row>
        <row r="280">
          <cell r="A280" t="str">
            <v>0260|459005</v>
          </cell>
          <cell r="B280" t="str">
            <v>0260</v>
          </cell>
          <cell r="C280">
            <v>459005</v>
          </cell>
          <cell r="D280">
            <v>41244</v>
          </cell>
          <cell r="E280">
            <v>500000</v>
          </cell>
          <cell r="F280">
            <v>500000</v>
          </cell>
          <cell r="G280">
            <v>374400</v>
          </cell>
          <cell r="H280">
            <v>41667</v>
          </cell>
          <cell r="I280">
            <v>0</v>
          </cell>
        </row>
        <row r="281">
          <cell r="A281" t="str">
            <v>0260|470101</v>
          </cell>
          <cell r="B281" t="str">
            <v>0260</v>
          </cell>
          <cell r="C281">
            <v>470101</v>
          </cell>
          <cell r="D281">
            <v>41244</v>
          </cell>
          <cell r="E281">
            <v>1362857</v>
          </cell>
          <cell r="F281">
            <v>1362857</v>
          </cell>
          <cell r="G281">
            <v>0</v>
          </cell>
          <cell r="H281">
            <v>113571</v>
          </cell>
          <cell r="I281">
            <v>0</v>
          </cell>
        </row>
        <row r="282">
          <cell r="A282" t="str">
            <v>0260|471000</v>
          </cell>
          <cell r="B282" t="str">
            <v>0260</v>
          </cell>
          <cell r="C282">
            <v>471000</v>
          </cell>
          <cell r="D282">
            <v>41244</v>
          </cell>
          <cell r="E282">
            <v>8021270</v>
          </cell>
          <cell r="F282">
            <v>8021270</v>
          </cell>
          <cell r="G282">
            <v>0</v>
          </cell>
          <cell r="H282">
            <v>668439</v>
          </cell>
          <cell r="I282">
            <v>0</v>
          </cell>
        </row>
        <row r="283">
          <cell r="A283" t="str">
            <v>0260|472000</v>
          </cell>
          <cell r="B283" t="str">
            <v>0260</v>
          </cell>
          <cell r="C283">
            <v>472000</v>
          </cell>
          <cell r="D283">
            <v>41244</v>
          </cell>
          <cell r="E283">
            <v>100000</v>
          </cell>
          <cell r="F283">
            <v>100000</v>
          </cell>
          <cell r="G283">
            <v>0</v>
          </cell>
          <cell r="H283">
            <v>8333</v>
          </cell>
          <cell r="I283">
            <v>0</v>
          </cell>
        </row>
        <row r="284">
          <cell r="A284" t="str">
            <v>0260|473000</v>
          </cell>
          <cell r="B284" t="str">
            <v>0260</v>
          </cell>
          <cell r="C284">
            <v>473000</v>
          </cell>
          <cell r="D284">
            <v>41244</v>
          </cell>
          <cell r="E284">
            <v>38742</v>
          </cell>
          <cell r="F284">
            <v>38742</v>
          </cell>
          <cell r="G284">
            <v>55553</v>
          </cell>
          <cell r="H284">
            <v>3228</v>
          </cell>
          <cell r="I284">
            <v>0</v>
          </cell>
        </row>
        <row r="285">
          <cell r="A285" t="str">
            <v>0260|473120</v>
          </cell>
          <cell r="B285" t="str">
            <v>0260</v>
          </cell>
          <cell r="C285">
            <v>473120</v>
          </cell>
          <cell r="D285">
            <v>41244</v>
          </cell>
          <cell r="E285">
            <v>4046967</v>
          </cell>
          <cell r="F285">
            <v>4046967</v>
          </cell>
          <cell r="G285">
            <v>6032459</v>
          </cell>
          <cell r="H285">
            <v>337247</v>
          </cell>
          <cell r="I285">
            <v>1748566</v>
          </cell>
        </row>
        <row r="286">
          <cell r="A286" t="str">
            <v>0260|474100</v>
          </cell>
          <cell r="B286" t="str">
            <v>0260</v>
          </cell>
          <cell r="C286">
            <v>474100</v>
          </cell>
          <cell r="D286">
            <v>41244</v>
          </cell>
          <cell r="E286">
            <v>32405257</v>
          </cell>
          <cell r="F286">
            <v>32405257</v>
          </cell>
          <cell r="G286">
            <v>30916793</v>
          </cell>
          <cell r="H286">
            <v>2700438</v>
          </cell>
          <cell r="I286">
            <v>0</v>
          </cell>
        </row>
        <row r="287">
          <cell r="A287" t="str">
            <v>0260|475006</v>
          </cell>
          <cell r="B287" t="str">
            <v>0260</v>
          </cell>
          <cell r="C287">
            <v>475006</v>
          </cell>
          <cell r="D287">
            <v>41244</v>
          </cell>
          <cell r="E287">
            <v>2093063</v>
          </cell>
          <cell r="F287">
            <v>2093063</v>
          </cell>
          <cell r="G287">
            <v>2276256</v>
          </cell>
          <cell r="H287">
            <v>174422</v>
          </cell>
          <cell r="I287">
            <v>189688</v>
          </cell>
        </row>
        <row r="288">
          <cell r="A288" t="str">
            <v>0260|476000</v>
          </cell>
          <cell r="B288" t="str">
            <v>0260</v>
          </cell>
          <cell r="C288">
            <v>476000</v>
          </cell>
          <cell r="D288">
            <v>41244</v>
          </cell>
          <cell r="E288">
            <v>117700</v>
          </cell>
          <cell r="F288">
            <v>117700</v>
          </cell>
          <cell r="G288">
            <v>0</v>
          </cell>
          <cell r="H288">
            <v>9808</v>
          </cell>
          <cell r="I288">
            <v>0</v>
          </cell>
        </row>
        <row r="289">
          <cell r="A289" t="str">
            <v>0260|476001</v>
          </cell>
          <cell r="B289" t="str">
            <v>0260</v>
          </cell>
          <cell r="C289">
            <v>476001</v>
          </cell>
          <cell r="D289">
            <v>41244</v>
          </cell>
          <cell r="E289">
            <v>1040000</v>
          </cell>
          <cell r="F289">
            <v>1040000</v>
          </cell>
          <cell r="G289">
            <v>0</v>
          </cell>
          <cell r="H289">
            <v>86667</v>
          </cell>
          <cell r="I289">
            <v>0</v>
          </cell>
        </row>
        <row r="290">
          <cell r="A290" t="str">
            <v>0260|476201</v>
          </cell>
          <cell r="B290" t="str">
            <v>0260</v>
          </cell>
          <cell r="C290">
            <v>476201</v>
          </cell>
          <cell r="D290">
            <v>41244</v>
          </cell>
          <cell r="E290">
            <v>14547500</v>
          </cell>
          <cell r="F290">
            <v>14547500</v>
          </cell>
          <cell r="G290">
            <v>10103540</v>
          </cell>
          <cell r="H290">
            <v>1212292</v>
          </cell>
          <cell r="I290">
            <v>0</v>
          </cell>
        </row>
        <row r="291">
          <cell r="A291" t="str">
            <v>0260|476220</v>
          </cell>
          <cell r="B291" t="str">
            <v>0260</v>
          </cell>
          <cell r="C291">
            <v>476220</v>
          </cell>
          <cell r="D291">
            <v>41244</v>
          </cell>
          <cell r="E291">
            <v>200000</v>
          </cell>
          <cell r="F291">
            <v>200000</v>
          </cell>
          <cell r="G291">
            <v>2236878</v>
          </cell>
          <cell r="H291">
            <v>16667</v>
          </cell>
          <cell r="I291">
            <v>0</v>
          </cell>
        </row>
        <row r="292">
          <cell r="A292" t="str">
            <v>0260|476900</v>
          </cell>
          <cell r="B292" t="str">
            <v>0260</v>
          </cell>
          <cell r="C292">
            <v>476900</v>
          </cell>
          <cell r="D292">
            <v>41244</v>
          </cell>
          <cell r="E292">
            <v>907000</v>
          </cell>
          <cell r="F292">
            <v>907000</v>
          </cell>
          <cell r="G292">
            <v>0</v>
          </cell>
          <cell r="H292">
            <v>75583</v>
          </cell>
          <cell r="I292">
            <v>0</v>
          </cell>
        </row>
        <row r="293">
          <cell r="A293" t="str">
            <v>0310|211100</v>
          </cell>
          <cell r="B293" t="str">
            <v>0310</v>
          </cell>
          <cell r="C293">
            <v>211100</v>
          </cell>
          <cell r="D293">
            <v>41244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</row>
        <row r="294">
          <cell r="A294" t="str">
            <v>0310|211104</v>
          </cell>
          <cell r="B294" t="str">
            <v>0310</v>
          </cell>
          <cell r="C294">
            <v>211104</v>
          </cell>
          <cell r="D294">
            <v>41244</v>
          </cell>
          <cell r="E294">
            <v>754889991</v>
          </cell>
          <cell r="F294">
            <v>754889991</v>
          </cell>
          <cell r="G294">
            <v>593165907</v>
          </cell>
          <cell r="H294">
            <v>62907499</v>
          </cell>
          <cell r="I294">
            <v>52476205</v>
          </cell>
        </row>
        <row r="295">
          <cell r="A295" t="str">
            <v>0310|400040</v>
          </cell>
          <cell r="B295" t="str">
            <v>0310</v>
          </cell>
          <cell r="C295">
            <v>400040</v>
          </cell>
          <cell r="D295">
            <v>41244</v>
          </cell>
          <cell r="E295">
            <v>8000000</v>
          </cell>
          <cell r="F295">
            <v>8000000</v>
          </cell>
          <cell r="G295">
            <v>1858200</v>
          </cell>
          <cell r="H295">
            <v>666667</v>
          </cell>
          <cell r="I295">
            <v>230000</v>
          </cell>
        </row>
        <row r="296">
          <cell r="A296" t="str">
            <v>0310|405200</v>
          </cell>
          <cell r="B296" t="str">
            <v>0310</v>
          </cell>
          <cell r="C296">
            <v>405200</v>
          </cell>
          <cell r="D296">
            <v>41244</v>
          </cell>
          <cell r="E296">
            <v>0</v>
          </cell>
          <cell r="F296">
            <v>0</v>
          </cell>
          <cell r="G296">
            <v>-289517388</v>
          </cell>
          <cell r="H296">
            <v>0</v>
          </cell>
          <cell r="I296">
            <v>0</v>
          </cell>
        </row>
        <row r="297">
          <cell r="A297" t="str">
            <v>0310|405250</v>
          </cell>
          <cell r="B297" t="str">
            <v>0310</v>
          </cell>
          <cell r="C297">
            <v>405250</v>
          </cell>
          <cell r="D297">
            <v>41244</v>
          </cell>
          <cell r="E297">
            <v>0</v>
          </cell>
          <cell r="F297">
            <v>0</v>
          </cell>
          <cell r="G297">
            <v>1059235190</v>
          </cell>
          <cell r="H297">
            <v>0</v>
          </cell>
          <cell r="I297">
            <v>10350559</v>
          </cell>
        </row>
        <row r="298">
          <cell r="A298" t="str">
            <v>0310|405251</v>
          </cell>
          <cell r="B298" t="str">
            <v>0310</v>
          </cell>
          <cell r="C298">
            <v>405251</v>
          </cell>
          <cell r="D298">
            <v>41244</v>
          </cell>
          <cell r="E298">
            <v>11000000</v>
          </cell>
          <cell r="F298">
            <v>11000000</v>
          </cell>
          <cell r="G298">
            <v>0</v>
          </cell>
          <cell r="H298">
            <v>916667</v>
          </cell>
          <cell r="I298">
            <v>0</v>
          </cell>
        </row>
        <row r="299">
          <cell r="A299" t="str">
            <v>0310|406000</v>
          </cell>
          <cell r="B299" t="str">
            <v>0310</v>
          </cell>
          <cell r="C299">
            <v>406000</v>
          </cell>
          <cell r="D299">
            <v>41244</v>
          </cell>
          <cell r="E299">
            <v>0</v>
          </cell>
          <cell r="F299">
            <v>0</v>
          </cell>
          <cell r="G299">
            <v>116640000</v>
          </cell>
          <cell r="H299">
            <v>0</v>
          </cell>
          <cell r="I299">
            <v>0</v>
          </cell>
        </row>
        <row r="300">
          <cell r="A300" t="str">
            <v>0310|420000</v>
          </cell>
          <cell r="B300" t="str">
            <v>0310</v>
          </cell>
          <cell r="C300">
            <v>420000</v>
          </cell>
          <cell r="D300">
            <v>41244</v>
          </cell>
          <cell r="E300">
            <v>602862937</v>
          </cell>
          <cell r="F300">
            <v>602862937</v>
          </cell>
          <cell r="G300">
            <v>743304498</v>
          </cell>
          <cell r="H300">
            <v>50238578</v>
          </cell>
          <cell r="I300">
            <v>59690828</v>
          </cell>
        </row>
        <row r="301">
          <cell r="A301" t="str">
            <v>0310|420003</v>
          </cell>
          <cell r="B301" t="str">
            <v>0310</v>
          </cell>
          <cell r="C301">
            <v>420003</v>
          </cell>
          <cell r="D301">
            <v>41244</v>
          </cell>
          <cell r="E301">
            <v>231101892</v>
          </cell>
          <cell r="F301">
            <v>231101892</v>
          </cell>
          <cell r="G301">
            <v>227687156</v>
          </cell>
          <cell r="H301">
            <v>19258491</v>
          </cell>
          <cell r="I301">
            <v>19094022</v>
          </cell>
        </row>
        <row r="302">
          <cell r="A302" t="str">
            <v>0310|422000</v>
          </cell>
          <cell r="B302" t="str">
            <v>0310</v>
          </cell>
          <cell r="C302">
            <v>422000</v>
          </cell>
          <cell r="D302">
            <v>41244</v>
          </cell>
          <cell r="E302">
            <v>0</v>
          </cell>
          <cell r="F302">
            <v>0</v>
          </cell>
          <cell r="G302">
            <v>493650</v>
          </cell>
          <cell r="H302">
            <v>0</v>
          </cell>
          <cell r="I302">
            <v>0</v>
          </cell>
        </row>
        <row r="303">
          <cell r="A303" t="str">
            <v>0310|431000</v>
          </cell>
          <cell r="B303" t="str">
            <v>0310</v>
          </cell>
          <cell r="C303">
            <v>431000</v>
          </cell>
          <cell r="D303">
            <v>41244</v>
          </cell>
          <cell r="E303">
            <v>2500000</v>
          </cell>
          <cell r="F303">
            <v>2500000</v>
          </cell>
          <cell r="G303">
            <v>31009714</v>
          </cell>
          <cell r="H303">
            <v>208333</v>
          </cell>
          <cell r="I303">
            <v>5175248</v>
          </cell>
        </row>
        <row r="304">
          <cell r="A304" t="str">
            <v>0310|431001</v>
          </cell>
          <cell r="B304" t="str">
            <v>0310</v>
          </cell>
          <cell r="C304">
            <v>431001</v>
          </cell>
          <cell r="D304">
            <v>41244</v>
          </cell>
          <cell r="E304">
            <v>0</v>
          </cell>
          <cell r="F304">
            <v>0</v>
          </cell>
          <cell r="G304">
            <v>887104</v>
          </cell>
          <cell r="H304">
            <v>0</v>
          </cell>
          <cell r="I304">
            <v>0</v>
          </cell>
        </row>
        <row r="305">
          <cell r="A305" t="str">
            <v>0310|431002</v>
          </cell>
          <cell r="B305" t="str">
            <v>0310</v>
          </cell>
          <cell r="C305">
            <v>431002</v>
          </cell>
          <cell r="D305">
            <v>41244</v>
          </cell>
          <cell r="E305">
            <v>924000</v>
          </cell>
          <cell r="F305">
            <v>924000</v>
          </cell>
          <cell r="G305">
            <v>0</v>
          </cell>
          <cell r="H305">
            <v>77000</v>
          </cell>
          <cell r="I305">
            <v>0</v>
          </cell>
        </row>
        <row r="306">
          <cell r="A306" t="str">
            <v>0310|434010</v>
          </cell>
          <cell r="B306" t="str">
            <v>0310</v>
          </cell>
          <cell r="C306">
            <v>434010</v>
          </cell>
          <cell r="D306">
            <v>41244</v>
          </cell>
          <cell r="E306">
            <v>32162250</v>
          </cell>
          <cell r="F306">
            <v>32162250</v>
          </cell>
          <cell r="G306">
            <v>18046083</v>
          </cell>
          <cell r="H306">
            <v>2680187</v>
          </cell>
          <cell r="I306">
            <v>2462871</v>
          </cell>
        </row>
        <row r="307">
          <cell r="A307" t="str">
            <v>0310|434013</v>
          </cell>
          <cell r="B307" t="str">
            <v>0310</v>
          </cell>
          <cell r="C307">
            <v>434013</v>
          </cell>
          <cell r="D307">
            <v>41244</v>
          </cell>
          <cell r="E307">
            <v>21475500</v>
          </cell>
          <cell r="F307">
            <v>21475500</v>
          </cell>
          <cell r="G307">
            <v>17429519</v>
          </cell>
          <cell r="H307">
            <v>1789625</v>
          </cell>
          <cell r="I307">
            <v>1366596</v>
          </cell>
        </row>
        <row r="308">
          <cell r="A308" t="str">
            <v>0310|435000</v>
          </cell>
          <cell r="B308" t="str">
            <v>0310</v>
          </cell>
          <cell r="C308">
            <v>435000</v>
          </cell>
          <cell r="D308">
            <v>41244</v>
          </cell>
          <cell r="E308">
            <v>66444886</v>
          </cell>
          <cell r="F308">
            <v>66444886</v>
          </cell>
          <cell r="G308">
            <v>101599338</v>
          </cell>
          <cell r="H308">
            <v>5537074</v>
          </cell>
          <cell r="I308">
            <v>51054183</v>
          </cell>
        </row>
        <row r="309">
          <cell r="A309" t="str">
            <v>0310|435003</v>
          </cell>
          <cell r="B309" t="str">
            <v>0310</v>
          </cell>
          <cell r="C309">
            <v>435003</v>
          </cell>
          <cell r="D309">
            <v>41244</v>
          </cell>
          <cell r="E309">
            <v>28887737</v>
          </cell>
          <cell r="F309">
            <v>28887737</v>
          </cell>
          <cell r="G309">
            <v>23634018</v>
          </cell>
          <cell r="H309">
            <v>2407311</v>
          </cell>
          <cell r="I309">
            <v>0</v>
          </cell>
        </row>
        <row r="310">
          <cell r="A310" t="str">
            <v>0310|439000</v>
          </cell>
          <cell r="B310" t="str">
            <v>0310</v>
          </cell>
          <cell r="C310">
            <v>439000</v>
          </cell>
          <cell r="D310">
            <v>41244</v>
          </cell>
          <cell r="E310">
            <v>181273617</v>
          </cell>
          <cell r="F310">
            <v>181273617</v>
          </cell>
          <cell r="G310">
            <v>120444275</v>
          </cell>
          <cell r="H310">
            <v>15106135</v>
          </cell>
          <cell r="I310">
            <v>0</v>
          </cell>
        </row>
        <row r="311">
          <cell r="A311" t="str">
            <v>0310|439003</v>
          </cell>
          <cell r="B311" t="str">
            <v>0310</v>
          </cell>
          <cell r="C311">
            <v>439003</v>
          </cell>
          <cell r="D311">
            <v>41244</v>
          </cell>
          <cell r="E311">
            <v>44055634</v>
          </cell>
          <cell r="F311">
            <v>44055634</v>
          </cell>
          <cell r="G311">
            <v>67228313</v>
          </cell>
          <cell r="H311">
            <v>3671303</v>
          </cell>
          <cell r="I311">
            <v>8296600</v>
          </cell>
        </row>
        <row r="312">
          <cell r="A312" t="str">
            <v>0310|439200</v>
          </cell>
          <cell r="B312" t="str">
            <v>0310</v>
          </cell>
          <cell r="C312">
            <v>439200</v>
          </cell>
          <cell r="D312">
            <v>41244</v>
          </cell>
          <cell r="E312">
            <v>34286</v>
          </cell>
          <cell r="F312">
            <v>34286</v>
          </cell>
          <cell r="G312">
            <v>2693000</v>
          </cell>
          <cell r="H312">
            <v>2857</v>
          </cell>
          <cell r="I312">
            <v>0</v>
          </cell>
        </row>
        <row r="313">
          <cell r="A313" t="str">
            <v>0310|440000</v>
          </cell>
          <cell r="B313" t="str">
            <v>0310</v>
          </cell>
          <cell r="C313">
            <v>440000</v>
          </cell>
          <cell r="D313">
            <v>41244</v>
          </cell>
          <cell r="E313">
            <v>66444886</v>
          </cell>
          <cell r="F313">
            <v>66444886</v>
          </cell>
          <cell r="G313">
            <v>61903094</v>
          </cell>
          <cell r="H313">
            <v>5537074</v>
          </cell>
          <cell r="I313">
            <v>4348473</v>
          </cell>
        </row>
        <row r="314">
          <cell r="A314" t="str">
            <v>0310|440003</v>
          </cell>
          <cell r="B314" t="str">
            <v>0310</v>
          </cell>
          <cell r="C314">
            <v>440003</v>
          </cell>
          <cell r="D314">
            <v>41244</v>
          </cell>
          <cell r="E314">
            <v>19258491</v>
          </cell>
          <cell r="F314">
            <v>19258491</v>
          </cell>
          <cell r="G314">
            <v>16378493</v>
          </cell>
          <cell r="H314">
            <v>1604874</v>
          </cell>
          <cell r="I314">
            <v>1764098</v>
          </cell>
        </row>
        <row r="315">
          <cell r="A315" t="str">
            <v>0310|446000</v>
          </cell>
          <cell r="B315" t="str">
            <v>0310</v>
          </cell>
          <cell r="C315">
            <v>446000</v>
          </cell>
          <cell r="D315">
            <v>41244</v>
          </cell>
          <cell r="E315">
            <v>0</v>
          </cell>
          <cell r="F315">
            <v>0</v>
          </cell>
          <cell r="G315">
            <v>15210433</v>
          </cell>
          <cell r="H315">
            <v>0</v>
          </cell>
          <cell r="I315">
            <v>1700000</v>
          </cell>
        </row>
        <row r="316">
          <cell r="A316" t="str">
            <v>0310|447000</v>
          </cell>
          <cell r="B316" t="str">
            <v>0310</v>
          </cell>
          <cell r="C316">
            <v>447000</v>
          </cell>
          <cell r="D316">
            <v>41244</v>
          </cell>
          <cell r="E316">
            <v>8705225</v>
          </cell>
          <cell r="F316">
            <v>8705225</v>
          </cell>
          <cell r="G316">
            <v>11599728</v>
          </cell>
          <cell r="H316">
            <v>725435</v>
          </cell>
          <cell r="I316">
            <v>945890</v>
          </cell>
        </row>
        <row r="317">
          <cell r="A317" t="str">
            <v>0310|447003</v>
          </cell>
          <cell r="B317" t="str">
            <v>0310</v>
          </cell>
          <cell r="C317">
            <v>447003</v>
          </cell>
          <cell r="D317">
            <v>41244</v>
          </cell>
          <cell r="E317">
            <v>2035512</v>
          </cell>
          <cell r="F317">
            <v>2035512</v>
          </cell>
          <cell r="G317">
            <v>2960616</v>
          </cell>
          <cell r="H317">
            <v>169626</v>
          </cell>
          <cell r="I317">
            <v>248908</v>
          </cell>
        </row>
        <row r="318">
          <cell r="A318" t="str">
            <v>0310|447010</v>
          </cell>
          <cell r="B318" t="str">
            <v>0310</v>
          </cell>
          <cell r="C318">
            <v>447010</v>
          </cell>
          <cell r="D318">
            <v>41244</v>
          </cell>
          <cell r="E318">
            <v>20515499</v>
          </cell>
          <cell r="F318">
            <v>20515499</v>
          </cell>
          <cell r="G318">
            <v>27336945</v>
          </cell>
          <cell r="H318">
            <v>1709625</v>
          </cell>
          <cell r="I318">
            <v>2229168</v>
          </cell>
        </row>
        <row r="319">
          <cell r="A319" t="str">
            <v>0310|447013</v>
          </cell>
          <cell r="B319" t="str">
            <v>0310</v>
          </cell>
          <cell r="C319">
            <v>447013</v>
          </cell>
          <cell r="D319">
            <v>41244</v>
          </cell>
          <cell r="E319">
            <v>4797067</v>
          </cell>
          <cell r="F319">
            <v>4797067</v>
          </cell>
          <cell r="G319">
            <v>6977238</v>
          </cell>
          <cell r="H319">
            <v>399756</v>
          </cell>
          <cell r="I319">
            <v>586598</v>
          </cell>
        </row>
        <row r="320">
          <cell r="A320" t="str">
            <v>0310|447020</v>
          </cell>
          <cell r="B320" t="str">
            <v>0310</v>
          </cell>
          <cell r="C320">
            <v>447020</v>
          </cell>
          <cell r="D320">
            <v>41244</v>
          </cell>
          <cell r="E320">
            <v>870523</v>
          </cell>
          <cell r="F320">
            <v>870523</v>
          </cell>
          <cell r="G320">
            <v>1379686</v>
          </cell>
          <cell r="H320">
            <v>72544</v>
          </cell>
          <cell r="I320">
            <v>82200</v>
          </cell>
        </row>
        <row r="321">
          <cell r="A321" t="str">
            <v>0310|447023</v>
          </cell>
          <cell r="B321" t="str">
            <v>0310</v>
          </cell>
          <cell r="C321">
            <v>447023</v>
          </cell>
          <cell r="D321">
            <v>41244</v>
          </cell>
          <cell r="E321">
            <v>203551</v>
          </cell>
          <cell r="F321">
            <v>203551</v>
          </cell>
          <cell r="G321">
            <v>522550</v>
          </cell>
          <cell r="H321">
            <v>16963</v>
          </cell>
          <cell r="I321">
            <v>43950</v>
          </cell>
        </row>
        <row r="322">
          <cell r="A322" t="str">
            <v>0310|448000</v>
          </cell>
          <cell r="B322" t="str">
            <v>0310</v>
          </cell>
          <cell r="C322">
            <v>448000</v>
          </cell>
          <cell r="D322">
            <v>41244</v>
          </cell>
          <cell r="E322">
            <v>83090089</v>
          </cell>
          <cell r="F322">
            <v>83090089</v>
          </cell>
          <cell r="G322">
            <v>26346500</v>
          </cell>
          <cell r="H322">
            <v>6924174</v>
          </cell>
          <cell r="I322">
            <v>2480400</v>
          </cell>
        </row>
        <row r="323">
          <cell r="A323" t="str">
            <v>0310|448001</v>
          </cell>
          <cell r="B323" t="str">
            <v>0310</v>
          </cell>
          <cell r="C323">
            <v>448001</v>
          </cell>
          <cell r="D323">
            <v>41244</v>
          </cell>
          <cell r="E323">
            <v>0</v>
          </cell>
          <cell r="F323">
            <v>0</v>
          </cell>
          <cell r="G323">
            <v>80990245</v>
          </cell>
          <cell r="H323">
            <v>0</v>
          </cell>
          <cell r="I323">
            <v>0</v>
          </cell>
        </row>
        <row r="324">
          <cell r="A324" t="str">
            <v>0310|448002</v>
          </cell>
          <cell r="B324" t="str">
            <v>0310</v>
          </cell>
          <cell r="C324">
            <v>448002</v>
          </cell>
          <cell r="D324">
            <v>41244</v>
          </cell>
          <cell r="E324">
            <v>0</v>
          </cell>
          <cell r="F324">
            <v>0</v>
          </cell>
          <cell r="G324">
            <v>20379800</v>
          </cell>
          <cell r="H324">
            <v>0</v>
          </cell>
          <cell r="I324">
            <v>0</v>
          </cell>
        </row>
        <row r="325">
          <cell r="A325" t="str">
            <v>0310|448003</v>
          </cell>
          <cell r="B325" t="str">
            <v>0310</v>
          </cell>
          <cell r="C325">
            <v>448003</v>
          </cell>
          <cell r="D325">
            <v>41244</v>
          </cell>
          <cell r="E325">
            <v>19610005</v>
          </cell>
          <cell r="F325">
            <v>19610005</v>
          </cell>
          <cell r="G325">
            <v>11057390</v>
          </cell>
          <cell r="H325">
            <v>1634167</v>
          </cell>
          <cell r="I325">
            <v>0</v>
          </cell>
        </row>
        <row r="326">
          <cell r="A326" t="str">
            <v>0310|449020</v>
          </cell>
          <cell r="B326" t="str">
            <v>0310</v>
          </cell>
          <cell r="C326">
            <v>449020</v>
          </cell>
          <cell r="D326">
            <v>41244</v>
          </cell>
          <cell r="E326">
            <v>23760000</v>
          </cell>
          <cell r="F326">
            <v>23760000</v>
          </cell>
          <cell r="G326">
            <v>47798000</v>
          </cell>
          <cell r="H326">
            <v>1980000</v>
          </cell>
          <cell r="I326">
            <v>5144500</v>
          </cell>
        </row>
        <row r="327">
          <cell r="A327" t="str">
            <v>0310|449023</v>
          </cell>
          <cell r="B327" t="str">
            <v>0310</v>
          </cell>
          <cell r="C327">
            <v>449023</v>
          </cell>
          <cell r="D327">
            <v>41244</v>
          </cell>
          <cell r="E327">
            <v>33450000</v>
          </cell>
          <cell r="F327">
            <v>33450000</v>
          </cell>
          <cell r="G327">
            <v>31482263</v>
          </cell>
          <cell r="H327">
            <v>2787500</v>
          </cell>
          <cell r="I327">
            <v>2623450</v>
          </cell>
        </row>
        <row r="328">
          <cell r="A328" t="str">
            <v>0310|449032</v>
          </cell>
          <cell r="B328" t="str">
            <v>0310</v>
          </cell>
          <cell r="C328">
            <v>449032</v>
          </cell>
          <cell r="D328">
            <v>41244</v>
          </cell>
          <cell r="E328">
            <v>7386541</v>
          </cell>
          <cell r="F328">
            <v>7386541</v>
          </cell>
          <cell r="G328">
            <v>5436000</v>
          </cell>
          <cell r="H328">
            <v>615545</v>
          </cell>
          <cell r="I328">
            <v>0</v>
          </cell>
        </row>
        <row r="329">
          <cell r="A329" t="str">
            <v>0310|449040</v>
          </cell>
          <cell r="B329" t="str">
            <v>0310</v>
          </cell>
          <cell r="C329">
            <v>449040</v>
          </cell>
          <cell r="D329">
            <v>41244</v>
          </cell>
          <cell r="E329">
            <v>0</v>
          </cell>
          <cell r="F329">
            <v>0</v>
          </cell>
          <cell r="G329">
            <v>6085000</v>
          </cell>
          <cell r="H329">
            <v>0</v>
          </cell>
          <cell r="I329">
            <v>0</v>
          </cell>
        </row>
        <row r="330">
          <cell r="A330" t="str">
            <v>0310|449050</v>
          </cell>
          <cell r="B330" t="str">
            <v>0310</v>
          </cell>
          <cell r="C330">
            <v>449050</v>
          </cell>
          <cell r="D330">
            <v>41244</v>
          </cell>
          <cell r="E330">
            <v>28076000</v>
          </cell>
          <cell r="F330">
            <v>28076000</v>
          </cell>
          <cell r="G330">
            <v>29576004</v>
          </cell>
          <cell r="H330">
            <v>2339667</v>
          </cell>
          <cell r="I330">
            <v>2464667</v>
          </cell>
        </row>
        <row r="331">
          <cell r="A331" t="str">
            <v>0310|449060</v>
          </cell>
          <cell r="B331" t="str">
            <v>0310</v>
          </cell>
          <cell r="C331">
            <v>449060</v>
          </cell>
          <cell r="D331">
            <v>41244</v>
          </cell>
          <cell r="E331">
            <v>16500000</v>
          </cell>
          <cell r="F331">
            <v>16500000</v>
          </cell>
          <cell r="G331">
            <v>1359515</v>
          </cell>
          <cell r="H331">
            <v>1375000</v>
          </cell>
          <cell r="I331">
            <v>493312</v>
          </cell>
        </row>
        <row r="332">
          <cell r="A332" t="str">
            <v>0310|449061</v>
          </cell>
          <cell r="B332" t="str">
            <v>0310</v>
          </cell>
          <cell r="C332">
            <v>449061</v>
          </cell>
          <cell r="D332">
            <v>41244</v>
          </cell>
          <cell r="E332">
            <v>920500</v>
          </cell>
          <cell r="F332">
            <v>920500</v>
          </cell>
          <cell r="G332">
            <v>555000</v>
          </cell>
          <cell r="H332">
            <v>76708</v>
          </cell>
          <cell r="I332">
            <v>0</v>
          </cell>
        </row>
        <row r="333">
          <cell r="A333" t="str">
            <v>0310|451000</v>
          </cell>
          <cell r="B333" t="str">
            <v>0310</v>
          </cell>
          <cell r="C333">
            <v>451000</v>
          </cell>
          <cell r="D333">
            <v>41244</v>
          </cell>
          <cell r="E333">
            <v>532300</v>
          </cell>
          <cell r="F333">
            <v>532300</v>
          </cell>
          <cell r="G333">
            <v>0</v>
          </cell>
          <cell r="H333">
            <v>44358</v>
          </cell>
          <cell r="I333">
            <v>0</v>
          </cell>
        </row>
        <row r="334">
          <cell r="A334" t="str">
            <v>0310|455000</v>
          </cell>
          <cell r="B334" t="str">
            <v>0310</v>
          </cell>
          <cell r="C334">
            <v>455000</v>
          </cell>
          <cell r="D334">
            <v>41244</v>
          </cell>
          <cell r="E334">
            <v>30000000</v>
          </cell>
          <cell r="F334">
            <v>30000000</v>
          </cell>
          <cell r="G334">
            <v>1721640</v>
          </cell>
          <cell r="H334">
            <v>2500000</v>
          </cell>
          <cell r="I334">
            <v>0</v>
          </cell>
        </row>
        <row r="335">
          <cell r="A335" t="str">
            <v>0310|455001</v>
          </cell>
          <cell r="B335" t="str">
            <v>0310</v>
          </cell>
          <cell r="C335">
            <v>455001</v>
          </cell>
          <cell r="D335">
            <v>41244</v>
          </cell>
          <cell r="E335">
            <v>3000000</v>
          </cell>
          <cell r="F335">
            <v>3000000</v>
          </cell>
          <cell r="G335">
            <v>0</v>
          </cell>
          <cell r="H335">
            <v>250000</v>
          </cell>
          <cell r="I335">
            <v>0</v>
          </cell>
        </row>
        <row r="336">
          <cell r="A336" t="str">
            <v>0310|455002</v>
          </cell>
          <cell r="B336" t="str">
            <v>0310</v>
          </cell>
          <cell r="C336">
            <v>455002</v>
          </cell>
          <cell r="D336">
            <v>41244</v>
          </cell>
          <cell r="E336">
            <v>1000000</v>
          </cell>
          <cell r="F336">
            <v>1000000</v>
          </cell>
          <cell r="G336">
            <v>1096950</v>
          </cell>
          <cell r="H336">
            <v>83333</v>
          </cell>
          <cell r="I336">
            <v>0</v>
          </cell>
        </row>
        <row r="337">
          <cell r="A337" t="str">
            <v>0310|459000</v>
          </cell>
          <cell r="B337" t="str">
            <v>0310</v>
          </cell>
          <cell r="C337">
            <v>459000</v>
          </cell>
          <cell r="D337">
            <v>41244</v>
          </cell>
          <cell r="E337">
            <v>1900000</v>
          </cell>
          <cell r="F337">
            <v>1900000</v>
          </cell>
          <cell r="G337">
            <v>1650000</v>
          </cell>
          <cell r="H337">
            <v>158333</v>
          </cell>
          <cell r="I337">
            <v>0</v>
          </cell>
        </row>
        <row r="338">
          <cell r="A338" t="str">
            <v>0310|470102</v>
          </cell>
          <cell r="B338" t="str">
            <v>0310</v>
          </cell>
          <cell r="C338">
            <v>470102</v>
          </cell>
          <cell r="D338">
            <v>41244</v>
          </cell>
          <cell r="E338">
            <v>11226571</v>
          </cell>
          <cell r="F338">
            <v>11226571</v>
          </cell>
          <cell r="G338">
            <v>7622341</v>
          </cell>
          <cell r="H338">
            <v>935545</v>
          </cell>
          <cell r="I338">
            <v>1629940</v>
          </cell>
        </row>
        <row r="339">
          <cell r="A339" t="str">
            <v>0310|471000</v>
          </cell>
          <cell r="B339" t="str">
            <v>0310</v>
          </cell>
          <cell r="C339">
            <v>471000</v>
          </cell>
          <cell r="D339">
            <v>41244</v>
          </cell>
          <cell r="E339">
            <v>5122065</v>
          </cell>
          <cell r="F339">
            <v>5122065</v>
          </cell>
          <cell r="G339">
            <v>5538420</v>
          </cell>
          <cell r="H339">
            <v>426839</v>
          </cell>
          <cell r="I339">
            <v>1620020</v>
          </cell>
        </row>
        <row r="340">
          <cell r="A340" t="str">
            <v>0310|472000</v>
          </cell>
          <cell r="B340" t="str">
            <v>0310</v>
          </cell>
          <cell r="C340">
            <v>472000</v>
          </cell>
          <cell r="D340">
            <v>41244</v>
          </cell>
          <cell r="E340">
            <v>800000</v>
          </cell>
          <cell r="F340">
            <v>800000</v>
          </cell>
          <cell r="G340">
            <v>0</v>
          </cell>
          <cell r="H340">
            <v>66667</v>
          </cell>
          <cell r="I340">
            <v>0</v>
          </cell>
        </row>
        <row r="341">
          <cell r="A341" t="str">
            <v>0310|473000</v>
          </cell>
          <cell r="B341" t="str">
            <v>0310</v>
          </cell>
          <cell r="C341">
            <v>473000</v>
          </cell>
          <cell r="D341">
            <v>41244</v>
          </cell>
          <cell r="E341">
            <v>521383</v>
          </cell>
          <cell r="F341">
            <v>521383</v>
          </cell>
          <cell r="G341">
            <v>0</v>
          </cell>
          <cell r="H341">
            <v>43449</v>
          </cell>
          <cell r="I341">
            <v>0</v>
          </cell>
        </row>
        <row r="342">
          <cell r="A342" t="str">
            <v>0310|473120</v>
          </cell>
          <cell r="B342" t="str">
            <v>0310</v>
          </cell>
          <cell r="C342">
            <v>473120</v>
          </cell>
          <cell r="D342">
            <v>41244</v>
          </cell>
          <cell r="E342">
            <v>8561616</v>
          </cell>
          <cell r="F342">
            <v>8561616</v>
          </cell>
          <cell r="G342">
            <v>9363029</v>
          </cell>
          <cell r="H342">
            <v>713468</v>
          </cell>
          <cell r="I342">
            <v>767691</v>
          </cell>
        </row>
        <row r="343">
          <cell r="A343" t="str">
            <v>0310|475006</v>
          </cell>
          <cell r="B343" t="str">
            <v>0310</v>
          </cell>
          <cell r="C343">
            <v>475006</v>
          </cell>
          <cell r="D343">
            <v>41244</v>
          </cell>
          <cell r="E343">
            <v>2140763</v>
          </cell>
          <cell r="F343">
            <v>2140763</v>
          </cell>
          <cell r="G343">
            <v>2276256</v>
          </cell>
          <cell r="H343">
            <v>178397</v>
          </cell>
          <cell r="I343">
            <v>189688</v>
          </cell>
        </row>
        <row r="344">
          <cell r="A344" t="str">
            <v>0310|476000</v>
          </cell>
          <cell r="B344" t="str">
            <v>0310</v>
          </cell>
          <cell r="C344">
            <v>476000</v>
          </cell>
          <cell r="D344">
            <v>41244</v>
          </cell>
          <cell r="E344">
            <v>18302800</v>
          </cell>
          <cell r="F344">
            <v>18302800</v>
          </cell>
          <cell r="G344">
            <v>16313839</v>
          </cell>
          <cell r="H344">
            <v>1525233</v>
          </cell>
          <cell r="I344">
            <v>3223400</v>
          </cell>
        </row>
        <row r="345">
          <cell r="A345" t="str">
            <v>0310|476001</v>
          </cell>
          <cell r="B345" t="str">
            <v>0310</v>
          </cell>
          <cell r="C345">
            <v>476001</v>
          </cell>
          <cell r="D345">
            <v>41244</v>
          </cell>
          <cell r="E345">
            <v>9840000</v>
          </cell>
          <cell r="F345">
            <v>9840000</v>
          </cell>
          <cell r="G345">
            <v>7730500</v>
          </cell>
          <cell r="H345">
            <v>820000</v>
          </cell>
          <cell r="I345">
            <v>0</v>
          </cell>
        </row>
        <row r="346">
          <cell r="A346" t="str">
            <v>0340|211100</v>
          </cell>
          <cell r="B346" t="str">
            <v>0340</v>
          </cell>
          <cell r="C346">
            <v>211100</v>
          </cell>
          <cell r="D346">
            <v>41244</v>
          </cell>
          <cell r="E346">
            <v>7489047</v>
          </cell>
          <cell r="F346">
            <v>7489047</v>
          </cell>
          <cell r="G346">
            <v>12287428</v>
          </cell>
          <cell r="H346">
            <v>624087</v>
          </cell>
          <cell r="I346">
            <v>1023956</v>
          </cell>
        </row>
        <row r="347">
          <cell r="A347" t="str">
            <v>0340|246000</v>
          </cell>
          <cell r="B347" t="str">
            <v>0340</v>
          </cell>
          <cell r="C347">
            <v>246000</v>
          </cell>
          <cell r="D347">
            <v>41244</v>
          </cell>
          <cell r="E347">
            <v>45000000</v>
          </cell>
          <cell r="F347">
            <v>45000000</v>
          </cell>
          <cell r="G347">
            <v>20100000</v>
          </cell>
          <cell r="H347">
            <v>3750000</v>
          </cell>
          <cell r="I347">
            <v>0</v>
          </cell>
        </row>
        <row r="348">
          <cell r="A348" t="str">
            <v>0340|400040</v>
          </cell>
          <cell r="B348" t="str">
            <v>0340</v>
          </cell>
          <cell r="C348">
            <v>400040</v>
          </cell>
          <cell r="D348">
            <v>41244</v>
          </cell>
          <cell r="E348">
            <v>5000000</v>
          </cell>
          <cell r="F348">
            <v>5000000</v>
          </cell>
          <cell r="G348">
            <v>6510</v>
          </cell>
          <cell r="H348">
            <v>416667</v>
          </cell>
          <cell r="I348">
            <v>0</v>
          </cell>
        </row>
        <row r="349">
          <cell r="A349" t="str">
            <v>0340|420002</v>
          </cell>
          <cell r="B349" t="str">
            <v>0340</v>
          </cell>
          <cell r="C349">
            <v>420002</v>
          </cell>
          <cell r="D349">
            <v>41244</v>
          </cell>
          <cell r="E349">
            <v>285215390</v>
          </cell>
          <cell r="F349">
            <v>285215390</v>
          </cell>
          <cell r="G349">
            <v>263239000</v>
          </cell>
          <cell r="H349">
            <v>23767949</v>
          </cell>
          <cell r="I349">
            <v>21621500</v>
          </cell>
        </row>
        <row r="350">
          <cell r="A350" t="str">
            <v>0340|420003</v>
          </cell>
          <cell r="B350" t="str">
            <v>0340</v>
          </cell>
          <cell r="C350">
            <v>420003</v>
          </cell>
          <cell r="D350">
            <v>41244</v>
          </cell>
          <cell r="E350">
            <v>879354217</v>
          </cell>
          <cell r="F350">
            <v>879354217</v>
          </cell>
          <cell r="G350">
            <v>834442198</v>
          </cell>
          <cell r="H350">
            <v>73279518</v>
          </cell>
          <cell r="I350">
            <v>72653705</v>
          </cell>
        </row>
        <row r="351">
          <cell r="A351" t="str">
            <v>0340|422002</v>
          </cell>
          <cell r="B351" t="str">
            <v>0340</v>
          </cell>
          <cell r="C351">
            <v>422002</v>
          </cell>
          <cell r="D351">
            <v>41244</v>
          </cell>
          <cell r="E351">
            <v>102014</v>
          </cell>
          <cell r="F351">
            <v>102014</v>
          </cell>
          <cell r="G351">
            <v>166050</v>
          </cell>
          <cell r="H351">
            <v>8501</v>
          </cell>
          <cell r="I351">
            <v>0</v>
          </cell>
        </row>
        <row r="352">
          <cell r="A352" t="str">
            <v>0340|422003</v>
          </cell>
          <cell r="B352" t="str">
            <v>0340</v>
          </cell>
          <cell r="C352">
            <v>422003</v>
          </cell>
          <cell r="D352">
            <v>41244</v>
          </cell>
          <cell r="E352">
            <v>332464</v>
          </cell>
          <cell r="F352">
            <v>332464</v>
          </cell>
          <cell r="G352">
            <v>505900</v>
          </cell>
          <cell r="H352">
            <v>27705</v>
          </cell>
          <cell r="I352">
            <v>0</v>
          </cell>
        </row>
        <row r="353">
          <cell r="A353" t="str">
            <v>0340|431002</v>
          </cell>
          <cell r="B353" t="str">
            <v>0340</v>
          </cell>
          <cell r="C353">
            <v>431002</v>
          </cell>
          <cell r="D353">
            <v>41244</v>
          </cell>
          <cell r="E353">
            <v>15681000</v>
          </cell>
          <cell r="F353">
            <v>15681000</v>
          </cell>
          <cell r="G353">
            <v>6186732</v>
          </cell>
          <cell r="H353">
            <v>1306750</v>
          </cell>
          <cell r="I353">
            <v>482960</v>
          </cell>
        </row>
        <row r="354">
          <cell r="A354" t="str">
            <v>0340|434012</v>
          </cell>
          <cell r="B354" t="str">
            <v>0340</v>
          </cell>
          <cell r="C354">
            <v>434012</v>
          </cell>
          <cell r="D354">
            <v>41244</v>
          </cell>
          <cell r="E354">
            <v>23018250</v>
          </cell>
          <cell r="F354">
            <v>23018250</v>
          </cell>
          <cell r="G354">
            <v>36420965</v>
          </cell>
          <cell r="H354">
            <v>1918187</v>
          </cell>
          <cell r="I354">
            <v>3928581</v>
          </cell>
        </row>
        <row r="355">
          <cell r="A355" t="str">
            <v>0340|434013</v>
          </cell>
          <cell r="B355" t="str">
            <v>0340</v>
          </cell>
          <cell r="C355">
            <v>434013</v>
          </cell>
          <cell r="D355">
            <v>41244</v>
          </cell>
          <cell r="E355">
            <v>39015750</v>
          </cell>
          <cell r="F355">
            <v>39015750</v>
          </cell>
          <cell r="G355">
            <v>47997553</v>
          </cell>
          <cell r="H355">
            <v>3251312</v>
          </cell>
          <cell r="I355">
            <v>8199577</v>
          </cell>
        </row>
        <row r="356">
          <cell r="A356" t="str">
            <v>0340|435002</v>
          </cell>
          <cell r="B356" t="str">
            <v>0340</v>
          </cell>
          <cell r="C356">
            <v>435002</v>
          </cell>
          <cell r="D356">
            <v>41244</v>
          </cell>
          <cell r="E356">
            <v>23767949</v>
          </cell>
          <cell r="F356">
            <v>23767949</v>
          </cell>
          <cell r="G356">
            <v>18954833</v>
          </cell>
          <cell r="H356">
            <v>1980662</v>
          </cell>
          <cell r="I356">
            <v>18954833</v>
          </cell>
        </row>
        <row r="357">
          <cell r="A357" t="str">
            <v>0340|435003</v>
          </cell>
          <cell r="B357" t="str">
            <v>0340</v>
          </cell>
          <cell r="C357">
            <v>435003</v>
          </cell>
          <cell r="D357">
            <v>41244</v>
          </cell>
          <cell r="E357">
            <v>109919277</v>
          </cell>
          <cell r="F357">
            <v>109919277</v>
          </cell>
          <cell r="G357">
            <v>84043246</v>
          </cell>
          <cell r="H357">
            <v>9159940</v>
          </cell>
          <cell r="I357">
            <v>0</v>
          </cell>
        </row>
        <row r="358">
          <cell r="A358" t="str">
            <v>0340|439003</v>
          </cell>
          <cell r="B358" t="str">
            <v>0340</v>
          </cell>
          <cell r="C358">
            <v>439003</v>
          </cell>
          <cell r="D358">
            <v>41244</v>
          </cell>
          <cell r="E358">
            <v>264333803</v>
          </cell>
          <cell r="F358">
            <v>264333803</v>
          </cell>
          <cell r="G358">
            <v>391124604</v>
          </cell>
          <cell r="H358">
            <v>22027817</v>
          </cell>
          <cell r="I358">
            <v>49779599</v>
          </cell>
        </row>
        <row r="359">
          <cell r="A359" t="str">
            <v>0340|439008</v>
          </cell>
          <cell r="B359" t="str">
            <v>0340</v>
          </cell>
          <cell r="C359">
            <v>439008</v>
          </cell>
          <cell r="D359">
            <v>41244</v>
          </cell>
          <cell r="E359">
            <v>65475620</v>
          </cell>
          <cell r="F359">
            <v>65475620</v>
          </cell>
          <cell r="G359">
            <v>87745301</v>
          </cell>
          <cell r="H359">
            <v>5456302</v>
          </cell>
          <cell r="I359">
            <v>0</v>
          </cell>
        </row>
        <row r="360">
          <cell r="A360" t="str">
            <v>0340|439202</v>
          </cell>
          <cell r="B360" t="str">
            <v>0340</v>
          </cell>
          <cell r="C360">
            <v>439202</v>
          </cell>
          <cell r="D360">
            <v>41244</v>
          </cell>
          <cell r="E360">
            <v>0</v>
          </cell>
          <cell r="F360">
            <v>0</v>
          </cell>
          <cell r="G360">
            <v>550000</v>
          </cell>
          <cell r="H360">
            <v>0</v>
          </cell>
          <cell r="I360">
            <v>0</v>
          </cell>
        </row>
        <row r="361">
          <cell r="A361" t="str">
            <v>0340|439203</v>
          </cell>
          <cell r="B361" t="str">
            <v>0340</v>
          </cell>
          <cell r="C361">
            <v>439203</v>
          </cell>
          <cell r="D361">
            <v>41244</v>
          </cell>
          <cell r="E361">
            <v>0</v>
          </cell>
          <cell r="F361">
            <v>0</v>
          </cell>
          <cell r="G361">
            <v>3179000</v>
          </cell>
          <cell r="H361">
            <v>0</v>
          </cell>
          <cell r="I361">
            <v>0</v>
          </cell>
        </row>
        <row r="362">
          <cell r="A362" t="str">
            <v>0340|440002</v>
          </cell>
          <cell r="B362" t="str">
            <v>0340</v>
          </cell>
          <cell r="C362">
            <v>440002</v>
          </cell>
          <cell r="D362">
            <v>41244</v>
          </cell>
          <cell r="E362">
            <v>23767949</v>
          </cell>
          <cell r="F362">
            <v>23767949</v>
          </cell>
          <cell r="G362">
            <v>18257819</v>
          </cell>
          <cell r="H362">
            <v>1980662</v>
          </cell>
          <cell r="I362">
            <v>2233938</v>
          </cell>
        </row>
        <row r="363">
          <cell r="A363" t="str">
            <v>0340|440003</v>
          </cell>
          <cell r="B363" t="str">
            <v>0340</v>
          </cell>
          <cell r="C363">
            <v>440003</v>
          </cell>
          <cell r="D363">
            <v>41244</v>
          </cell>
          <cell r="E363">
            <v>100290032</v>
          </cell>
          <cell r="F363">
            <v>100290032</v>
          </cell>
          <cell r="G363">
            <v>45396197</v>
          </cell>
          <cell r="H363">
            <v>8357503</v>
          </cell>
          <cell r="I363">
            <v>6712482</v>
          </cell>
        </row>
        <row r="364">
          <cell r="A364" t="str">
            <v>0340|446002</v>
          </cell>
          <cell r="B364" t="str">
            <v>0340</v>
          </cell>
          <cell r="C364">
            <v>446002</v>
          </cell>
          <cell r="D364">
            <v>41244</v>
          </cell>
          <cell r="E364">
            <v>25557775</v>
          </cell>
          <cell r="F364">
            <v>25557775</v>
          </cell>
          <cell r="G364">
            <v>8329542</v>
          </cell>
          <cell r="H364">
            <v>2129815</v>
          </cell>
          <cell r="I364">
            <v>400000</v>
          </cell>
        </row>
        <row r="365">
          <cell r="A365" t="str">
            <v>0340|447002</v>
          </cell>
          <cell r="B365" t="str">
            <v>0340</v>
          </cell>
          <cell r="C365">
            <v>447002</v>
          </cell>
          <cell r="D365">
            <v>41244</v>
          </cell>
          <cell r="E365">
            <v>8290607</v>
          </cell>
          <cell r="F365">
            <v>8290607</v>
          </cell>
          <cell r="G365">
            <v>4131081</v>
          </cell>
          <cell r="H365">
            <v>690884</v>
          </cell>
          <cell r="I365">
            <v>339458</v>
          </cell>
        </row>
        <row r="366">
          <cell r="A366" t="str">
            <v>0340|447003</v>
          </cell>
          <cell r="B366" t="str">
            <v>0340</v>
          </cell>
          <cell r="C366">
            <v>447003</v>
          </cell>
          <cell r="D366">
            <v>41244</v>
          </cell>
          <cell r="E366">
            <v>6180963</v>
          </cell>
          <cell r="F366">
            <v>6180963</v>
          </cell>
          <cell r="G366">
            <v>9798531</v>
          </cell>
          <cell r="H366">
            <v>515080</v>
          </cell>
          <cell r="I366">
            <v>890891</v>
          </cell>
        </row>
        <row r="367">
          <cell r="A367" t="str">
            <v>0340|447012</v>
          </cell>
          <cell r="B367" t="str">
            <v>0340</v>
          </cell>
          <cell r="C367">
            <v>447012</v>
          </cell>
          <cell r="D367">
            <v>41244</v>
          </cell>
          <cell r="E367">
            <v>19538372</v>
          </cell>
          <cell r="F367">
            <v>19538372</v>
          </cell>
          <cell r="G367">
            <v>9735652</v>
          </cell>
          <cell r="H367">
            <v>1628198</v>
          </cell>
          <cell r="I367">
            <v>799996</v>
          </cell>
        </row>
        <row r="368">
          <cell r="A368" t="str">
            <v>0340|447013</v>
          </cell>
          <cell r="B368" t="str">
            <v>0340</v>
          </cell>
          <cell r="C368">
            <v>447013</v>
          </cell>
          <cell r="D368">
            <v>41244</v>
          </cell>
          <cell r="E368">
            <v>14566600</v>
          </cell>
          <cell r="F368">
            <v>14566600</v>
          </cell>
          <cell r="G368">
            <v>23092036</v>
          </cell>
          <cell r="H368">
            <v>1213883</v>
          </cell>
          <cell r="I368">
            <v>2099549</v>
          </cell>
        </row>
        <row r="369">
          <cell r="A369" t="str">
            <v>0340|447022</v>
          </cell>
          <cell r="B369" t="str">
            <v>0340</v>
          </cell>
          <cell r="C369">
            <v>447022</v>
          </cell>
          <cell r="D369">
            <v>41244</v>
          </cell>
          <cell r="E369">
            <v>829061</v>
          </cell>
          <cell r="F369">
            <v>829061</v>
          </cell>
          <cell r="G369">
            <v>544050</v>
          </cell>
          <cell r="H369">
            <v>69088</v>
          </cell>
          <cell r="I369">
            <v>49200</v>
          </cell>
        </row>
        <row r="370">
          <cell r="A370" t="str">
            <v>0340|447023</v>
          </cell>
          <cell r="B370" t="str">
            <v>0340</v>
          </cell>
          <cell r="C370">
            <v>447023</v>
          </cell>
          <cell r="D370">
            <v>41244</v>
          </cell>
          <cell r="E370">
            <v>618096</v>
          </cell>
          <cell r="F370">
            <v>618096</v>
          </cell>
          <cell r="G370">
            <v>1493694</v>
          </cell>
          <cell r="H370">
            <v>51508</v>
          </cell>
          <cell r="I370">
            <v>79350</v>
          </cell>
        </row>
        <row r="371">
          <cell r="A371" t="str">
            <v>0340|448002</v>
          </cell>
          <cell r="B371" t="str">
            <v>0340</v>
          </cell>
          <cell r="C371">
            <v>448002</v>
          </cell>
          <cell r="D371">
            <v>41244</v>
          </cell>
          <cell r="E371">
            <v>49257667</v>
          </cell>
          <cell r="F371">
            <v>49257667</v>
          </cell>
          <cell r="G371">
            <v>23315600</v>
          </cell>
          <cell r="H371">
            <v>4104806</v>
          </cell>
          <cell r="I371">
            <v>704000</v>
          </cell>
        </row>
        <row r="372">
          <cell r="A372" t="str">
            <v>0340|448003</v>
          </cell>
          <cell r="B372" t="str">
            <v>0340</v>
          </cell>
          <cell r="C372">
            <v>448003</v>
          </cell>
          <cell r="D372">
            <v>41244</v>
          </cell>
          <cell r="E372">
            <v>96521402</v>
          </cell>
          <cell r="F372">
            <v>96521402</v>
          </cell>
          <cell r="G372">
            <v>44606300</v>
          </cell>
          <cell r="H372">
            <v>8043450</v>
          </cell>
          <cell r="I372">
            <v>4006100</v>
          </cell>
        </row>
        <row r="373">
          <cell r="A373" t="str">
            <v>0340|449022</v>
          </cell>
          <cell r="B373" t="str">
            <v>0340</v>
          </cell>
          <cell r="C373">
            <v>449022</v>
          </cell>
          <cell r="D373">
            <v>41244</v>
          </cell>
          <cell r="E373">
            <v>15840000</v>
          </cell>
          <cell r="F373">
            <v>15840000</v>
          </cell>
          <cell r="G373">
            <v>13307000</v>
          </cell>
          <cell r="H373">
            <v>1320000</v>
          </cell>
          <cell r="I373">
            <v>1364000</v>
          </cell>
        </row>
        <row r="374">
          <cell r="A374" t="str">
            <v>0340|449023</v>
          </cell>
          <cell r="B374" t="str">
            <v>0340</v>
          </cell>
          <cell r="C374">
            <v>449023</v>
          </cell>
          <cell r="D374">
            <v>41244</v>
          </cell>
          <cell r="E374">
            <v>53250000</v>
          </cell>
          <cell r="F374">
            <v>53250000</v>
          </cell>
          <cell r="G374">
            <v>47440537</v>
          </cell>
          <cell r="H374">
            <v>4437500</v>
          </cell>
          <cell r="I374">
            <v>4238600</v>
          </cell>
        </row>
        <row r="375">
          <cell r="A375" t="str">
            <v>0340|449032</v>
          </cell>
          <cell r="B375" t="str">
            <v>0340</v>
          </cell>
          <cell r="C375">
            <v>449032</v>
          </cell>
          <cell r="D375">
            <v>41244</v>
          </cell>
          <cell r="E375">
            <v>7015388</v>
          </cell>
          <cell r="F375">
            <v>7015388</v>
          </cell>
          <cell r="G375">
            <v>800000</v>
          </cell>
          <cell r="H375">
            <v>584615</v>
          </cell>
          <cell r="I375">
            <v>0</v>
          </cell>
        </row>
        <row r="376">
          <cell r="A376" t="str">
            <v>0340|449050</v>
          </cell>
          <cell r="B376" t="str">
            <v>0340</v>
          </cell>
          <cell r="C376">
            <v>449050</v>
          </cell>
          <cell r="D376">
            <v>41244</v>
          </cell>
          <cell r="E376">
            <v>44966674</v>
          </cell>
          <cell r="F376">
            <v>44966674</v>
          </cell>
          <cell r="G376">
            <v>29600004</v>
          </cell>
          <cell r="H376">
            <v>3747223</v>
          </cell>
          <cell r="I376">
            <v>2466667</v>
          </cell>
        </row>
        <row r="377">
          <cell r="A377" t="str">
            <v>0340|449061</v>
          </cell>
          <cell r="B377" t="str">
            <v>0340</v>
          </cell>
          <cell r="C377">
            <v>449061</v>
          </cell>
          <cell r="D377">
            <v>41244</v>
          </cell>
          <cell r="E377">
            <v>15237700</v>
          </cell>
          <cell r="F377">
            <v>15237700</v>
          </cell>
          <cell r="G377">
            <v>10299850</v>
          </cell>
          <cell r="H377">
            <v>1269808</v>
          </cell>
          <cell r="I377">
            <v>997500</v>
          </cell>
        </row>
        <row r="378">
          <cell r="A378" t="str">
            <v>0340|455000</v>
          </cell>
          <cell r="B378" t="str">
            <v>0340</v>
          </cell>
          <cell r="C378">
            <v>455000</v>
          </cell>
          <cell r="D378">
            <v>41244</v>
          </cell>
          <cell r="E378">
            <v>0</v>
          </cell>
          <cell r="F378">
            <v>0</v>
          </cell>
          <cell r="G378">
            <v>502830</v>
          </cell>
          <cell r="H378">
            <v>0</v>
          </cell>
          <cell r="I378">
            <v>0</v>
          </cell>
        </row>
        <row r="379">
          <cell r="A379" t="str">
            <v>0340|459000</v>
          </cell>
          <cell r="B379" t="str">
            <v>0340</v>
          </cell>
          <cell r="C379">
            <v>459000</v>
          </cell>
          <cell r="D379">
            <v>41244</v>
          </cell>
          <cell r="E379">
            <v>1300000</v>
          </cell>
          <cell r="F379">
            <v>1300000</v>
          </cell>
          <cell r="G379">
            <v>0</v>
          </cell>
          <cell r="H379">
            <v>108333</v>
          </cell>
          <cell r="I379">
            <v>0</v>
          </cell>
        </row>
        <row r="380">
          <cell r="A380" t="str">
            <v>0340|459005</v>
          </cell>
          <cell r="B380" t="str">
            <v>0340</v>
          </cell>
          <cell r="C380">
            <v>459005</v>
          </cell>
          <cell r="D380">
            <v>41244</v>
          </cell>
          <cell r="E380">
            <v>4000000</v>
          </cell>
          <cell r="F380">
            <v>4000000</v>
          </cell>
          <cell r="G380">
            <v>0</v>
          </cell>
          <cell r="H380">
            <v>333333</v>
          </cell>
          <cell r="I380">
            <v>0</v>
          </cell>
        </row>
        <row r="381">
          <cell r="A381" t="str">
            <v>0340|470102</v>
          </cell>
          <cell r="B381" t="str">
            <v>0340</v>
          </cell>
          <cell r="C381">
            <v>470102</v>
          </cell>
          <cell r="D381">
            <v>41244</v>
          </cell>
          <cell r="E381">
            <v>2084263</v>
          </cell>
          <cell r="F381">
            <v>2084263</v>
          </cell>
          <cell r="G381">
            <v>2954500</v>
          </cell>
          <cell r="H381">
            <v>173689</v>
          </cell>
          <cell r="I381">
            <v>394450</v>
          </cell>
        </row>
        <row r="382">
          <cell r="A382" t="str">
            <v>0340|472000</v>
          </cell>
          <cell r="B382" t="str">
            <v>0340</v>
          </cell>
          <cell r="C382">
            <v>472000</v>
          </cell>
          <cell r="D382">
            <v>41244</v>
          </cell>
          <cell r="E382">
            <v>27000000</v>
          </cell>
          <cell r="F382">
            <v>27000000</v>
          </cell>
          <cell r="G382">
            <v>7182884</v>
          </cell>
          <cell r="H382">
            <v>2250018</v>
          </cell>
          <cell r="I382">
            <v>654463</v>
          </cell>
        </row>
        <row r="383">
          <cell r="A383" t="str">
            <v>0340|473000</v>
          </cell>
          <cell r="B383" t="str">
            <v>0340</v>
          </cell>
          <cell r="C383">
            <v>473000</v>
          </cell>
          <cell r="D383">
            <v>41244</v>
          </cell>
          <cell r="E383">
            <v>10950000</v>
          </cell>
          <cell r="F383">
            <v>10950000</v>
          </cell>
          <cell r="G383">
            <v>8100000</v>
          </cell>
          <cell r="H383">
            <v>912508</v>
          </cell>
          <cell r="I383">
            <v>1200000</v>
          </cell>
        </row>
        <row r="384">
          <cell r="A384" t="str">
            <v>0340|473120</v>
          </cell>
          <cell r="B384" t="str">
            <v>0340</v>
          </cell>
          <cell r="C384">
            <v>473120</v>
          </cell>
          <cell r="D384">
            <v>41244</v>
          </cell>
          <cell r="E384">
            <v>12909547</v>
          </cell>
          <cell r="F384">
            <v>12909547</v>
          </cell>
          <cell r="G384">
            <v>11579802</v>
          </cell>
          <cell r="H384">
            <v>1075796</v>
          </cell>
          <cell r="I384">
            <v>1097617</v>
          </cell>
        </row>
        <row r="385">
          <cell r="A385" t="str">
            <v>0340|475003</v>
          </cell>
          <cell r="B385" t="str">
            <v>0340</v>
          </cell>
          <cell r="C385">
            <v>475003</v>
          </cell>
          <cell r="D385">
            <v>41244</v>
          </cell>
          <cell r="E385">
            <v>250000</v>
          </cell>
          <cell r="F385">
            <v>250000</v>
          </cell>
          <cell r="G385">
            <v>650000</v>
          </cell>
          <cell r="H385">
            <v>20833</v>
          </cell>
          <cell r="I385">
            <v>0</v>
          </cell>
        </row>
        <row r="386">
          <cell r="A386" t="str">
            <v>0340|475006</v>
          </cell>
          <cell r="B386" t="str">
            <v>0340</v>
          </cell>
          <cell r="C386">
            <v>475006</v>
          </cell>
          <cell r="D386">
            <v>41244</v>
          </cell>
          <cell r="E386">
            <v>1852400</v>
          </cell>
          <cell r="F386">
            <v>1852400</v>
          </cell>
          <cell r="G386">
            <v>2523744</v>
          </cell>
          <cell r="H386">
            <v>154367</v>
          </cell>
          <cell r="I386">
            <v>210312</v>
          </cell>
        </row>
        <row r="387">
          <cell r="A387" t="str">
            <v>0340|476000</v>
          </cell>
          <cell r="B387" t="str">
            <v>0340</v>
          </cell>
          <cell r="C387">
            <v>476000</v>
          </cell>
          <cell r="D387">
            <v>41244</v>
          </cell>
          <cell r="E387">
            <v>26971403</v>
          </cell>
          <cell r="F387">
            <v>26971403</v>
          </cell>
          <cell r="G387">
            <v>29157550</v>
          </cell>
          <cell r="H387">
            <v>2247618</v>
          </cell>
          <cell r="I387">
            <v>4951200</v>
          </cell>
        </row>
        <row r="388">
          <cell r="A388" t="str">
            <v>0340|476001</v>
          </cell>
          <cell r="B388" t="str">
            <v>0340</v>
          </cell>
          <cell r="C388">
            <v>476001</v>
          </cell>
          <cell r="D388">
            <v>41244</v>
          </cell>
          <cell r="E388">
            <v>8480000</v>
          </cell>
          <cell r="F388">
            <v>8480000</v>
          </cell>
          <cell r="G388">
            <v>3927500</v>
          </cell>
          <cell r="H388">
            <v>706671</v>
          </cell>
          <cell r="I388">
            <v>0</v>
          </cell>
        </row>
        <row r="389">
          <cell r="A389" t="str">
            <v>0340|476201</v>
          </cell>
          <cell r="B389" t="str">
            <v>0340</v>
          </cell>
          <cell r="C389">
            <v>476201</v>
          </cell>
          <cell r="D389">
            <v>41244</v>
          </cell>
          <cell r="E389">
            <v>1250000</v>
          </cell>
          <cell r="F389">
            <v>1250000</v>
          </cell>
          <cell r="G389">
            <v>1350000</v>
          </cell>
          <cell r="H389">
            <v>104166</v>
          </cell>
          <cell r="I389">
            <v>0</v>
          </cell>
        </row>
        <row r="390">
          <cell r="A390" t="str">
            <v>0340|476220</v>
          </cell>
          <cell r="B390" t="str">
            <v>0340</v>
          </cell>
          <cell r="C390">
            <v>476220</v>
          </cell>
          <cell r="D390">
            <v>41244</v>
          </cell>
          <cell r="E390">
            <v>16226269</v>
          </cell>
          <cell r="F390">
            <v>16226269</v>
          </cell>
          <cell r="G390">
            <v>17877357</v>
          </cell>
          <cell r="H390">
            <v>1352147</v>
          </cell>
          <cell r="I390">
            <v>-127159107</v>
          </cell>
        </row>
        <row r="391">
          <cell r="A391" t="str">
            <v>0340|477310</v>
          </cell>
          <cell r="B391" t="str">
            <v>0340</v>
          </cell>
          <cell r="C391">
            <v>477310</v>
          </cell>
          <cell r="D391">
            <v>41244</v>
          </cell>
          <cell r="E391">
            <v>0</v>
          </cell>
          <cell r="F391">
            <v>0</v>
          </cell>
          <cell r="G391">
            <v>2669047</v>
          </cell>
          <cell r="H391">
            <v>0</v>
          </cell>
          <cell r="I391">
            <v>2669047</v>
          </cell>
        </row>
        <row r="392">
          <cell r="A392" t="str">
            <v>0360|400040</v>
          </cell>
          <cell r="B392" t="str">
            <v>0360</v>
          </cell>
          <cell r="C392">
            <v>400040</v>
          </cell>
          <cell r="D392">
            <v>41244</v>
          </cell>
          <cell r="E392">
            <v>30000000</v>
          </cell>
          <cell r="F392">
            <v>30000000</v>
          </cell>
          <cell r="G392">
            <v>38499893</v>
          </cell>
          <cell r="H392">
            <v>2499999</v>
          </cell>
          <cell r="I392">
            <v>1777376</v>
          </cell>
        </row>
        <row r="393">
          <cell r="A393" t="str">
            <v>0360|405200</v>
          </cell>
          <cell r="B393" t="str">
            <v>0360</v>
          </cell>
          <cell r="C393">
            <v>405200</v>
          </cell>
          <cell r="D393">
            <v>41244</v>
          </cell>
          <cell r="E393">
            <v>1922000000</v>
          </cell>
          <cell r="F393">
            <v>1922000000</v>
          </cell>
          <cell r="G393">
            <v>441076325</v>
          </cell>
          <cell r="H393">
            <v>160166668</v>
          </cell>
          <cell r="I393">
            <v>67157905</v>
          </cell>
        </row>
        <row r="394">
          <cell r="A394" t="str">
            <v>0360|405251</v>
          </cell>
          <cell r="B394" t="str">
            <v>0360</v>
          </cell>
          <cell r="C394">
            <v>405251</v>
          </cell>
          <cell r="D394">
            <v>41244</v>
          </cell>
          <cell r="E394">
            <v>3000000</v>
          </cell>
          <cell r="F394">
            <v>3000000</v>
          </cell>
          <cell r="G394">
            <v>80828</v>
          </cell>
          <cell r="H394">
            <v>250000</v>
          </cell>
          <cell r="I394">
            <v>0</v>
          </cell>
        </row>
        <row r="395">
          <cell r="A395" t="str">
            <v>0360|405253</v>
          </cell>
          <cell r="B395" t="str">
            <v>0360</v>
          </cell>
          <cell r="C395">
            <v>405253</v>
          </cell>
          <cell r="D395">
            <v>41244</v>
          </cell>
          <cell r="E395">
            <v>800000000</v>
          </cell>
          <cell r="F395">
            <v>800000000</v>
          </cell>
          <cell r="G395">
            <v>198450000</v>
          </cell>
          <cell r="H395">
            <v>66666668</v>
          </cell>
          <cell r="I395">
            <v>26460000</v>
          </cell>
        </row>
        <row r="396">
          <cell r="A396" t="str">
            <v>0360|406000</v>
          </cell>
          <cell r="B396" t="str">
            <v>0360</v>
          </cell>
          <cell r="C396">
            <v>406000</v>
          </cell>
          <cell r="D396">
            <v>41244</v>
          </cell>
          <cell r="E396">
            <v>80000000</v>
          </cell>
          <cell r="F396">
            <v>80000000</v>
          </cell>
          <cell r="G396">
            <v>24990000</v>
          </cell>
          <cell r="H396">
            <v>6666667</v>
          </cell>
          <cell r="I396">
            <v>0</v>
          </cell>
        </row>
        <row r="397">
          <cell r="A397" t="str">
            <v>0360|431000</v>
          </cell>
          <cell r="B397" t="str">
            <v>0360</v>
          </cell>
          <cell r="C397">
            <v>431000</v>
          </cell>
          <cell r="D397">
            <v>41244</v>
          </cell>
          <cell r="E397">
            <v>0</v>
          </cell>
          <cell r="F397">
            <v>0</v>
          </cell>
          <cell r="G397">
            <v>14947587</v>
          </cell>
          <cell r="H397">
            <v>0</v>
          </cell>
          <cell r="I397">
            <v>0</v>
          </cell>
        </row>
        <row r="398">
          <cell r="A398" t="str">
            <v>0360|431001</v>
          </cell>
          <cell r="B398" t="str">
            <v>0360</v>
          </cell>
          <cell r="C398">
            <v>431001</v>
          </cell>
          <cell r="D398">
            <v>41244</v>
          </cell>
          <cell r="E398">
            <v>0</v>
          </cell>
          <cell r="F398">
            <v>0</v>
          </cell>
          <cell r="G398">
            <v>4617526</v>
          </cell>
          <cell r="H398">
            <v>0</v>
          </cell>
          <cell r="I398">
            <v>0</v>
          </cell>
        </row>
        <row r="399">
          <cell r="A399" t="str">
            <v>0360|449060</v>
          </cell>
          <cell r="B399" t="str">
            <v>0360</v>
          </cell>
          <cell r="C399">
            <v>449060</v>
          </cell>
          <cell r="D399">
            <v>41244</v>
          </cell>
          <cell r="E399">
            <v>0</v>
          </cell>
          <cell r="F399">
            <v>0</v>
          </cell>
          <cell r="G399">
            <v>184698</v>
          </cell>
          <cell r="H399">
            <v>0</v>
          </cell>
          <cell r="I399">
            <v>0</v>
          </cell>
        </row>
        <row r="400">
          <cell r="A400" t="str">
            <v>0360|449061</v>
          </cell>
          <cell r="B400" t="str">
            <v>0360</v>
          </cell>
          <cell r="C400">
            <v>449061</v>
          </cell>
          <cell r="D400">
            <v>41244</v>
          </cell>
          <cell r="E400">
            <v>0</v>
          </cell>
          <cell r="F400">
            <v>0</v>
          </cell>
          <cell r="G400">
            <v>353400</v>
          </cell>
          <cell r="H400">
            <v>0</v>
          </cell>
          <cell r="I400">
            <v>0</v>
          </cell>
        </row>
        <row r="401">
          <cell r="A401" t="str">
            <v>0360|455000</v>
          </cell>
          <cell r="B401" t="str">
            <v>0360</v>
          </cell>
          <cell r="C401">
            <v>455000</v>
          </cell>
          <cell r="D401">
            <v>41244</v>
          </cell>
          <cell r="E401">
            <v>1000000</v>
          </cell>
          <cell r="F401">
            <v>1000000</v>
          </cell>
          <cell r="G401">
            <v>0</v>
          </cell>
          <cell r="H401">
            <v>83333</v>
          </cell>
          <cell r="I401">
            <v>0</v>
          </cell>
        </row>
        <row r="402">
          <cell r="A402" t="str">
            <v>0360|455001</v>
          </cell>
          <cell r="B402" t="str">
            <v>0360</v>
          </cell>
          <cell r="C402">
            <v>455001</v>
          </cell>
          <cell r="D402">
            <v>41244</v>
          </cell>
          <cell r="E402">
            <v>500000</v>
          </cell>
          <cell r="F402">
            <v>500000</v>
          </cell>
          <cell r="G402">
            <v>1313646</v>
          </cell>
          <cell r="H402">
            <v>41667</v>
          </cell>
          <cell r="I402">
            <v>0</v>
          </cell>
        </row>
        <row r="403">
          <cell r="A403" t="str">
            <v>0360|455002</v>
          </cell>
          <cell r="B403" t="str">
            <v>0360</v>
          </cell>
          <cell r="C403">
            <v>455002</v>
          </cell>
          <cell r="D403">
            <v>41244</v>
          </cell>
          <cell r="E403">
            <v>20000000</v>
          </cell>
          <cell r="F403">
            <v>20000000</v>
          </cell>
          <cell r="G403">
            <v>356250</v>
          </cell>
          <cell r="H403">
            <v>1666667</v>
          </cell>
          <cell r="I403">
            <v>0</v>
          </cell>
        </row>
        <row r="404">
          <cell r="A404" t="str">
            <v>0360|472000</v>
          </cell>
          <cell r="B404" t="str">
            <v>0360</v>
          </cell>
          <cell r="C404">
            <v>472000</v>
          </cell>
          <cell r="D404">
            <v>41244</v>
          </cell>
          <cell r="E404">
            <v>1000000</v>
          </cell>
          <cell r="F404">
            <v>1000000</v>
          </cell>
          <cell r="G404">
            <v>26493005</v>
          </cell>
          <cell r="H404">
            <v>83333</v>
          </cell>
          <cell r="I404">
            <v>0</v>
          </cell>
        </row>
        <row r="405">
          <cell r="A405" t="str">
            <v>0370|211100</v>
          </cell>
          <cell r="B405" t="str">
            <v>0370</v>
          </cell>
          <cell r="C405">
            <v>211100</v>
          </cell>
          <cell r="D405">
            <v>41244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</row>
        <row r="406">
          <cell r="A406" t="str">
            <v>0370|211104</v>
          </cell>
          <cell r="B406" t="str">
            <v>0370</v>
          </cell>
          <cell r="C406">
            <v>211104</v>
          </cell>
          <cell r="D406">
            <v>41244</v>
          </cell>
          <cell r="E406">
            <v>1893959939</v>
          </cell>
          <cell r="F406">
            <v>1893959939</v>
          </cell>
          <cell r="G406">
            <v>1240494467</v>
          </cell>
          <cell r="H406">
            <v>157829995</v>
          </cell>
          <cell r="I406">
            <v>136741602</v>
          </cell>
        </row>
        <row r="407">
          <cell r="A407" t="str">
            <v>0370|400040</v>
          </cell>
          <cell r="B407" t="str">
            <v>0370</v>
          </cell>
          <cell r="C407">
            <v>400040</v>
          </cell>
          <cell r="D407">
            <v>41244</v>
          </cell>
          <cell r="E407">
            <v>282000000</v>
          </cell>
          <cell r="F407">
            <v>282000000</v>
          </cell>
          <cell r="G407">
            <v>217314467</v>
          </cell>
          <cell r="H407">
            <v>23500001</v>
          </cell>
          <cell r="I407">
            <v>20374695</v>
          </cell>
        </row>
        <row r="408">
          <cell r="A408" t="str">
            <v>0370|405200</v>
          </cell>
          <cell r="B408" t="str">
            <v>0370</v>
          </cell>
          <cell r="C408">
            <v>405200</v>
          </cell>
          <cell r="D408">
            <v>41244</v>
          </cell>
          <cell r="E408">
            <v>12000000</v>
          </cell>
          <cell r="F408">
            <v>12000000</v>
          </cell>
          <cell r="G408">
            <v>14967500</v>
          </cell>
          <cell r="H408">
            <v>1000000</v>
          </cell>
          <cell r="I408">
            <v>0</v>
          </cell>
        </row>
        <row r="409">
          <cell r="A409" t="str">
            <v>0370|405251</v>
          </cell>
          <cell r="B409" t="str">
            <v>0370</v>
          </cell>
          <cell r="C409">
            <v>405251</v>
          </cell>
          <cell r="D409">
            <v>41244</v>
          </cell>
          <cell r="E409">
            <v>0</v>
          </cell>
          <cell r="F409">
            <v>0</v>
          </cell>
          <cell r="G409">
            <v>1488432</v>
          </cell>
          <cell r="H409">
            <v>0</v>
          </cell>
          <cell r="I409">
            <v>0</v>
          </cell>
        </row>
        <row r="410">
          <cell r="A410" t="str">
            <v>0370|406000</v>
          </cell>
          <cell r="B410" t="str">
            <v>0370</v>
          </cell>
          <cell r="C410">
            <v>406000</v>
          </cell>
          <cell r="D410">
            <v>41244</v>
          </cell>
          <cell r="E410">
            <v>1696000000</v>
          </cell>
          <cell r="F410">
            <v>1696000000</v>
          </cell>
          <cell r="G410">
            <v>1409052000</v>
          </cell>
          <cell r="H410">
            <v>141333334</v>
          </cell>
          <cell r="I410">
            <v>405600000</v>
          </cell>
        </row>
        <row r="411">
          <cell r="A411" t="str">
            <v>0370|420000</v>
          </cell>
          <cell r="B411" t="str">
            <v>0370</v>
          </cell>
          <cell r="C411">
            <v>420000</v>
          </cell>
          <cell r="D411">
            <v>41244</v>
          </cell>
          <cell r="E411">
            <v>1447213539</v>
          </cell>
          <cell r="F411">
            <v>1447213539</v>
          </cell>
          <cell r="G411">
            <v>1197835040</v>
          </cell>
          <cell r="H411">
            <v>120601128</v>
          </cell>
          <cell r="I411">
            <v>85111741</v>
          </cell>
        </row>
        <row r="412">
          <cell r="A412" t="str">
            <v>0370|422000</v>
          </cell>
          <cell r="B412" t="str">
            <v>0370</v>
          </cell>
          <cell r="C412">
            <v>422000</v>
          </cell>
          <cell r="D412">
            <v>41244</v>
          </cell>
          <cell r="E412">
            <v>1398207</v>
          </cell>
          <cell r="F412">
            <v>1398207</v>
          </cell>
          <cell r="G412">
            <v>1717602</v>
          </cell>
          <cell r="H412">
            <v>116517</v>
          </cell>
          <cell r="I412">
            <v>0</v>
          </cell>
        </row>
        <row r="413">
          <cell r="A413" t="str">
            <v>0370|422001</v>
          </cell>
          <cell r="B413" t="str">
            <v>0370</v>
          </cell>
          <cell r="C413">
            <v>422001</v>
          </cell>
          <cell r="D413">
            <v>41244</v>
          </cell>
          <cell r="E413">
            <v>2758011</v>
          </cell>
          <cell r="F413">
            <v>2758011</v>
          </cell>
          <cell r="G413">
            <v>0</v>
          </cell>
          <cell r="H413">
            <v>229834</v>
          </cell>
          <cell r="I413">
            <v>0</v>
          </cell>
        </row>
        <row r="414">
          <cell r="A414" t="str">
            <v>0370|431000</v>
          </cell>
          <cell r="B414" t="str">
            <v>0370</v>
          </cell>
          <cell r="C414">
            <v>431000</v>
          </cell>
          <cell r="D414">
            <v>41244</v>
          </cell>
          <cell r="E414">
            <v>160000000</v>
          </cell>
          <cell r="F414">
            <v>160000000</v>
          </cell>
          <cell r="G414">
            <v>236632258</v>
          </cell>
          <cell r="H414">
            <v>13333333</v>
          </cell>
          <cell r="I414">
            <v>26158724</v>
          </cell>
        </row>
        <row r="415">
          <cell r="A415" t="str">
            <v>0370|431001</v>
          </cell>
          <cell r="B415" t="str">
            <v>0370</v>
          </cell>
          <cell r="C415">
            <v>431001</v>
          </cell>
          <cell r="D415">
            <v>41244</v>
          </cell>
          <cell r="E415">
            <v>64559800</v>
          </cell>
          <cell r="F415">
            <v>64559800</v>
          </cell>
          <cell r="G415">
            <v>0</v>
          </cell>
          <cell r="H415">
            <v>5379979</v>
          </cell>
          <cell r="I415">
            <v>0</v>
          </cell>
        </row>
        <row r="416">
          <cell r="A416" t="str">
            <v>0370|431002</v>
          </cell>
          <cell r="B416" t="str">
            <v>0370</v>
          </cell>
          <cell r="C416">
            <v>431002</v>
          </cell>
          <cell r="D416">
            <v>41244</v>
          </cell>
          <cell r="E416">
            <v>2839000</v>
          </cell>
          <cell r="F416">
            <v>2839000</v>
          </cell>
          <cell r="G416">
            <v>221587</v>
          </cell>
          <cell r="H416">
            <v>236585</v>
          </cell>
          <cell r="I416">
            <v>0</v>
          </cell>
        </row>
        <row r="417">
          <cell r="A417" t="str">
            <v>0370|434010</v>
          </cell>
          <cell r="B417" t="str">
            <v>0370</v>
          </cell>
          <cell r="C417">
            <v>434010</v>
          </cell>
          <cell r="D417">
            <v>41244</v>
          </cell>
          <cell r="E417">
            <v>67817408</v>
          </cell>
          <cell r="F417">
            <v>67817408</v>
          </cell>
          <cell r="G417">
            <v>21190199</v>
          </cell>
          <cell r="H417">
            <v>5651451</v>
          </cell>
          <cell r="I417">
            <v>3978484</v>
          </cell>
        </row>
        <row r="418">
          <cell r="A418" t="str">
            <v>0370|435000</v>
          </cell>
          <cell r="B418" t="str">
            <v>0370</v>
          </cell>
          <cell r="C418">
            <v>435000</v>
          </cell>
          <cell r="D418">
            <v>41244</v>
          </cell>
          <cell r="E418">
            <v>120601128</v>
          </cell>
          <cell r="F418">
            <v>120601128</v>
          </cell>
          <cell r="G418">
            <v>74625924</v>
          </cell>
          <cell r="H418">
            <v>10050094</v>
          </cell>
          <cell r="I418">
            <v>72388930</v>
          </cell>
        </row>
        <row r="419">
          <cell r="A419" t="str">
            <v>0370|439000</v>
          </cell>
          <cell r="B419" t="str">
            <v>0370</v>
          </cell>
          <cell r="C419">
            <v>439000</v>
          </cell>
          <cell r="D419">
            <v>41244</v>
          </cell>
          <cell r="E419">
            <v>204878730</v>
          </cell>
          <cell r="F419">
            <v>204878730</v>
          </cell>
          <cell r="G419">
            <v>265102453</v>
          </cell>
          <cell r="H419">
            <v>17073227</v>
          </cell>
          <cell r="I419">
            <v>0</v>
          </cell>
        </row>
        <row r="420">
          <cell r="A420" t="str">
            <v>0370|439100</v>
          </cell>
          <cell r="B420" t="str">
            <v>0370</v>
          </cell>
          <cell r="C420">
            <v>439100</v>
          </cell>
          <cell r="D420">
            <v>41244</v>
          </cell>
          <cell r="E420">
            <v>0</v>
          </cell>
          <cell r="F420">
            <v>0</v>
          </cell>
          <cell r="G420">
            <v>4500000</v>
          </cell>
          <cell r="H420">
            <v>0</v>
          </cell>
          <cell r="I420">
            <v>0</v>
          </cell>
        </row>
        <row r="421">
          <cell r="A421" t="str">
            <v>0370|439200</v>
          </cell>
          <cell r="B421" t="str">
            <v>0370</v>
          </cell>
          <cell r="C421">
            <v>439200</v>
          </cell>
          <cell r="D421">
            <v>41244</v>
          </cell>
          <cell r="E421">
            <v>1337143</v>
          </cell>
          <cell r="F421">
            <v>1337143</v>
          </cell>
          <cell r="G421">
            <v>4838000</v>
          </cell>
          <cell r="H421">
            <v>111429</v>
          </cell>
          <cell r="I421">
            <v>0</v>
          </cell>
        </row>
        <row r="422">
          <cell r="A422" t="str">
            <v>0370|440000</v>
          </cell>
          <cell r="B422" t="str">
            <v>0370</v>
          </cell>
          <cell r="C422">
            <v>440000</v>
          </cell>
          <cell r="D422">
            <v>41244</v>
          </cell>
          <cell r="E422">
            <v>120601128</v>
          </cell>
          <cell r="F422">
            <v>120601128</v>
          </cell>
          <cell r="G422">
            <v>107052783</v>
          </cell>
          <cell r="H422">
            <v>10050094</v>
          </cell>
          <cell r="I422">
            <v>7024456</v>
          </cell>
        </row>
        <row r="423">
          <cell r="A423" t="str">
            <v>0370|446000</v>
          </cell>
          <cell r="B423" t="str">
            <v>0370</v>
          </cell>
          <cell r="C423">
            <v>446000</v>
          </cell>
          <cell r="D423">
            <v>41244</v>
          </cell>
          <cell r="E423">
            <v>37377650</v>
          </cell>
          <cell r="F423">
            <v>37377650</v>
          </cell>
          <cell r="G423">
            <v>50447210</v>
          </cell>
          <cell r="H423">
            <v>3114804</v>
          </cell>
          <cell r="I423">
            <v>3825000</v>
          </cell>
        </row>
        <row r="424">
          <cell r="A424" t="str">
            <v>0370|447000</v>
          </cell>
          <cell r="B424" t="str">
            <v>0370</v>
          </cell>
          <cell r="C424">
            <v>447000</v>
          </cell>
          <cell r="D424">
            <v>41244</v>
          </cell>
          <cell r="E424">
            <v>28440340</v>
          </cell>
          <cell r="F424">
            <v>28440340</v>
          </cell>
          <cell r="G424">
            <v>18518828</v>
          </cell>
          <cell r="H424">
            <v>2370028</v>
          </cell>
          <cell r="I424">
            <v>1361660</v>
          </cell>
        </row>
        <row r="425">
          <cell r="A425" t="str">
            <v>0370|447010</v>
          </cell>
          <cell r="B425" t="str">
            <v>0370</v>
          </cell>
          <cell r="C425">
            <v>447010</v>
          </cell>
          <cell r="D425">
            <v>41244</v>
          </cell>
          <cell r="E425">
            <v>67025005</v>
          </cell>
          <cell r="F425">
            <v>67025005</v>
          </cell>
          <cell r="G425">
            <v>43643063</v>
          </cell>
          <cell r="H425">
            <v>5585417</v>
          </cell>
          <cell r="I425">
            <v>3209004</v>
          </cell>
        </row>
        <row r="426">
          <cell r="A426" t="str">
            <v>0370|447020</v>
          </cell>
          <cell r="B426" t="str">
            <v>0370</v>
          </cell>
          <cell r="C426">
            <v>447020</v>
          </cell>
          <cell r="D426">
            <v>41244</v>
          </cell>
          <cell r="E426">
            <v>2844034</v>
          </cell>
          <cell r="F426">
            <v>2844034</v>
          </cell>
          <cell r="G426">
            <v>1365248</v>
          </cell>
          <cell r="H426">
            <v>237003</v>
          </cell>
          <cell r="I426">
            <v>118450</v>
          </cell>
        </row>
        <row r="427">
          <cell r="A427" t="str">
            <v>0370|448000</v>
          </cell>
          <cell r="B427" t="str">
            <v>0370</v>
          </cell>
          <cell r="C427">
            <v>448000</v>
          </cell>
          <cell r="D427">
            <v>41244</v>
          </cell>
          <cell r="E427">
            <v>269184334</v>
          </cell>
          <cell r="F427">
            <v>269184334</v>
          </cell>
          <cell r="G427">
            <v>76441755</v>
          </cell>
          <cell r="H427">
            <v>22432028</v>
          </cell>
          <cell r="I427">
            <v>10368700</v>
          </cell>
        </row>
        <row r="428">
          <cell r="A428" t="str">
            <v>0370|448001</v>
          </cell>
          <cell r="B428" t="str">
            <v>0370</v>
          </cell>
          <cell r="C428">
            <v>448001</v>
          </cell>
          <cell r="D428">
            <v>41244</v>
          </cell>
          <cell r="E428">
            <v>0</v>
          </cell>
          <cell r="F428">
            <v>0</v>
          </cell>
          <cell r="G428">
            <v>32046895</v>
          </cell>
          <cell r="H428">
            <v>0</v>
          </cell>
          <cell r="I428">
            <v>0</v>
          </cell>
        </row>
        <row r="429">
          <cell r="A429" t="str">
            <v>0370|448002</v>
          </cell>
          <cell r="B429" t="str">
            <v>0370</v>
          </cell>
          <cell r="C429">
            <v>448002</v>
          </cell>
          <cell r="D429">
            <v>41244</v>
          </cell>
          <cell r="E429">
            <v>0</v>
          </cell>
          <cell r="F429">
            <v>0</v>
          </cell>
          <cell r="G429">
            <v>660000</v>
          </cell>
          <cell r="H429">
            <v>0</v>
          </cell>
          <cell r="I429">
            <v>0</v>
          </cell>
        </row>
        <row r="430">
          <cell r="A430" t="str">
            <v>0370|449004</v>
          </cell>
          <cell r="B430" t="str">
            <v>0370</v>
          </cell>
          <cell r="C430">
            <v>449004</v>
          </cell>
          <cell r="D430">
            <v>41244</v>
          </cell>
          <cell r="E430">
            <v>200000</v>
          </cell>
          <cell r="F430">
            <v>200000</v>
          </cell>
          <cell r="G430">
            <v>0</v>
          </cell>
          <cell r="H430">
            <v>16667</v>
          </cell>
          <cell r="I430">
            <v>0</v>
          </cell>
        </row>
        <row r="431">
          <cell r="A431" t="str">
            <v>0370|449020</v>
          </cell>
          <cell r="B431" t="str">
            <v>0370</v>
          </cell>
          <cell r="C431">
            <v>449020</v>
          </cell>
          <cell r="D431">
            <v>41244</v>
          </cell>
          <cell r="E431">
            <v>122760000</v>
          </cell>
          <cell r="F431">
            <v>122760000</v>
          </cell>
          <cell r="G431">
            <v>114268500</v>
          </cell>
          <cell r="H431">
            <v>10230000</v>
          </cell>
          <cell r="I431">
            <v>8747000</v>
          </cell>
        </row>
        <row r="432">
          <cell r="A432" t="str">
            <v>0370|449032</v>
          </cell>
          <cell r="B432" t="str">
            <v>0370</v>
          </cell>
          <cell r="C432">
            <v>449032</v>
          </cell>
          <cell r="D432">
            <v>41244</v>
          </cell>
          <cell r="E432">
            <v>13080000</v>
          </cell>
          <cell r="F432">
            <v>13080000</v>
          </cell>
          <cell r="G432">
            <v>10392000</v>
          </cell>
          <cell r="H432">
            <v>1090000</v>
          </cell>
          <cell r="I432">
            <v>10392000</v>
          </cell>
        </row>
        <row r="433">
          <cell r="A433" t="str">
            <v>0370|449040</v>
          </cell>
          <cell r="B433" t="str">
            <v>0370</v>
          </cell>
          <cell r="C433">
            <v>449040</v>
          </cell>
          <cell r="D433">
            <v>41244</v>
          </cell>
          <cell r="E433">
            <v>0</v>
          </cell>
          <cell r="F433">
            <v>0</v>
          </cell>
          <cell r="G433">
            <v>3260000</v>
          </cell>
          <cell r="H433">
            <v>0</v>
          </cell>
          <cell r="I433">
            <v>1645000</v>
          </cell>
        </row>
        <row r="434">
          <cell r="A434" t="str">
            <v>0370|449060</v>
          </cell>
          <cell r="B434" t="str">
            <v>0370</v>
          </cell>
          <cell r="C434">
            <v>449060</v>
          </cell>
          <cell r="D434">
            <v>41244</v>
          </cell>
          <cell r="E434">
            <v>11000000</v>
          </cell>
          <cell r="F434">
            <v>11000000</v>
          </cell>
          <cell r="G434">
            <v>16729954</v>
          </cell>
          <cell r="H434">
            <v>916667</v>
          </cell>
          <cell r="I434">
            <v>2756770</v>
          </cell>
        </row>
        <row r="435">
          <cell r="A435" t="str">
            <v>0370|449061</v>
          </cell>
          <cell r="B435" t="str">
            <v>0370</v>
          </cell>
          <cell r="C435">
            <v>449061</v>
          </cell>
          <cell r="D435">
            <v>41244</v>
          </cell>
          <cell r="E435">
            <v>14670500</v>
          </cell>
          <cell r="F435">
            <v>14670500</v>
          </cell>
          <cell r="G435">
            <v>31662576</v>
          </cell>
          <cell r="H435">
            <v>1222542</v>
          </cell>
          <cell r="I435">
            <v>10722200</v>
          </cell>
        </row>
        <row r="436">
          <cell r="A436" t="str">
            <v>0370|451000</v>
          </cell>
          <cell r="B436" t="str">
            <v>0370</v>
          </cell>
          <cell r="C436">
            <v>451000</v>
          </cell>
          <cell r="D436">
            <v>41244</v>
          </cell>
          <cell r="E436">
            <v>30966900</v>
          </cell>
          <cell r="F436">
            <v>30966900</v>
          </cell>
          <cell r="G436">
            <v>25165250</v>
          </cell>
          <cell r="H436">
            <v>2580575</v>
          </cell>
          <cell r="I436">
            <v>0</v>
          </cell>
        </row>
        <row r="437">
          <cell r="A437" t="str">
            <v>0370|452000</v>
          </cell>
          <cell r="B437" t="str">
            <v>0370</v>
          </cell>
          <cell r="C437">
            <v>452000</v>
          </cell>
          <cell r="D437">
            <v>41244</v>
          </cell>
          <cell r="E437">
            <v>165000000</v>
          </cell>
          <cell r="F437">
            <v>165000000</v>
          </cell>
          <cell r="G437">
            <v>179219305</v>
          </cell>
          <cell r="H437">
            <v>13750000</v>
          </cell>
          <cell r="I437">
            <v>25482293</v>
          </cell>
        </row>
        <row r="438">
          <cell r="A438" t="str">
            <v>0370|452001</v>
          </cell>
          <cell r="B438" t="str">
            <v>0370</v>
          </cell>
          <cell r="C438">
            <v>452001</v>
          </cell>
          <cell r="D438">
            <v>41244</v>
          </cell>
          <cell r="E438">
            <v>5500000</v>
          </cell>
          <cell r="F438">
            <v>5500000</v>
          </cell>
          <cell r="G438">
            <v>4722000</v>
          </cell>
          <cell r="H438">
            <v>458331</v>
          </cell>
          <cell r="I438">
            <v>0</v>
          </cell>
        </row>
        <row r="439">
          <cell r="A439" t="str">
            <v>0370|455000</v>
          </cell>
          <cell r="B439" t="str">
            <v>0370</v>
          </cell>
          <cell r="C439">
            <v>455000</v>
          </cell>
          <cell r="D439">
            <v>41244</v>
          </cell>
          <cell r="E439">
            <v>10000000</v>
          </cell>
          <cell r="F439">
            <v>10000000</v>
          </cell>
          <cell r="G439">
            <v>44454305</v>
          </cell>
          <cell r="H439">
            <v>833333</v>
          </cell>
          <cell r="I439">
            <v>4605070</v>
          </cell>
        </row>
        <row r="440">
          <cell r="A440" t="str">
            <v>0370|455001</v>
          </cell>
          <cell r="B440" t="str">
            <v>0370</v>
          </cell>
          <cell r="C440">
            <v>455001</v>
          </cell>
          <cell r="D440">
            <v>41244</v>
          </cell>
          <cell r="E440">
            <v>5000000</v>
          </cell>
          <cell r="F440">
            <v>5000000</v>
          </cell>
          <cell r="G440">
            <v>7687869</v>
          </cell>
          <cell r="H440">
            <v>416667</v>
          </cell>
          <cell r="I440">
            <v>0</v>
          </cell>
        </row>
        <row r="441">
          <cell r="A441" t="str">
            <v>0370|455002</v>
          </cell>
          <cell r="B441" t="str">
            <v>0370</v>
          </cell>
          <cell r="C441">
            <v>455002</v>
          </cell>
          <cell r="D441">
            <v>41244</v>
          </cell>
          <cell r="E441">
            <v>0</v>
          </cell>
          <cell r="F441">
            <v>0</v>
          </cell>
          <cell r="G441">
            <v>1161054</v>
          </cell>
          <cell r="H441">
            <v>0</v>
          </cell>
          <cell r="I441">
            <v>712500</v>
          </cell>
        </row>
        <row r="442">
          <cell r="A442" t="str">
            <v>0370|459000</v>
          </cell>
          <cell r="B442" t="str">
            <v>0370</v>
          </cell>
          <cell r="C442">
            <v>459000</v>
          </cell>
          <cell r="D442">
            <v>41244</v>
          </cell>
          <cell r="E442">
            <v>2250000</v>
          </cell>
          <cell r="F442">
            <v>2250000</v>
          </cell>
          <cell r="G442">
            <v>1391580</v>
          </cell>
          <cell r="H442">
            <v>187500</v>
          </cell>
          <cell r="I442">
            <v>1046520</v>
          </cell>
        </row>
        <row r="443">
          <cell r="A443" t="str">
            <v>0370|470101</v>
          </cell>
          <cell r="B443" t="str">
            <v>0370</v>
          </cell>
          <cell r="C443">
            <v>470101</v>
          </cell>
          <cell r="D443">
            <v>41244</v>
          </cell>
          <cell r="E443">
            <v>2340480</v>
          </cell>
          <cell r="F443">
            <v>2340480</v>
          </cell>
          <cell r="G443">
            <v>0</v>
          </cell>
          <cell r="H443">
            <v>195040</v>
          </cell>
          <cell r="I443">
            <v>0</v>
          </cell>
        </row>
        <row r="444">
          <cell r="A444" t="str">
            <v>0370|470102</v>
          </cell>
          <cell r="B444" t="str">
            <v>0370</v>
          </cell>
          <cell r="C444">
            <v>470102</v>
          </cell>
          <cell r="D444">
            <v>41244</v>
          </cell>
          <cell r="E444">
            <v>0</v>
          </cell>
          <cell r="F444">
            <v>0</v>
          </cell>
          <cell r="G444">
            <v>9762500</v>
          </cell>
          <cell r="H444">
            <v>0</v>
          </cell>
          <cell r="I444">
            <v>0</v>
          </cell>
        </row>
        <row r="445">
          <cell r="A445" t="str">
            <v>0370|471000</v>
          </cell>
          <cell r="B445" t="str">
            <v>0370</v>
          </cell>
          <cell r="C445">
            <v>471000</v>
          </cell>
          <cell r="D445">
            <v>41244</v>
          </cell>
          <cell r="E445">
            <v>33416710</v>
          </cell>
          <cell r="F445">
            <v>33416710</v>
          </cell>
          <cell r="G445">
            <v>39644860</v>
          </cell>
          <cell r="H445">
            <v>2784722</v>
          </cell>
          <cell r="I445">
            <v>7798420</v>
          </cell>
        </row>
        <row r="446">
          <cell r="A446" t="str">
            <v>0370|473000</v>
          </cell>
          <cell r="B446" t="str">
            <v>0370</v>
          </cell>
          <cell r="C446">
            <v>473000</v>
          </cell>
          <cell r="D446">
            <v>41244</v>
          </cell>
          <cell r="E446">
            <v>0</v>
          </cell>
          <cell r="F446">
            <v>0</v>
          </cell>
          <cell r="G446">
            <v>75000</v>
          </cell>
          <cell r="H446">
            <v>0</v>
          </cell>
          <cell r="I446">
            <v>0</v>
          </cell>
        </row>
        <row r="447">
          <cell r="A447" t="str">
            <v>0370|473120</v>
          </cell>
          <cell r="B447" t="str">
            <v>0370</v>
          </cell>
          <cell r="C447">
            <v>473120</v>
          </cell>
          <cell r="D447">
            <v>41244</v>
          </cell>
          <cell r="E447">
            <v>215836</v>
          </cell>
          <cell r="F447">
            <v>215836</v>
          </cell>
          <cell r="G447">
            <v>0</v>
          </cell>
          <cell r="H447">
            <v>17986</v>
          </cell>
          <cell r="I447">
            <v>0</v>
          </cell>
        </row>
        <row r="448">
          <cell r="A448" t="str">
            <v>0370|475003</v>
          </cell>
          <cell r="B448" t="str">
            <v>0370</v>
          </cell>
          <cell r="C448">
            <v>475003</v>
          </cell>
          <cell r="D448">
            <v>41244</v>
          </cell>
          <cell r="E448">
            <v>300000</v>
          </cell>
          <cell r="F448">
            <v>300000</v>
          </cell>
          <cell r="G448">
            <v>100000</v>
          </cell>
          <cell r="H448">
            <v>24999</v>
          </cell>
          <cell r="I448">
            <v>0</v>
          </cell>
        </row>
        <row r="449">
          <cell r="A449" t="str">
            <v>0370|476000</v>
          </cell>
          <cell r="B449" t="str">
            <v>0370</v>
          </cell>
          <cell r="C449">
            <v>476000</v>
          </cell>
          <cell r="D449">
            <v>41244</v>
          </cell>
          <cell r="E449">
            <v>2549382</v>
          </cell>
          <cell r="F449">
            <v>2549382</v>
          </cell>
          <cell r="G449">
            <v>990344</v>
          </cell>
          <cell r="H449">
            <v>212449</v>
          </cell>
          <cell r="I449">
            <v>0</v>
          </cell>
        </row>
        <row r="450">
          <cell r="A450" t="str">
            <v>0370|476001</v>
          </cell>
          <cell r="B450" t="str">
            <v>0370</v>
          </cell>
          <cell r="C450">
            <v>476001</v>
          </cell>
          <cell r="D450">
            <v>41244</v>
          </cell>
          <cell r="E450">
            <v>4500000</v>
          </cell>
          <cell r="F450">
            <v>4500000</v>
          </cell>
          <cell r="G450">
            <v>0</v>
          </cell>
          <cell r="H450">
            <v>375000</v>
          </cell>
          <cell r="I450">
            <v>0</v>
          </cell>
        </row>
        <row r="451">
          <cell r="A451" t="str">
            <v>0370|476220</v>
          </cell>
          <cell r="B451" t="str">
            <v>0370</v>
          </cell>
          <cell r="C451">
            <v>476220</v>
          </cell>
          <cell r="D451">
            <v>41244</v>
          </cell>
          <cell r="E451">
            <v>25200000</v>
          </cell>
          <cell r="F451">
            <v>25200000</v>
          </cell>
          <cell r="G451">
            <v>42606639</v>
          </cell>
          <cell r="H451">
            <v>2100000</v>
          </cell>
          <cell r="I451">
            <v>9152245</v>
          </cell>
        </row>
        <row r="452">
          <cell r="A452" t="str">
            <v>0370|476223</v>
          </cell>
          <cell r="B452" t="str">
            <v>0370</v>
          </cell>
          <cell r="C452">
            <v>476223</v>
          </cell>
          <cell r="D452">
            <v>41244</v>
          </cell>
          <cell r="E452">
            <v>0</v>
          </cell>
          <cell r="F452">
            <v>0</v>
          </cell>
          <cell r="G452">
            <v>24300000</v>
          </cell>
          <cell r="H452">
            <v>0</v>
          </cell>
          <cell r="I452">
            <v>4050000</v>
          </cell>
        </row>
        <row r="453">
          <cell r="A453" t="str">
            <v>0380|211104</v>
          </cell>
          <cell r="B453" t="str">
            <v>0380</v>
          </cell>
          <cell r="C453">
            <v>211104</v>
          </cell>
          <cell r="D453">
            <v>41244</v>
          </cell>
          <cell r="E453">
            <v>19100678</v>
          </cell>
          <cell r="F453">
            <v>19100678</v>
          </cell>
          <cell r="G453">
            <v>19100678</v>
          </cell>
          <cell r="H453">
            <v>1591723</v>
          </cell>
          <cell r="I453">
            <v>1591723</v>
          </cell>
        </row>
        <row r="454">
          <cell r="A454" t="str">
            <v>0380|400040</v>
          </cell>
          <cell r="B454" t="str">
            <v>0380</v>
          </cell>
          <cell r="C454">
            <v>400040</v>
          </cell>
          <cell r="D454">
            <v>41244</v>
          </cell>
          <cell r="E454">
            <v>74130000</v>
          </cell>
          <cell r="F454">
            <v>74130000</v>
          </cell>
          <cell r="G454">
            <v>46535104</v>
          </cell>
          <cell r="H454">
            <v>6177500</v>
          </cell>
          <cell r="I454">
            <v>5844251</v>
          </cell>
        </row>
        <row r="455">
          <cell r="A455" t="str">
            <v>0380|405200</v>
          </cell>
          <cell r="B455" t="str">
            <v>0380</v>
          </cell>
          <cell r="C455">
            <v>405200</v>
          </cell>
          <cell r="D455">
            <v>41244</v>
          </cell>
          <cell r="E455">
            <v>14000000</v>
          </cell>
          <cell r="F455">
            <v>14000000</v>
          </cell>
          <cell r="G455">
            <v>1875472</v>
          </cell>
          <cell r="H455">
            <v>1166669</v>
          </cell>
          <cell r="I455">
            <v>0</v>
          </cell>
        </row>
        <row r="456">
          <cell r="A456" t="str">
            <v>0380|405251</v>
          </cell>
          <cell r="B456" t="str">
            <v>0380</v>
          </cell>
          <cell r="C456">
            <v>405251</v>
          </cell>
          <cell r="D456">
            <v>41244</v>
          </cell>
          <cell r="E456">
            <v>0</v>
          </cell>
          <cell r="F456">
            <v>0</v>
          </cell>
          <cell r="G456">
            <v>8389086</v>
          </cell>
          <cell r="H456">
            <v>0</v>
          </cell>
          <cell r="I456">
            <v>614342</v>
          </cell>
        </row>
        <row r="457">
          <cell r="A457" t="str">
            <v>0380|406000</v>
          </cell>
          <cell r="B457" t="str">
            <v>0380</v>
          </cell>
          <cell r="C457">
            <v>406000</v>
          </cell>
          <cell r="D457">
            <v>41244</v>
          </cell>
          <cell r="E457">
            <v>40000000</v>
          </cell>
          <cell r="F457">
            <v>40000000</v>
          </cell>
          <cell r="G457">
            <v>49190400</v>
          </cell>
          <cell r="H457">
            <v>3333333</v>
          </cell>
          <cell r="I457">
            <v>3024000</v>
          </cell>
        </row>
        <row r="458">
          <cell r="A458" t="str">
            <v>0380|420000</v>
          </cell>
          <cell r="B458" t="str">
            <v>0380</v>
          </cell>
          <cell r="C458">
            <v>420000</v>
          </cell>
          <cell r="D458">
            <v>41244</v>
          </cell>
          <cell r="E458">
            <v>1223054608</v>
          </cell>
          <cell r="F458">
            <v>1223054608</v>
          </cell>
          <cell r="G458">
            <v>1062640791</v>
          </cell>
          <cell r="H458">
            <v>101921217</v>
          </cell>
          <cell r="I458">
            <v>76688777</v>
          </cell>
        </row>
        <row r="459">
          <cell r="A459" t="str">
            <v>0380|422000</v>
          </cell>
          <cell r="B459" t="str">
            <v>0380</v>
          </cell>
          <cell r="C459">
            <v>422000</v>
          </cell>
          <cell r="D459">
            <v>41244</v>
          </cell>
          <cell r="E459">
            <v>310163</v>
          </cell>
          <cell r="F459">
            <v>310163</v>
          </cell>
          <cell r="G459">
            <v>1015551</v>
          </cell>
          <cell r="H459">
            <v>25847</v>
          </cell>
          <cell r="I459">
            <v>0</v>
          </cell>
        </row>
        <row r="460">
          <cell r="A460" t="str">
            <v>0380|422001</v>
          </cell>
          <cell r="B460" t="str">
            <v>0380</v>
          </cell>
          <cell r="C460">
            <v>422001</v>
          </cell>
          <cell r="D460">
            <v>41244</v>
          </cell>
          <cell r="E460">
            <v>620486</v>
          </cell>
          <cell r="F460">
            <v>620486</v>
          </cell>
          <cell r="G460">
            <v>0</v>
          </cell>
          <cell r="H460">
            <v>51707</v>
          </cell>
          <cell r="I460">
            <v>0</v>
          </cell>
        </row>
        <row r="461">
          <cell r="A461" t="str">
            <v>0380|422002</v>
          </cell>
          <cell r="B461" t="str">
            <v>0380</v>
          </cell>
          <cell r="C461">
            <v>422002</v>
          </cell>
          <cell r="D461">
            <v>41244</v>
          </cell>
          <cell r="E461">
            <v>189468</v>
          </cell>
          <cell r="F461">
            <v>189468</v>
          </cell>
          <cell r="G461">
            <v>0</v>
          </cell>
          <cell r="H461">
            <v>15789</v>
          </cell>
          <cell r="I461">
            <v>0</v>
          </cell>
        </row>
        <row r="462">
          <cell r="A462" t="str">
            <v>0380|431000</v>
          </cell>
          <cell r="B462" t="str">
            <v>0380</v>
          </cell>
          <cell r="C462">
            <v>431000</v>
          </cell>
          <cell r="D462">
            <v>41244</v>
          </cell>
          <cell r="E462">
            <v>180000000</v>
          </cell>
          <cell r="F462">
            <v>180000000</v>
          </cell>
          <cell r="G462">
            <v>228989023</v>
          </cell>
          <cell r="H462">
            <v>15000000</v>
          </cell>
          <cell r="I462">
            <v>11320791</v>
          </cell>
        </row>
        <row r="463">
          <cell r="A463" t="str">
            <v>0380|431001</v>
          </cell>
          <cell r="B463" t="str">
            <v>0380</v>
          </cell>
          <cell r="C463">
            <v>431001</v>
          </cell>
          <cell r="D463">
            <v>41244</v>
          </cell>
          <cell r="E463">
            <v>18547000</v>
          </cell>
          <cell r="F463">
            <v>18547000</v>
          </cell>
          <cell r="G463">
            <v>0</v>
          </cell>
          <cell r="H463">
            <v>1545583</v>
          </cell>
          <cell r="I463">
            <v>0</v>
          </cell>
        </row>
        <row r="464">
          <cell r="A464" t="str">
            <v>0380|431002</v>
          </cell>
          <cell r="B464" t="str">
            <v>0380</v>
          </cell>
          <cell r="C464">
            <v>431002</v>
          </cell>
          <cell r="D464">
            <v>41244</v>
          </cell>
          <cell r="E464">
            <v>13483686</v>
          </cell>
          <cell r="F464">
            <v>13483686</v>
          </cell>
          <cell r="G464">
            <v>0</v>
          </cell>
          <cell r="H464">
            <v>1123641</v>
          </cell>
          <cell r="I464">
            <v>0</v>
          </cell>
        </row>
        <row r="465">
          <cell r="A465" t="str">
            <v>0380|434010</v>
          </cell>
          <cell r="B465" t="str">
            <v>0380</v>
          </cell>
          <cell r="C465">
            <v>434010</v>
          </cell>
          <cell r="D465">
            <v>41244</v>
          </cell>
          <cell r="E465">
            <v>48656241</v>
          </cell>
          <cell r="F465">
            <v>48656241</v>
          </cell>
          <cell r="G465">
            <v>28639128</v>
          </cell>
          <cell r="H465">
            <v>4054687</v>
          </cell>
          <cell r="I465">
            <v>3789032</v>
          </cell>
        </row>
        <row r="466">
          <cell r="A466" t="str">
            <v>0380|435000</v>
          </cell>
          <cell r="B466" t="str">
            <v>0380</v>
          </cell>
          <cell r="C466">
            <v>435000</v>
          </cell>
          <cell r="D466">
            <v>41244</v>
          </cell>
          <cell r="E466">
            <v>101921217</v>
          </cell>
          <cell r="F466">
            <v>101921217</v>
          </cell>
          <cell r="G466">
            <v>84220359</v>
          </cell>
          <cell r="H466">
            <v>8493435</v>
          </cell>
          <cell r="I466">
            <v>69408709</v>
          </cell>
        </row>
        <row r="467">
          <cell r="A467" t="str">
            <v>0380|439000</v>
          </cell>
          <cell r="B467" t="str">
            <v>0380</v>
          </cell>
          <cell r="C467">
            <v>439000</v>
          </cell>
          <cell r="D467">
            <v>41244</v>
          </cell>
          <cell r="E467">
            <v>157595652</v>
          </cell>
          <cell r="F467">
            <v>157595652</v>
          </cell>
          <cell r="G467">
            <v>236151085</v>
          </cell>
          <cell r="H467">
            <v>13132971</v>
          </cell>
          <cell r="I467">
            <v>-1425417</v>
          </cell>
        </row>
        <row r="468">
          <cell r="A468" t="str">
            <v>0380|439200</v>
          </cell>
          <cell r="B468" t="str">
            <v>0380</v>
          </cell>
          <cell r="C468">
            <v>439200</v>
          </cell>
          <cell r="D468">
            <v>41244</v>
          </cell>
          <cell r="E468">
            <v>445714</v>
          </cell>
          <cell r="F468">
            <v>445714</v>
          </cell>
          <cell r="G468">
            <v>5168000</v>
          </cell>
          <cell r="H468">
            <v>37143</v>
          </cell>
          <cell r="I468">
            <v>0</v>
          </cell>
        </row>
        <row r="469">
          <cell r="A469" t="str">
            <v>0380|440000</v>
          </cell>
          <cell r="B469" t="str">
            <v>0380</v>
          </cell>
          <cell r="C469">
            <v>440000</v>
          </cell>
          <cell r="D469">
            <v>41244</v>
          </cell>
          <cell r="E469">
            <v>101921217</v>
          </cell>
          <cell r="F469">
            <v>101921217</v>
          </cell>
          <cell r="G469">
            <v>103409585</v>
          </cell>
          <cell r="H469">
            <v>8493435</v>
          </cell>
          <cell r="I469">
            <v>6689958</v>
          </cell>
        </row>
        <row r="470">
          <cell r="A470" t="str">
            <v>0380|446000</v>
          </cell>
          <cell r="B470" t="str">
            <v>0380</v>
          </cell>
          <cell r="C470">
            <v>446000</v>
          </cell>
          <cell r="D470">
            <v>41244</v>
          </cell>
          <cell r="E470">
            <v>32280698</v>
          </cell>
          <cell r="F470">
            <v>32280698</v>
          </cell>
          <cell r="G470">
            <v>45324097</v>
          </cell>
          <cell r="H470">
            <v>2690058</v>
          </cell>
          <cell r="I470">
            <v>4475000</v>
          </cell>
        </row>
        <row r="471">
          <cell r="A471" t="str">
            <v>0380|447000</v>
          </cell>
          <cell r="B471" t="str">
            <v>0380</v>
          </cell>
          <cell r="C471">
            <v>447000</v>
          </cell>
          <cell r="D471">
            <v>41244</v>
          </cell>
          <cell r="E471">
            <v>23014682</v>
          </cell>
          <cell r="F471">
            <v>23014682</v>
          </cell>
          <cell r="G471">
            <v>16394822</v>
          </cell>
          <cell r="H471">
            <v>1917890</v>
          </cell>
          <cell r="I471">
            <v>1230867</v>
          </cell>
        </row>
        <row r="472">
          <cell r="A472" t="str">
            <v>0380|447010</v>
          </cell>
          <cell r="B472" t="str">
            <v>0380</v>
          </cell>
          <cell r="C472">
            <v>447010</v>
          </cell>
          <cell r="D472">
            <v>41244</v>
          </cell>
          <cell r="E472">
            <v>54238423</v>
          </cell>
          <cell r="F472">
            <v>54238423</v>
          </cell>
          <cell r="G472">
            <v>38637433</v>
          </cell>
          <cell r="H472">
            <v>4519869</v>
          </cell>
          <cell r="I472">
            <v>2900775</v>
          </cell>
        </row>
        <row r="473">
          <cell r="A473" t="str">
            <v>0380|447020</v>
          </cell>
          <cell r="B473" t="str">
            <v>0380</v>
          </cell>
          <cell r="C473">
            <v>447020</v>
          </cell>
          <cell r="D473">
            <v>41244</v>
          </cell>
          <cell r="E473">
            <v>2301468</v>
          </cell>
          <cell r="F473">
            <v>2301468</v>
          </cell>
          <cell r="G473">
            <v>1240748</v>
          </cell>
          <cell r="H473">
            <v>191789</v>
          </cell>
          <cell r="I473">
            <v>74950</v>
          </cell>
        </row>
        <row r="474">
          <cell r="A474" t="str">
            <v>0380|448000</v>
          </cell>
          <cell r="B474" t="str">
            <v>0380</v>
          </cell>
          <cell r="C474">
            <v>448000</v>
          </cell>
          <cell r="D474">
            <v>41244</v>
          </cell>
          <cell r="E474">
            <v>228931674</v>
          </cell>
          <cell r="F474">
            <v>228931674</v>
          </cell>
          <cell r="G474">
            <v>62892245</v>
          </cell>
          <cell r="H474">
            <v>19077639</v>
          </cell>
          <cell r="I474">
            <v>4610100</v>
          </cell>
        </row>
        <row r="475">
          <cell r="A475" t="str">
            <v>0380|448001</v>
          </cell>
          <cell r="B475" t="str">
            <v>0380</v>
          </cell>
          <cell r="C475">
            <v>448001</v>
          </cell>
          <cell r="D475">
            <v>41244</v>
          </cell>
          <cell r="E475">
            <v>0</v>
          </cell>
          <cell r="F475">
            <v>0</v>
          </cell>
          <cell r="G475">
            <v>16128800</v>
          </cell>
          <cell r="H475">
            <v>0</v>
          </cell>
          <cell r="I475">
            <v>100000</v>
          </cell>
        </row>
        <row r="476">
          <cell r="A476" t="str">
            <v>0380|449020</v>
          </cell>
          <cell r="B476" t="str">
            <v>0380</v>
          </cell>
          <cell r="C476">
            <v>449020</v>
          </cell>
          <cell r="D476">
            <v>41244</v>
          </cell>
          <cell r="E476">
            <v>106920000</v>
          </cell>
          <cell r="F476">
            <v>106920000</v>
          </cell>
          <cell r="G476">
            <v>104871500</v>
          </cell>
          <cell r="H476">
            <v>8910000</v>
          </cell>
          <cell r="I476">
            <v>7864000</v>
          </cell>
        </row>
        <row r="477">
          <cell r="A477" t="str">
            <v>0380|449032</v>
          </cell>
          <cell r="B477" t="str">
            <v>0380</v>
          </cell>
          <cell r="C477">
            <v>449032</v>
          </cell>
          <cell r="D477">
            <v>41244</v>
          </cell>
          <cell r="E477">
            <v>2815000</v>
          </cell>
          <cell r="F477">
            <v>2815000</v>
          </cell>
          <cell r="G477">
            <v>0</v>
          </cell>
          <cell r="H477">
            <v>234584</v>
          </cell>
          <cell r="I477">
            <v>0</v>
          </cell>
        </row>
        <row r="478">
          <cell r="A478" t="str">
            <v>0380|449060</v>
          </cell>
          <cell r="B478" t="str">
            <v>0380</v>
          </cell>
          <cell r="C478">
            <v>449060</v>
          </cell>
          <cell r="D478">
            <v>41244</v>
          </cell>
          <cell r="E478">
            <v>0</v>
          </cell>
          <cell r="F478">
            <v>0</v>
          </cell>
          <cell r="G478">
            <v>8489986</v>
          </cell>
          <cell r="H478">
            <v>0</v>
          </cell>
          <cell r="I478">
            <v>322625</v>
          </cell>
        </row>
        <row r="479">
          <cell r="A479" t="str">
            <v>0380|449061</v>
          </cell>
          <cell r="B479" t="str">
            <v>0380</v>
          </cell>
          <cell r="C479">
            <v>449061</v>
          </cell>
          <cell r="D479">
            <v>41244</v>
          </cell>
          <cell r="E479">
            <v>1159000</v>
          </cell>
          <cell r="F479">
            <v>1159000</v>
          </cell>
          <cell r="G479">
            <v>1419200</v>
          </cell>
          <cell r="H479">
            <v>96583</v>
          </cell>
          <cell r="I479">
            <v>0</v>
          </cell>
        </row>
        <row r="480">
          <cell r="A480" t="str">
            <v>0380|451000</v>
          </cell>
          <cell r="B480" t="str">
            <v>0380</v>
          </cell>
          <cell r="C480">
            <v>451000</v>
          </cell>
          <cell r="D480">
            <v>41244</v>
          </cell>
          <cell r="E480">
            <v>6975000</v>
          </cell>
          <cell r="F480">
            <v>6975000</v>
          </cell>
          <cell r="G480">
            <v>6887500</v>
          </cell>
          <cell r="H480">
            <v>581250</v>
          </cell>
          <cell r="I480">
            <v>0</v>
          </cell>
        </row>
        <row r="481">
          <cell r="A481" t="str">
            <v>0380|452000</v>
          </cell>
          <cell r="B481" t="str">
            <v>0380</v>
          </cell>
          <cell r="C481">
            <v>452000</v>
          </cell>
          <cell r="D481">
            <v>41244</v>
          </cell>
          <cell r="E481">
            <v>221870000</v>
          </cell>
          <cell r="F481">
            <v>221870000</v>
          </cell>
          <cell r="G481">
            <v>201614800</v>
          </cell>
          <cell r="H481">
            <v>18489093</v>
          </cell>
          <cell r="I481">
            <v>12126000</v>
          </cell>
        </row>
        <row r="482">
          <cell r="A482" t="str">
            <v>0380|455000</v>
          </cell>
          <cell r="B482" t="str">
            <v>0380</v>
          </cell>
          <cell r="C482">
            <v>455000</v>
          </cell>
          <cell r="D482">
            <v>41244</v>
          </cell>
          <cell r="E482">
            <v>10000000</v>
          </cell>
          <cell r="F482">
            <v>10000000</v>
          </cell>
          <cell r="G482">
            <v>5186733</v>
          </cell>
          <cell r="H482">
            <v>833333</v>
          </cell>
          <cell r="I482">
            <v>27140</v>
          </cell>
        </row>
        <row r="483">
          <cell r="A483" t="str">
            <v>0380|455001</v>
          </cell>
          <cell r="B483" t="str">
            <v>0380</v>
          </cell>
          <cell r="C483">
            <v>455001</v>
          </cell>
          <cell r="D483">
            <v>41244</v>
          </cell>
          <cell r="E483">
            <v>2000000</v>
          </cell>
          <cell r="F483">
            <v>2000000</v>
          </cell>
          <cell r="G483">
            <v>1781618</v>
          </cell>
          <cell r="H483">
            <v>166667</v>
          </cell>
          <cell r="I483">
            <v>0</v>
          </cell>
        </row>
        <row r="484">
          <cell r="A484" t="str">
            <v>0380|470102</v>
          </cell>
          <cell r="B484" t="str">
            <v>0380</v>
          </cell>
          <cell r="C484">
            <v>470102</v>
          </cell>
          <cell r="D484">
            <v>41244</v>
          </cell>
          <cell r="E484">
            <v>2362286</v>
          </cell>
          <cell r="F484">
            <v>2362286</v>
          </cell>
          <cell r="G484">
            <v>0</v>
          </cell>
          <cell r="H484">
            <v>196857</v>
          </cell>
          <cell r="I484">
            <v>0</v>
          </cell>
        </row>
        <row r="485">
          <cell r="A485" t="str">
            <v>0380|475003</v>
          </cell>
          <cell r="B485" t="str">
            <v>0380</v>
          </cell>
          <cell r="C485">
            <v>475003</v>
          </cell>
          <cell r="D485">
            <v>41244</v>
          </cell>
          <cell r="E485">
            <v>325001</v>
          </cell>
          <cell r="F485">
            <v>325001</v>
          </cell>
          <cell r="G485">
            <v>100000</v>
          </cell>
          <cell r="H485">
            <v>27083</v>
          </cell>
          <cell r="I485">
            <v>0</v>
          </cell>
        </row>
        <row r="486">
          <cell r="A486" t="str">
            <v>0380|476000</v>
          </cell>
          <cell r="B486" t="str">
            <v>0380</v>
          </cell>
          <cell r="C486">
            <v>476000</v>
          </cell>
          <cell r="D486">
            <v>41244</v>
          </cell>
          <cell r="E486">
            <v>225128</v>
          </cell>
          <cell r="F486">
            <v>225128</v>
          </cell>
          <cell r="G486">
            <v>0</v>
          </cell>
          <cell r="H486">
            <v>18760</v>
          </cell>
          <cell r="I486">
            <v>0</v>
          </cell>
        </row>
        <row r="487">
          <cell r="A487" t="str">
            <v>0380|476001</v>
          </cell>
          <cell r="B487" t="str">
            <v>0380</v>
          </cell>
          <cell r="C487">
            <v>476001</v>
          </cell>
          <cell r="D487">
            <v>41244</v>
          </cell>
          <cell r="E487">
            <v>2060000</v>
          </cell>
          <cell r="F487">
            <v>2060000</v>
          </cell>
          <cell r="G487">
            <v>0</v>
          </cell>
          <cell r="H487">
            <v>171666</v>
          </cell>
          <cell r="I487">
            <v>0</v>
          </cell>
        </row>
        <row r="488">
          <cell r="A488" t="str">
            <v>0500|211100</v>
          </cell>
          <cell r="B488" t="str">
            <v>0500</v>
          </cell>
          <cell r="C488">
            <v>211100</v>
          </cell>
          <cell r="D488">
            <v>41244</v>
          </cell>
          <cell r="E488">
            <v>28424713</v>
          </cell>
          <cell r="F488">
            <v>28424713</v>
          </cell>
          <cell r="G488">
            <v>33220798</v>
          </cell>
          <cell r="H488">
            <v>2368726</v>
          </cell>
          <cell r="I488">
            <v>2686938</v>
          </cell>
        </row>
        <row r="489">
          <cell r="A489" t="str">
            <v>0500|246000</v>
          </cell>
          <cell r="B489" t="str">
            <v>0500</v>
          </cell>
          <cell r="C489">
            <v>246000</v>
          </cell>
          <cell r="D489">
            <v>41244</v>
          </cell>
          <cell r="E489">
            <v>0</v>
          </cell>
          <cell r="F489">
            <v>0</v>
          </cell>
          <cell r="G489">
            <v>50000</v>
          </cell>
          <cell r="H489">
            <v>0</v>
          </cell>
          <cell r="I489">
            <v>0</v>
          </cell>
        </row>
        <row r="490">
          <cell r="A490" t="str">
            <v>0500|400040</v>
          </cell>
          <cell r="B490" t="str">
            <v>0500</v>
          </cell>
          <cell r="C490">
            <v>400040</v>
          </cell>
          <cell r="D490">
            <v>41244</v>
          </cell>
          <cell r="E490">
            <v>0</v>
          </cell>
          <cell r="F490">
            <v>0</v>
          </cell>
          <cell r="G490">
            <v>41722164</v>
          </cell>
          <cell r="H490">
            <v>0</v>
          </cell>
          <cell r="I490">
            <v>0</v>
          </cell>
        </row>
        <row r="491">
          <cell r="A491" t="str">
            <v>0500|420002</v>
          </cell>
          <cell r="B491" t="str">
            <v>0500</v>
          </cell>
          <cell r="C491">
            <v>420002</v>
          </cell>
          <cell r="D491">
            <v>41244</v>
          </cell>
          <cell r="E491">
            <v>356519237</v>
          </cell>
          <cell r="F491">
            <v>356519237</v>
          </cell>
          <cell r="G491">
            <v>566718349</v>
          </cell>
          <cell r="H491">
            <v>29709936</v>
          </cell>
          <cell r="I491">
            <v>37350000</v>
          </cell>
        </row>
        <row r="492">
          <cell r="A492" t="str">
            <v>0500|420003</v>
          </cell>
          <cell r="B492" t="str">
            <v>0500</v>
          </cell>
          <cell r="C492">
            <v>420003</v>
          </cell>
          <cell r="D492">
            <v>41244</v>
          </cell>
          <cell r="E492">
            <v>231101892</v>
          </cell>
          <cell r="F492">
            <v>231101892</v>
          </cell>
          <cell r="G492">
            <v>227687156</v>
          </cell>
          <cell r="H492">
            <v>19258491</v>
          </cell>
          <cell r="I492">
            <v>19094022</v>
          </cell>
        </row>
        <row r="493">
          <cell r="A493" t="str">
            <v>0500|422002</v>
          </cell>
          <cell r="B493" t="str">
            <v>0500</v>
          </cell>
          <cell r="C493">
            <v>422002</v>
          </cell>
          <cell r="D493">
            <v>41244</v>
          </cell>
          <cell r="E493">
            <v>16850829</v>
          </cell>
          <cell r="F493">
            <v>16850829</v>
          </cell>
          <cell r="G493">
            <v>720050</v>
          </cell>
          <cell r="H493">
            <v>1404236</v>
          </cell>
          <cell r="I493">
            <v>0</v>
          </cell>
        </row>
        <row r="494">
          <cell r="A494" t="str">
            <v>0500|431000</v>
          </cell>
          <cell r="B494" t="str">
            <v>0500</v>
          </cell>
          <cell r="C494">
            <v>431000</v>
          </cell>
          <cell r="D494">
            <v>41244</v>
          </cell>
          <cell r="E494">
            <v>0</v>
          </cell>
          <cell r="F494">
            <v>0</v>
          </cell>
          <cell r="G494">
            <v>199125</v>
          </cell>
          <cell r="H494">
            <v>0</v>
          </cell>
          <cell r="I494">
            <v>0</v>
          </cell>
        </row>
        <row r="495">
          <cell r="A495" t="str">
            <v>0500|431001</v>
          </cell>
          <cell r="B495" t="str">
            <v>0500</v>
          </cell>
          <cell r="C495">
            <v>431001</v>
          </cell>
          <cell r="D495">
            <v>41244</v>
          </cell>
          <cell r="E495">
            <v>0</v>
          </cell>
          <cell r="F495">
            <v>0</v>
          </cell>
          <cell r="G495">
            <v>4305746</v>
          </cell>
          <cell r="H495">
            <v>0</v>
          </cell>
          <cell r="I495">
            <v>0</v>
          </cell>
        </row>
        <row r="496">
          <cell r="A496" t="str">
            <v>0500|431002</v>
          </cell>
          <cell r="B496" t="str">
            <v>0500</v>
          </cell>
          <cell r="C496">
            <v>431002</v>
          </cell>
          <cell r="D496">
            <v>41244</v>
          </cell>
          <cell r="E496">
            <v>142136100</v>
          </cell>
          <cell r="F496">
            <v>142136100</v>
          </cell>
          <cell r="G496">
            <v>73441101</v>
          </cell>
          <cell r="H496">
            <v>11844675</v>
          </cell>
          <cell r="I496">
            <v>2287759</v>
          </cell>
        </row>
        <row r="497">
          <cell r="A497" t="str">
            <v>0500|433003</v>
          </cell>
          <cell r="B497" t="str">
            <v>0500</v>
          </cell>
          <cell r="C497">
            <v>433003</v>
          </cell>
          <cell r="D497">
            <v>41244</v>
          </cell>
          <cell r="E497">
            <v>30904376</v>
          </cell>
          <cell r="F497">
            <v>30904376</v>
          </cell>
          <cell r="G497">
            <v>0</v>
          </cell>
          <cell r="H497">
            <v>2575365</v>
          </cell>
          <cell r="I497">
            <v>0</v>
          </cell>
        </row>
        <row r="498">
          <cell r="A498" t="str">
            <v>0500|434012</v>
          </cell>
          <cell r="B498" t="str">
            <v>0500</v>
          </cell>
          <cell r="C498">
            <v>434012</v>
          </cell>
          <cell r="D498">
            <v>41244</v>
          </cell>
          <cell r="E498">
            <v>0</v>
          </cell>
          <cell r="F498">
            <v>0</v>
          </cell>
          <cell r="G498">
            <v>11023889</v>
          </cell>
          <cell r="H498">
            <v>0</v>
          </cell>
          <cell r="I498">
            <v>2946436</v>
          </cell>
        </row>
        <row r="499">
          <cell r="A499" t="str">
            <v>0500|434013</v>
          </cell>
          <cell r="B499" t="str">
            <v>0500</v>
          </cell>
          <cell r="C499">
            <v>434013</v>
          </cell>
          <cell r="D499">
            <v>41244</v>
          </cell>
          <cell r="E499">
            <v>0</v>
          </cell>
          <cell r="F499">
            <v>0</v>
          </cell>
          <cell r="G499">
            <v>4244886</v>
          </cell>
          <cell r="H499">
            <v>0</v>
          </cell>
          <cell r="I499">
            <v>1366596</v>
          </cell>
        </row>
        <row r="500">
          <cell r="A500" t="str">
            <v>0500|435002</v>
          </cell>
          <cell r="B500" t="str">
            <v>0500</v>
          </cell>
          <cell r="C500">
            <v>435002</v>
          </cell>
          <cell r="D500">
            <v>41244</v>
          </cell>
          <cell r="E500">
            <v>29709936</v>
          </cell>
          <cell r="F500">
            <v>29709936</v>
          </cell>
          <cell r="G500">
            <v>30932778</v>
          </cell>
          <cell r="H500">
            <v>2475828</v>
          </cell>
          <cell r="I500">
            <v>12131500</v>
          </cell>
        </row>
        <row r="501">
          <cell r="A501" t="str">
            <v>0500|435003</v>
          </cell>
          <cell r="B501" t="str">
            <v>0500</v>
          </cell>
          <cell r="C501">
            <v>435003</v>
          </cell>
          <cell r="D501">
            <v>41244</v>
          </cell>
          <cell r="E501">
            <v>28887737</v>
          </cell>
          <cell r="F501">
            <v>28887737</v>
          </cell>
          <cell r="G501">
            <v>13082400</v>
          </cell>
          <cell r="H501">
            <v>2407311</v>
          </cell>
          <cell r="I501">
            <v>0</v>
          </cell>
        </row>
        <row r="502">
          <cell r="A502" t="str">
            <v>0500|439003</v>
          </cell>
          <cell r="B502" t="str">
            <v>0500</v>
          </cell>
          <cell r="C502">
            <v>439003</v>
          </cell>
          <cell r="D502">
            <v>41244</v>
          </cell>
          <cell r="E502">
            <v>44055634</v>
          </cell>
          <cell r="F502">
            <v>44055634</v>
          </cell>
          <cell r="G502">
            <v>67228313</v>
          </cell>
          <cell r="H502">
            <v>3671303</v>
          </cell>
          <cell r="I502">
            <v>8296600</v>
          </cell>
        </row>
        <row r="503">
          <cell r="A503" t="str">
            <v>0500|439008</v>
          </cell>
          <cell r="B503" t="str">
            <v>0500</v>
          </cell>
          <cell r="C503">
            <v>439008</v>
          </cell>
          <cell r="D503">
            <v>41244</v>
          </cell>
          <cell r="E503">
            <v>81844525</v>
          </cell>
          <cell r="F503">
            <v>81844525</v>
          </cell>
          <cell r="G503">
            <v>94150537</v>
          </cell>
          <cell r="H503">
            <v>6820377</v>
          </cell>
          <cell r="I503">
            <v>0</v>
          </cell>
        </row>
        <row r="504">
          <cell r="A504" t="str">
            <v>0500|439202</v>
          </cell>
          <cell r="B504" t="str">
            <v>0500</v>
          </cell>
          <cell r="C504">
            <v>439202</v>
          </cell>
          <cell r="D504">
            <v>41244</v>
          </cell>
          <cell r="E504">
            <v>36000000</v>
          </cell>
          <cell r="F504">
            <v>36000000</v>
          </cell>
          <cell r="G504">
            <v>25910000</v>
          </cell>
          <cell r="H504">
            <v>3000000</v>
          </cell>
          <cell r="I504">
            <v>2075000</v>
          </cell>
        </row>
        <row r="505">
          <cell r="A505" t="str">
            <v>0500|439203</v>
          </cell>
          <cell r="B505" t="str">
            <v>0500</v>
          </cell>
          <cell r="C505">
            <v>439203</v>
          </cell>
          <cell r="D505">
            <v>41244</v>
          </cell>
          <cell r="E505">
            <v>6000000</v>
          </cell>
          <cell r="F505">
            <v>6000000</v>
          </cell>
          <cell r="G505">
            <v>0</v>
          </cell>
          <cell r="H505">
            <v>500000</v>
          </cell>
          <cell r="I505">
            <v>0</v>
          </cell>
        </row>
        <row r="506">
          <cell r="A506" t="str">
            <v>0500|440002</v>
          </cell>
          <cell r="B506" t="str">
            <v>0500</v>
          </cell>
          <cell r="C506">
            <v>440002</v>
          </cell>
          <cell r="D506">
            <v>41244</v>
          </cell>
          <cell r="E506">
            <v>29709936</v>
          </cell>
          <cell r="F506">
            <v>29709936</v>
          </cell>
          <cell r="G506">
            <v>49386556</v>
          </cell>
          <cell r="H506">
            <v>2475828</v>
          </cell>
          <cell r="I506">
            <v>1675454</v>
          </cell>
        </row>
        <row r="507">
          <cell r="A507" t="str">
            <v>0500|440003</v>
          </cell>
          <cell r="B507" t="str">
            <v>0500</v>
          </cell>
          <cell r="C507">
            <v>440003</v>
          </cell>
          <cell r="D507">
            <v>41244</v>
          </cell>
          <cell r="E507">
            <v>19258491</v>
          </cell>
          <cell r="F507">
            <v>19258491</v>
          </cell>
          <cell r="G507">
            <v>524493</v>
          </cell>
          <cell r="H507">
            <v>1604874</v>
          </cell>
          <cell r="I507">
            <v>1764098</v>
          </cell>
        </row>
        <row r="508">
          <cell r="A508" t="str">
            <v>0500|446002</v>
          </cell>
          <cell r="B508" t="str">
            <v>0500</v>
          </cell>
          <cell r="C508">
            <v>446002</v>
          </cell>
          <cell r="D508">
            <v>41244</v>
          </cell>
          <cell r="E508">
            <v>14854968</v>
          </cell>
          <cell r="F508">
            <v>14854968</v>
          </cell>
          <cell r="G508">
            <v>8495365</v>
          </cell>
          <cell r="H508">
            <v>1237914</v>
          </cell>
          <cell r="I508">
            <v>0</v>
          </cell>
        </row>
        <row r="509">
          <cell r="A509" t="str">
            <v>0500|447002</v>
          </cell>
          <cell r="B509" t="str">
            <v>0500</v>
          </cell>
          <cell r="C509">
            <v>447002</v>
          </cell>
          <cell r="D509">
            <v>41244</v>
          </cell>
          <cell r="E509">
            <v>10363258</v>
          </cell>
          <cell r="F509">
            <v>10363258</v>
          </cell>
          <cell r="G509">
            <v>3113402</v>
          </cell>
          <cell r="H509">
            <v>863605</v>
          </cell>
          <cell r="I509">
            <v>201690</v>
          </cell>
        </row>
        <row r="510">
          <cell r="A510" t="str">
            <v>0500|447003</v>
          </cell>
          <cell r="B510" t="str">
            <v>0500</v>
          </cell>
          <cell r="C510">
            <v>447003</v>
          </cell>
          <cell r="D510">
            <v>41244</v>
          </cell>
          <cell r="E510">
            <v>2035512</v>
          </cell>
          <cell r="F510">
            <v>2035512</v>
          </cell>
          <cell r="G510">
            <v>0</v>
          </cell>
          <cell r="H510">
            <v>169626</v>
          </cell>
          <cell r="I510">
            <v>0</v>
          </cell>
        </row>
        <row r="511">
          <cell r="A511" t="str">
            <v>0500|447012</v>
          </cell>
          <cell r="B511" t="str">
            <v>0500</v>
          </cell>
          <cell r="C511">
            <v>447012</v>
          </cell>
          <cell r="D511">
            <v>41244</v>
          </cell>
          <cell r="E511">
            <v>24422965</v>
          </cell>
          <cell r="F511">
            <v>24422965</v>
          </cell>
          <cell r="G511">
            <v>21332565</v>
          </cell>
          <cell r="H511">
            <v>2035247</v>
          </cell>
          <cell r="I511">
            <v>1381951</v>
          </cell>
        </row>
        <row r="512">
          <cell r="A512" t="str">
            <v>0500|447013</v>
          </cell>
          <cell r="B512" t="str">
            <v>0500</v>
          </cell>
          <cell r="C512">
            <v>447013</v>
          </cell>
          <cell r="D512">
            <v>41244</v>
          </cell>
          <cell r="E512">
            <v>4797067</v>
          </cell>
          <cell r="F512">
            <v>4797067</v>
          </cell>
          <cell r="G512">
            <v>0</v>
          </cell>
          <cell r="H512">
            <v>399756</v>
          </cell>
          <cell r="I512">
            <v>0</v>
          </cell>
        </row>
        <row r="513">
          <cell r="A513" t="str">
            <v>0500|447022</v>
          </cell>
          <cell r="B513" t="str">
            <v>0500</v>
          </cell>
          <cell r="C513">
            <v>447022</v>
          </cell>
          <cell r="D513">
            <v>41244</v>
          </cell>
          <cell r="E513">
            <v>1036326</v>
          </cell>
          <cell r="F513">
            <v>1036326</v>
          </cell>
          <cell r="G513">
            <v>696946</v>
          </cell>
          <cell r="H513">
            <v>86360</v>
          </cell>
          <cell r="I513">
            <v>9250</v>
          </cell>
        </row>
        <row r="514">
          <cell r="A514" t="str">
            <v>0500|447023</v>
          </cell>
          <cell r="B514" t="str">
            <v>0500</v>
          </cell>
          <cell r="C514">
            <v>447023</v>
          </cell>
          <cell r="D514">
            <v>41244</v>
          </cell>
          <cell r="E514">
            <v>203551</v>
          </cell>
          <cell r="F514">
            <v>203551</v>
          </cell>
          <cell r="G514">
            <v>0</v>
          </cell>
          <cell r="H514">
            <v>16963</v>
          </cell>
          <cell r="I514">
            <v>0</v>
          </cell>
        </row>
        <row r="515">
          <cell r="A515" t="str">
            <v>0500|448002</v>
          </cell>
          <cell r="B515" t="str">
            <v>0500</v>
          </cell>
          <cell r="C515">
            <v>448002</v>
          </cell>
          <cell r="D515">
            <v>41244</v>
          </cell>
          <cell r="E515">
            <v>61572084</v>
          </cell>
          <cell r="F515">
            <v>61572084</v>
          </cell>
          <cell r="G515">
            <v>39332321</v>
          </cell>
          <cell r="H515">
            <v>5131007</v>
          </cell>
          <cell r="I515">
            <v>18421600</v>
          </cell>
        </row>
        <row r="516">
          <cell r="A516" t="str">
            <v>0500|448003</v>
          </cell>
          <cell r="B516" t="str">
            <v>0500</v>
          </cell>
          <cell r="C516">
            <v>448003</v>
          </cell>
          <cell r="D516">
            <v>41244</v>
          </cell>
          <cell r="E516">
            <v>19610005</v>
          </cell>
          <cell r="F516">
            <v>19610005</v>
          </cell>
          <cell r="G516">
            <v>0</v>
          </cell>
          <cell r="H516">
            <v>1634167</v>
          </cell>
          <cell r="I516">
            <v>0</v>
          </cell>
        </row>
        <row r="517">
          <cell r="A517" t="str">
            <v>0500|449022</v>
          </cell>
          <cell r="B517" t="str">
            <v>0500</v>
          </cell>
          <cell r="C517">
            <v>449022</v>
          </cell>
          <cell r="D517">
            <v>41244</v>
          </cell>
          <cell r="E517">
            <v>19800000</v>
          </cell>
          <cell r="F517">
            <v>19800000</v>
          </cell>
          <cell r="G517">
            <v>15442000</v>
          </cell>
          <cell r="H517">
            <v>1650000</v>
          </cell>
          <cell r="I517">
            <v>1037000</v>
          </cell>
        </row>
        <row r="518">
          <cell r="A518" t="str">
            <v>0500|449023</v>
          </cell>
          <cell r="B518" t="str">
            <v>0500</v>
          </cell>
          <cell r="C518">
            <v>449023</v>
          </cell>
          <cell r="D518">
            <v>41244</v>
          </cell>
          <cell r="E518">
            <v>33450000</v>
          </cell>
          <cell r="F518">
            <v>33450000</v>
          </cell>
          <cell r="G518">
            <v>28990208</v>
          </cell>
          <cell r="H518">
            <v>2787500</v>
          </cell>
          <cell r="I518">
            <v>2230000</v>
          </cell>
        </row>
        <row r="519">
          <cell r="A519" t="str">
            <v>0500|449032</v>
          </cell>
          <cell r="B519" t="str">
            <v>0500</v>
          </cell>
          <cell r="C519">
            <v>449032</v>
          </cell>
          <cell r="D519">
            <v>41244</v>
          </cell>
          <cell r="E519">
            <v>18423847</v>
          </cell>
          <cell r="F519">
            <v>18423847</v>
          </cell>
          <cell r="G519">
            <v>1610000</v>
          </cell>
          <cell r="H519">
            <v>1535321</v>
          </cell>
          <cell r="I519">
            <v>0</v>
          </cell>
        </row>
        <row r="520">
          <cell r="A520" t="str">
            <v>0500|449040</v>
          </cell>
          <cell r="B520" t="str">
            <v>0500</v>
          </cell>
          <cell r="C520">
            <v>449040</v>
          </cell>
          <cell r="D520">
            <v>41244</v>
          </cell>
          <cell r="E520">
            <v>12055724</v>
          </cell>
          <cell r="F520">
            <v>12055724</v>
          </cell>
          <cell r="G520">
            <v>23071500</v>
          </cell>
          <cell r="H520">
            <v>1004644</v>
          </cell>
          <cell r="I520">
            <v>0</v>
          </cell>
        </row>
        <row r="521">
          <cell r="A521" t="str">
            <v>0500|449050</v>
          </cell>
          <cell r="B521" t="str">
            <v>0500</v>
          </cell>
          <cell r="C521">
            <v>449050</v>
          </cell>
          <cell r="D521">
            <v>41244</v>
          </cell>
          <cell r="E521">
            <v>55647300</v>
          </cell>
          <cell r="F521">
            <v>55647300</v>
          </cell>
          <cell r="G521">
            <v>64994500</v>
          </cell>
          <cell r="H521">
            <v>4637283</v>
          </cell>
          <cell r="I521">
            <v>4563500</v>
          </cell>
        </row>
        <row r="522">
          <cell r="A522" t="str">
            <v>0500|449060</v>
          </cell>
          <cell r="B522" t="str">
            <v>0500</v>
          </cell>
          <cell r="C522">
            <v>449060</v>
          </cell>
          <cell r="D522">
            <v>41244</v>
          </cell>
          <cell r="E522">
            <v>0</v>
          </cell>
          <cell r="F522">
            <v>0</v>
          </cell>
          <cell r="G522">
            <v>492207</v>
          </cell>
          <cell r="H522">
            <v>0</v>
          </cell>
          <cell r="I522">
            <v>0</v>
          </cell>
        </row>
        <row r="523">
          <cell r="A523" t="str">
            <v>0500|449061</v>
          </cell>
          <cell r="B523" t="str">
            <v>0500</v>
          </cell>
          <cell r="C523">
            <v>449061</v>
          </cell>
          <cell r="D523">
            <v>41244</v>
          </cell>
          <cell r="E523">
            <v>64568800</v>
          </cell>
          <cell r="F523">
            <v>64568800</v>
          </cell>
          <cell r="G523">
            <v>62671700</v>
          </cell>
          <cell r="H523">
            <v>5380733</v>
          </cell>
          <cell r="I523">
            <v>2260100</v>
          </cell>
        </row>
        <row r="524">
          <cell r="A524" t="str">
            <v>0500|459000</v>
          </cell>
          <cell r="B524" t="str">
            <v>0500</v>
          </cell>
          <cell r="C524">
            <v>459000</v>
          </cell>
          <cell r="D524">
            <v>41244</v>
          </cell>
          <cell r="E524">
            <v>3082600</v>
          </cell>
          <cell r="F524">
            <v>3082600</v>
          </cell>
          <cell r="G524">
            <v>-3375000</v>
          </cell>
          <cell r="H524">
            <v>256883</v>
          </cell>
          <cell r="I524">
            <v>0</v>
          </cell>
        </row>
        <row r="525">
          <cell r="A525" t="str">
            <v>0500|459005</v>
          </cell>
          <cell r="B525" t="str">
            <v>0500</v>
          </cell>
          <cell r="C525">
            <v>459005</v>
          </cell>
          <cell r="D525">
            <v>41244</v>
          </cell>
          <cell r="E525">
            <v>900000</v>
          </cell>
          <cell r="F525">
            <v>900000</v>
          </cell>
          <cell r="G525">
            <v>815150</v>
          </cell>
          <cell r="H525">
            <v>75000</v>
          </cell>
          <cell r="I525">
            <v>0</v>
          </cell>
        </row>
        <row r="526">
          <cell r="A526" t="str">
            <v>0500|465001</v>
          </cell>
          <cell r="B526" t="str">
            <v>0500</v>
          </cell>
          <cell r="C526">
            <v>465001</v>
          </cell>
          <cell r="D526">
            <v>41244</v>
          </cell>
          <cell r="E526">
            <v>0</v>
          </cell>
          <cell r="F526">
            <v>0</v>
          </cell>
          <cell r="G526">
            <v>172384962</v>
          </cell>
          <cell r="H526">
            <v>0</v>
          </cell>
          <cell r="I526">
            <v>35870455</v>
          </cell>
        </row>
        <row r="527">
          <cell r="A527" t="str">
            <v>0500|470102</v>
          </cell>
          <cell r="B527" t="str">
            <v>0500</v>
          </cell>
          <cell r="C527">
            <v>470102</v>
          </cell>
          <cell r="D527">
            <v>41244</v>
          </cell>
          <cell r="E527">
            <v>1793520</v>
          </cell>
          <cell r="F527">
            <v>1793520</v>
          </cell>
          <cell r="G527">
            <v>2580501</v>
          </cell>
          <cell r="H527">
            <v>149460</v>
          </cell>
          <cell r="I527">
            <v>1228000</v>
          </cell>
        </row>
        <row r="528">
          <cell r="A528" t="str">
            <v>0500|471000</v>
          </cell>
          <cell r="B528" t="str">
            <v>0500</v>
          </cell>
          <cell r="C528">
            <v>471000</v>
          </cell>
          <cell r="D528">
            <v>41244</v>
          </cell>
          <cell r="E528">
            <v>4613620</v>
          </cell>
          <cell r="F528">
            <v>4613620</v>
          </cell>
          <cell r="G528">
            <v>4334250</v>
          </cell>
          <cell r="H528">
            <v>384468</v>
          </cell>
          <cell r="I528">
            <v>0</v>
          </cell>
        </row>
        <row r="529">
          <cell r="A529" t="str">
            <v>0500|472000</v>
          </cell>
          <cell r="B529" t="str">
            <v>0500</v>
          </cell>
          <cell r="C529">
            <v>472000</v>
          </cell>
          <cell r="D529">
            <v>41244</v>
          </cell>
          <cell r="E529">
            <v>2000000</v>
          </cell>
          <cell r="F529">
            <v>2000000</v>
          </cell>
          <cell r="G529">
            <v>1256227</v>
          </cell>
          <cell r="H529">
            <v>166666</v>
          </cell>
          <cell r="I529">
            <v>-154032</v>
          </cell>
        </row>
        <row r="530">
          <cell r="A530" t="str">
            <v>0500|473000</v>
          </cell>
          <cell r="B530" t="str">
            <v>0500</v>
          </cell>
          <cell r="C530">
            <v>473000</v>
          </cell>
          <cell r="D530">
            <v>41244</v>
          </cell>
          <cell r="E530">
            <v>7379500</v>
          </cell>
          <cell r="F530">
            <v>7379500</v>
          </cell>
          <cell r="G530">
            <v>7767960</v>
          </cell>
          <cell r="H530">
            <v>614958</v>
          </cell>
          <cell r="I530">
            <v>0</v>
          </cell>
        </row>
        <row r="531">
          <cell r="A531" t="str">
            <v>0500|473120</v>
          </cell>
          <cell r="B531" t="str">
            <v>0500</v>
          </cell>
          <cell r="C531">
            <v>473120</v>
          </cell>
          <cell r="D531">
            <v>41244</v>
          </cell>
          <cell r="E531">
            <v>20828729</v>
          </cell>
          <cell r="F531">
            <v>20828729</v>
          </cell>
          <cell r="G531">
            <v>15942342</v>
          </cell>
          <cell r="H531">
            <v>1735727</v>
          </cell>
          <cell r="I531">
            <v>1644649</v>
          </cell>
        </row>
        <row r="532">
          <cell r="A532" t="str">
            <v>0500|474100</v>
          </cell>
          <cell r="B532" t="str">
            <v>0500</v>
          </cell>
          <cell r="C532">
            <v>474100</v>
          </cell>
          <cell r="D532">
            <v>41244</v>
          </cell>
          <cell r="E532">
            <v>62900100</v>
          </cell>
          <cell r="F532">
            <v>62900100</v>
          </cell>
          <cell r="G532">
            <v>-33422288</v>
          </cell>
          <cell r="H532">
            <v>5241675</v>
          </cell>
          <cell r="I532">
            <v>29262575</v>
          </cell>
        </row>
        <row r="533">
          <cell r="A533" t="str">
            <v>0500|474101</v>
          </cell>
          <cell r="B533" t="str">
            <v>0500</v>
          </cell>
          <cell r="C533">
            <v>474101</v>
          </cell>
          <cell r="D533">
            <v>41244</v>
          </cell>
          <cell r="E533">
            <v>30368741</v>
          </cell>
          <cell r="F533">
            <v>30368741</v>
          </cell>
          <cell r="G533">
            <v>-9080000</v>
          </cell>
          <cell r="H533">
            <v>2530728</v>
          </cell>
          <cell r="I533">
            <v>0</v>
          </cell>
        </row>
        <row r="534">
          <cell r="A534" t="str">
            <v>0500|475003</v>
          </cell>
          <cell r="B534" t="str">
            <v>0500</v>
          </cell>
          <cell r="C534">
            <v>475003</v>
          </cell>
          <cell r="D534">
            <v>41244</v>
          </cell>
          <cell r="E534">
            <v>24622216</v>
          </cell>
          <cell r="F534">
            <v>24622216</v>
          </cell>
          <cell r="G534">
            <v>8662738</v>
          </cell>
          <cell r="H534">
            <v>2051851</v>
          </cell>
          <cell r="I534">
            <v>1035344</v>
          </cell>
        </row>
        <row r="535">
          <cell r="A535" t="str">
            <v>0500|475004</v>
          </cell>
          <cell r="B535" t="str">
            <v>0500</v>
          </cell>
          <cell r="C535">
            <v>475004</v>
          </cell>
          <cell r="D535">
            <v>41244</v>
          </cell>
          <cell r="E535">
            <v>30621466</v>
          </cell>
          <cell r="F535">
            <v>30621466</v>
          </cell>
          <cell r="G535">
            <v>5558370</v>
          </cell>
          <cell r="H535">
            <v>2551789</v>
          </cell>
          <cell r="I535">
            <v>0</v>
          </cell>
        </row>
        <row r="536">
          <cell r="A536" t="str">
            <v>0500|475005</v>
          </cell>
          <cell r="B536" t="str">
            <v>0500</v>
          </cell>
          <cell r="C536">
            <v>475005</v>
          </cell>
          <cell r="D536">
            <v>41244</v>
          </cell>
          <cell r="E536">
            <v>20000</v>
          </cell>
          <cell r="F536">
            <v>20000</v>
          </cell>
          <cell r="G536">
            <v>0</v>
          </cell>
          <cell r="H536">
            <v>1667</v>
          </cell>
          <cell r="I536">
            <v>0</v>
          </cell>
        </row>
        <row r="537">
          <cell r="A537" t="str">
            <v>0500|475006</v>
          </cell>
          <cell r="B537" t="str">
            <v>0500</v>
          </cell>
          <cell r="C537">
            <v>475006</v>
          </cell>
          <cell r="D537">
            <v>41244</v>
          </cell>
          <cell r="E537">
            <v>7837670</v>
          </cell>
          <cell r="F537">
            <v>7837670</v>
          </cell>
          <cell r="G537">
            <v>7887862</v>
          </cell>
          <cell r="H537">
            <v>653139</v>
          </cell>
          <cell r="I537">
            <v>639376</v>
          </cell>
        </row>
        <row r="538">
          <cell r="A538" t="str">
            <v>0500|476000</v>
          </cell>
          <cell r="B538" t="str">
            <v>0500</v>
          </cell>
          <cell r="C538">
            <v>476000</v>
          </cell>
          <cell r="D538">
            <v>41244</v>
          </cell>
          <cell r="E538">
            <v>8461657</v>
          </cell>
          <cell r="F538">
            <v>8461657</v>
          </cell>
          <cell r="G538">
            <v>6820502</v>
          </cell>
          <cell r="H538">
            <v>705138</v>
          </cell>
          <cell r="I538">
            <v>0</v>
          </cell>
        </row>
        <row r="539">
          <cell r="A539" t="str">
            <v>0500|476001</v>
          </cell>
          <cell r="B539" t="str">
            <v>0500</v>
          </cell>
          <cell r="C539">
            <v>476001</v>
          </cell>
          <cell r="D539">
            <v>41244</v>
          </cell>
          <cell r="E539">
            <v>164357800</v>
          </cell>
          <cell r="F539">
            <v>164357800</v>
          </cell>
          <cell r="G539">
            <v>114535560</v>
          </cell>
          <cell r="H539">
            <v>13696482</v>
          </cell>
          <cell r="I539">
            <v>0</v>
          </cell>
        </row>
        <row r="540">
          <cell r="A540" t="str">
            <v>0500|476002</v>
          </cell>
          <cell r="B540" t="str">
            <v>0500</v>
          </cell>
          <cell r="C540">
            <v>476002</v>
          </cell>
          <cell r="D540">
            <v>41244</v>
          </cell>
          <cell r="E540">
            <v>12478368</v>
          </cell>
          <cell r="F540">
            <v>12478368</v>
          </cell>
          <cell r="G540">
            <v>4418223</v>
          </cell>
          <cell r="H540">
            <v>1039864</v>
          </cell>
          <cell r="I540">
            <v>361000</v>
          </cell>
        </row>
        <row r="541">
          <cell r="A541" t="str">
            <v>0500|476220</v>
          </cell>
          <cell r="B541" t="str">
            <v>0500</v>
          </cell>
          <cell r="C541">
            <v>476220</v>
          </cell>
          <cell r="D541">
            <v>41244</v>
          </cell>
          <cell r="E541">
            <v>69808314</v>
          </cell>
          <cell r="F541">
            <v>69808314</v>
          </cell>
          <cell r="G541">
            <v>39483971</v>
          </cell>
          <cell r="H541">
            <v>5817359</v>
          </cell>
          <cell r="I541">
            <v>3654721</v>
          </cell>
        </row>
        <row r="542">
          <cell r="A542" t="str">
            <v>0500|476900</v>
          </cell>
          <cell r="B542" t="str">
            <v>0500</v>
          </cell>
          <cell r="C542">
            <v>476900</v>
          </cell>
          <cell r="D542">
            <v>41244</v>
          </cell>
          <cell r="E542">
            <v>2000000</v>
          </cell>
          <cell r="F542">
            <v>2000000</v>
          </cell>
          <cell r="G542">
            <v>606320</v>
          </cell>
          <cell r="H542">
            <v>166667</v>
          </cell>
          <cell r="I542">
            <v>0</v>
          </cell>
        </row>
        <row r="543">
          <cell r="A543" t="str">
            <v>0500|476910</v>
          </cell>
          <cell r="B543" t="str">
            <v>0500</v>
          </cell>
          <cell r="C543">
            <v>476910</v>
          </cell>
          <cell r="D543">
            <v>41244</v>
          </cell>
          <cell r="E543">
            <v>1555500</v>
          </cell>
          <cell r="F543">
            <v>1555500</v>
          </cell>
          <cell r="G543">
            <v>0</v>
          </cell>
          <cell r="H543">
            <v>129625</v>
          </cell>
          <cell r="I543">
            <v>0</v>
          </cell>
        </row>
        <row r="544">
          <cell r="A544" t="str">
            <v>0500|477001</v>
          </cell>
          <cell r="B544" t="str">
            <v>0500</v>
          </cell>
          <cell r="C544">
            <v>477001</v>
          </cell>
          <cell r="D544">
            <v>41244</v>
          </cell>
          <cell r="E544">
            <v>21572015307</v>
          </cell>
          <cell r="F544">
            <v>21572015307</v>
          </cell>
          <cell r="G544">
            <v>19376764005</v>
          </cell>
          <cell r="H544">
            <v>1797667942</v>
          </cell>
          <cell r="I544">
            <v>-168748795</v>
          </cell>
        </row>
        <row r="545">
          <cell r="A545" t="str">
            <v>0500|477100</v>
          </cell>
          <cell r="B545" t="str">
            <v>0500</v>
          </cell>
          <cell r="C545">
            <v>477100</v>
          </cell>
          <cell r="D545">
            <v>41244</v>
          </cell>
          <cell r="E545">
            <v>0</v>
          </cell>
          <cell r="F545">
            <v>0</v>
          </cell>
          <cell r="G545">
            <v>14739465</v>
          </cell>
          <cell r="H545">
            <v>0</v>
          </cell>
          <cell r="I545">
            <v>0</v>
          </cell>
        </row>
        <row r="546">
          <cell r="A546" t="str">
            <v>0500|477310</v>
          </cell>
          <cell r="B546" t="str">
            <v>0500</v>
          </cell>
          <cell r="C546">
            <v>477310</v>
          </cell>
          <cell r="D546">
            <v>41244</v>
          </cell>
          <cell r="E546">
            <v>358229560</v>
          </cell>
          <cell r="F546">
            <v>358229560</v>
          </cell>
          <cell r="G546">
            <v>347280224</v>
          </cell>
          <cell r="H546">
            <v>29852463</v>
          </cell>
          <cell r="I546">
            <v>-5857193</v>
          </cell>
        </row>
        <row r="547">
          <cell r="A547" t="str">
            <v>0500|477400</v>
          </cell>
          <cell r="B547" t="str">
            <v>0500</v>
          </cell>
          <cell r="C547">
            <v>477400</v>
          </cell>
          <cell r="D547">
            <v>41244</v>
          </cell>
          <cell r="E547">
            <v>9131114814</v>
          </cell>
          <cell r="F547">
            <v>9131114814</v>
          </cell>
          <cell r="G547">
            <v>10489811313</v>
          </cell>
          <cell r="H547">
            <v>760926234</v>
          </cell>
          <cell r="I547">
            <v>-324860129</v>
          </cell>
        </row>
        <row r="548">
          <cell r="A548" t="str">
            <v>0500|477410</v>
          </cell>
          <cell r="B548" t="str">
            <v>0500</v>
          </cell>
          <cell r="C548">
            <v>477410</v>
          </cell>
          <cell r="D548">
            <v>41244</v>
          </cell>
          <cell r="E548">
            <v>330855178</v>
          </cell>
          <cell r="F548">
            <v>330855178</v>
          </cell>
          <cell r="G548">
            <v>148454278</v>
          </cell>
          <cell r="H548">
            <v>27571265</v>
          </cell>
          <cell r="I548">
            <v>54129100</v>
          </cell>
        </row>
        <row r="549">
          <cell r="A549" t="str">
            <v>0500|477450</v>
          </cell>
          <cell r="B549" t="str">
            <v>0500</v>
          </cell>
          <cell r="C549">
            <v>477450</v>
          </cell>
          <cell r="D549">
            <v>41244</v>
          </cell>
          <cell r="E549">
            <v>1774405640</v>
          </cell>
          <cell r="F549">
            <v>1774405640</v>
          </cell>
          <cell r="G549">
            <v>2783247902</v>
          </cell>
          <cell r="H549">
            <v>147867137</v>
          </cell>
          <cell r="I549">
            <v>835575969</v>
          </cell>
        </row>
        <row r="550">
          <cell r="A550" t="str">
            <v>0510|211100</v>
          </cell>
          <cell r="B550" t="str">
            <v>0510</v>
          </cell>
          <cell r="C550">
            <v>211100</v>
          </cell>
          <cell r="D550">
            <v>41244</v>
          </cell>
          <cell r="E550">
            <v>18501263</v>
          </cell>
          <cell r="F550">
            <v>18501263</v>
          </cell>
          <cell r="G550">
            <v>17603803</v>
          </cell>
          <cell r="H550">
            <v>1541772</v>
          </cell>
          <cell r="I550">
            <v>1456426</v>
          </cell>
        </row>
        <row r="551">
          <cell r="A551" t="str">
            <v>0510|246000</v>
          </cell>
          <cell r="B551" t="str">
            <v>0510</v>
          </cell>
          <cell r="C551">
            <v>246000</v>
          </cell>
          <cell r="D551">
            <v>41244</v>
          </cell>
          <cell r="E551">
            <v>10000000</v>
          </cell>
          <cell r="F551">
            <v>10000000</v>
          </cell>
          <cell r="G551">
            <v>0</v>
          </cell>
          <cell r="H551">
            <v>833333</v>
          </cell>
          <cell r="I551">
            <v>0</v>
          </cell>
        </row>
        <row r="552">
          <cell r="A552" t="str">
            <v>0510|400040</v>
          </cell>
          <cell r="B552" t="str">
            <v>0510</v>
          </cell>
          <cell r="C552">
            <v>400040</v>
          </cell>
          <cell r="D552">
            <v>41244</v>
          </cell>
          <cell r="E552">
            <v>0</v>
          </cell>
          <cell r="F552">
            <v>0</v>
          </cell>
          <cell r="G552">
            <v>1577198</v>
          </cell>
          <cell r="H552">
            <v>0</v>
          </cell>
          <cell r="I552">
            <v>0</v>
          </cell>
        </row>
        <row r="553">
          <cell r="A553" t="str">
            <v>0510|405251</v>
          </cell>
          <cell r="B553" t="str">
            <v>0510</v>
          </cell>
          <cell r="C553">
            <v>405251</v>
          </cell>
          <cell r="D553">
            <v>41244</v>
          </cell>
          <cell r="E553">
            <v>0</v>
          </cell>
          <cell r="F553">
            <v>0</v>
          </cell>
          <cell r="G553">
            <v>15585283</v>
          </cell>
          <cell r="H553">
            <v>0</v>
          </cell>
          <cell r="I553">
            <v>0</v>
          </cell>
        </row>
        <row r="554">
          <cell r="A554" t="str">
            <v>0510|405252</v>
          </cell>
          <cell r="B554" t="str">
            <v>0510</v>
          </cell>
          <cell r="C554">
            <v>405252</v>
          </cell>
          <cell r="D554">
            <v>41244</v>
          </cell>
          <cell r="E554">
            <v>2500000000</v>
          </cell>
          <cell r="F554">
            <v>2500000000</v>
          </cell>
          <cell r="G554">
            <v>1993501255</v>
          </cell>
          <cell r="H554">
            <v>208333333</v>
          </cell>
          <cell r="I554">
            <v>613436000</v>
          </cell>
        </row>
        <row r="555">
          <cell r="A555" t="str">
            <v>0510|420002</v>
          </cell>
          <cell r="B555" t="str">
            <v>0510</v>
          </cell>
          <cell r="C555">
            <v>420002</v>
          </cell>
          <cell r="D555">
            <v>41244</v>
          </cell>
          <cell r="E555">
            <v>71303847</v>
          </cell>
          <cell r="F555">
            <v>71303847</v>
          </cell>
          <cell r="G555">
            <v>41052000</v>
          </cell>
          <cell r="H555">
            <v>5941987</v>
          </cell>
          <cell r="I555">
            <v>0</v>
          </cell>
        </row>
        <row r="556">
          <cell r="A556" t="str">
            <v>0510|420003</v>
          </cell>
          <cell r="B556" t="str">
            <v>0510</v>
          </cell>
          <cell r="C556">
            <v>420003</v>
          </cell>
          <cell r="D556">
            <v>41244</v>
          </cell>
          <cell r="E556">
            <v>874534216</v>
          </cell>
          <cell r="F556">
            <v>874534216</v>
          </cell>
          <cell r="G556">
            <v>425545041</v>
          </cell>
          <cell r="H556">
            <v>72877851</v>
          </cell>
          <cell r="I556">
            <v>96558565</v>
          </cell>
        </row>
        <row r="557">
          <cell r="A557" t="str">
            <v>0510|422002</v>
          </cell>
          <cell r="B557" t="str">
            <v>0510</v>
          </cell>
          <cell r="C557">
            <v>422002</v>
          </cell>
          <cell r="D557">
            <v>41244</v>
          </cell>
          <cell r="E557">
            <v>0</v>
          </cell>
          <cell r="F557">
            <v>0</v>
          </cell>
          <cell r="G557">
            <v>44750</v>
          </cell>
          <cell r="H557">
            <v>0</v>
          </cell>
          <cell r="I557">
            <v>0</v>
          </cell>
        </row>
        <row r="558">
          <cell r="A558" t="str">
            <v>0510|422003</v>
          </cell>
          <cell r="B558" t="str">
            <v>0510</v>
          </cell>
          <cell r="C558">
            <v>422003</v>
          </cell>
          <cell r="D558">
            <v>41244</v>
          </cell>
          <cell r="E558">
            <v>233746936</v>
          </cell>
          <cell r="F558">
            <v>233746936</v>
          </cell>
          <cell r="G558">
            <v>532372589</v>
          </cell>
          <cell r="H558">
            <v>19478911</v>
          </cell>
          <cell r="I558">
            <v>0</v>
          </cell>
        </row>
        <row r="559">
          <cell r="A559" t="str">
            <v>0510|431002</v>
          </cell>
          <cell r="B559" t="str">
            <v>0510</v>
          </cell>
          <cell r="C559">
            <v>431002</v>
          </cell>
          <cell r="D559">
            <v>41244</v>
          </cell>
          <cell r="E559">
            <v>9733557</v>
          </cell>
          <cell r="F559">
            <v>9733557</v>
          </cell>
          <cell r="G559">
            <v>2300948</v>
          </cell>
          <cell r="H559">
            <v>811129</v>
          </cell>
          <cell r="I559">
            <v>0</v>
          </cell>
        </row>
        <row r="560">
          <cell r="A560" t="str">
            <v>0510|433002</v>
          </cell>
          <cell r="B560" t="str">
            <v>0510</v>
          </cell>
          <cell r="C560">
            <v>433002</v>
          </cell>
          <cell r="D560">
            <v>41244</v>
          </cell>
          <cell r="E560">
            <v>2255801</v>
          </cell>
          <cell r="F560">
            <v>2255801</v>
          </cell>
          <cell r="G560">
            <v>2052600</v>
          </cell>
          <cell r="H560">
            <v>187983</v>
          </cell>
          <cell r="I560">
            <v>0</v>
          </cell>
        </row>
        <row r="561">
          <cell r="A561" t="str">
            <v>0510|434012</v>
          </cell>
          <cell r="B561" t="str">
            <v>0510</v>
          </cell>
          <cell r="C561">
            <v>434012</v>
          </cell>
          <cell r="D561">
            <v>41244</v>
          </cell>
          <cell r="E561">
            <v>0</v>
          </cell>
          <cell r="F561">
            <v>0</v>
          </cell>
          <cell r="G561">
            <v>1817398</v>
          </cell>
          <cell r="H561">
            <v>0</v>
          </cell>
          <cell r="I561">
            <v>0</v>
          </cell>
        </row>
        <row r="562">
          <cell r="A562" t="str">
            <v>0510|434013</v>
          </cell>
          <cell r="B562" t="str">
            <v>0510</v>
          </cell>
          <cell r="C562">
            <v>434013</v>
          </cell>
          <cell r="D562">
            <v>41244</v>
          </cell>
          <cell r="E562">
            <v>21273000</v>
          </cell>
          <cell r="F562">
            <v>21273000</v>
          </cell>
          <cell r="G562">
            <v>17305196</v>
          </cell>
          <cell r="H562">
            <v>1772750</v>
          </cell>
          <cell r="I562">
            <v>1366596</v>
          </cell>
        </row>
        <row r="563">
          <cell r="A563" t="str">
            <v>0510|435002</v>
          </cell>
          <cell r="B563" t="str">
            <v>0510</v>
          </cell>
          <cell r="C563">
            <v>435002</v>
          </cell>
          <cell r="D563">
            <v>41244</v>
          </cell>
          <cell r="E563">
            <v>5941987</v>
          </cell>
          <cell r="F563">
            <v>5941987</v>
          </cell>
          <cell r="G563">
            <v>0</v>
          </cell>
          <cell r="H563">
            <v>495166</v>
          </cell>
          <cell r="I563">
            <v>0</v>
          </cell>
        </row>
        <row r="564">
          <cell r="A564" t="str">
            <v>0510|435003</v>
          </cell>
          <cell r="B564" t="str">
            <v>0510</v>
          </cell>
          <cell r="C564">
            <v>435003</v>
          </cell>
          <cell r="D564">
            <v>41244</v>
          </cell>
          <cell r="E564">
            <v>208264045</v>
          </cell>
          <cell r="F564">
            <v>208264045</v>
          </cell>
          <cell r="G564">
            <v>42569822</v>
          </cell>
          <cell r="H564">
            <v>17355337</v>
          </cell>
          <cell r="I564">
            <v>0</v>
          </cell>
        </row>
        <row r="565">
          <cell r="A565" t="str">
            <v>0510|439003</v>
          </cell>
          <cell r="B565" t="str">
            <v>0510</v>
          </cell>
          <cell r="C565">
            <v>439003</v>
          </cell>
          <cell r="D565">
            <v>41244</v>
          </cell>
          <cell r="E565">
            <v>88111268</v>
          </cell>
          <cell r="F565">
            <v>88111268</v>
          </cell>
          <cell r="G565">
            <v>83713763</v>
          </cell>
          <cell r="H565">
            <v>7342606</v>
          </cell>
          <cell r="I565">
            <v>8296600</v>
          </cell>
        </row>
        <row r="566">
          <cell r="A566" t="str">
            <v>0510|439006</v>
          </cell>
          <cell r="B566" t="str">
            <v>0510</v>
          </cell>
          <cell r="C566">
            <v>439006</v>
          </cell>
          <cell r="D566">
            <v>41244</v>
          </cell>
          <cell r="E566">
            <v>149501030</v>
          </cell>
          <cell r="F566">
            <v>149501030</v>
          </cell>
          <cell r="G566">
            <v>0</v>
          </cell>
          <cell r="H566">
            <v>12458419</v>
          </cell>
          <cell r="I566">
            <v>0</v>
          </cell>
        </row>
        <row r="567">
          <cell r="A567" t="str">
            <v>0510|439008</v>
          </cell>
          <cell r="B567" t="str">
            <v>0510</v>
          </cell>
          <cell r="C567">
            <v>439008</v>
          </cell>
          <cell r="D567">
            <v>41244</v>
          </cell>
          <cell r="E567">
            <v>16368905</v>
          </cell>
          <cell r="F567">
            <v>16368905</v>
          </cell>
          <cell r="G567">
            <v>16017194</v>
          </cell>
          <cell r="H567">
            <v>1364075</v>
          </cell>
          <cell r="I567">
            <v>0</v>
          </cell>
        </row>
        <row r="568">
          <cell r="A568" t="str">
            <v>0510|439202</v>
          </cell>
          <cell r="B568" t="str">
            <v>0510</v>
          </cell>
          <cell r="C568">
            <v>439202</v>
          </cell>
          <cell r="D568">
            <v>41244</v>
          </cell>
          <cell r="E568">
            <v>6000000</v>
          </cell>
          <cell r="F568">
            <v>6000000</v>
          </cell>
          <cell r="G568">
            <v>3940000</v>
          </cell>
          <cell r="H568">
            <v>500000</v>
          </cell>
          <cell r="I568">
            <v>0</v>
          </cell>
        </row>
        <row r="569">
          <cell r="A569" t="str">
            <v>0510|439203</v>
          </cell>
          <cell r="B569" t="str">
            <v>0510</v>
          </cell>
          <cell r="C569">
            <v>439203</v>
          </cell>
          <cell r="D569">
            <v>41244</v>
          </cell>
          <cell r="E569">
            <v>12000000</v>
          </cell>
          <cell r="F569">
            <v>12000000</v>
          </cell>
          <cell r="G569">
            <v>6025000</v>
          </cell>
          <cell r="H569">
            <v>1000000</v>
          </cell>
          <cell r="I569">
            <v>475000</v>
          </cell>
        </row>
        <row r="570">
          <cell r="A570" t="str">
            <v>0510|440002</v>
          </cell>
          <cell r="B570" t="str">
            <v>0510</v>
          </cell>
          <cell r="C570">
            <v>440002</v>
          </cell>
          <cell r="D570">
            <v>41244</v>
          </cell>
          <cell r="E570">
            <v>5941987</v>
          </cell>
          <cell r="F570">
            <v>5941987</v>
          </cell>
          <cell r="G570">
            <v>3393053</v>
          </cell>
          <cell r="H570">
            <v>495166</v>
          </cell>
          <cell r="I570">
            <v>0</v>
          </cell>
        </row>
        <row r="571">
          <cell r="A571" t="str">
            <v>0510|440003</v>
          </cell>
          <cell r="B571" t="str">
            <v>0510</v>
          </cell>
          <cell r="C571">
            <v>440003</v>
          </cell>
          <cell r="D571">
            <v>41244</v>
          </cell>
          <cell r="E571">
            <v>35464799</v>
          </cell>
          <cell r="F571">
            <v>35464799</v>
          </cell>
          <cell r="G571">
            <v>20357516</v>
          </cell>
          <cell r="H571">
            <v>2955400</v>
          </cell>
          <cell r="I571">
            <v>1764098</v>
          </cell>
        </row>
        <row r="572">
          <cell r="A572" t="str">
            <v>0510|446002</v>
          </cell>
          <cell r="B572" t="str">
            <v>0510</v>
          </cell>
          <cell r="C572">
            <v>446002</v>
          </cell>
          <cell r="D572">
            <v>41244</v>
          </cell>
          <cell r="E572">
            <v>2970994</v>
          </cell>
          <cell r="F572">
            <v>2970994</v>
          </cell>
          <cell r="G572">
            <v>3301661</v>
          </cell>
          <cell r="H572">
            <v>247583</v>
          </cell>
          <cell r="I572">
            <v>0</v>
          </cell>
        </row>
        <row r="573">
          <cell r="A573" t="str">
            <v>0510|447002</v>
          </cell>
          <cell r="B573" t="str">
            <v>0510</v>
          </cell>
          <cell r="C573">
            <v>447002</v>
          </cell>
          <cell r="D573">
            <v>41244</v>
          </cell>
          <cell r="E573">
            <v>2072652</v>
          </cell>
          <cell r="F573">
            <v>2072652</v>
          </cell>
          <cell r="G573">
            <v>221680</v>
          </cell>
          <cell r="H573">
            <v>172721</v>
          </cell>
          <cell r="I573">
            <v>0</v>
          </cell>
        </row>
        <row r="574">
          <cell r="A574" t="str">
            <v>0510|447003</v>
          </cell>
          <cell r="B574" t="str">
            <v>0510</v>
          </cell>
          <cell r="C574">
            <v>447003</v>
          </cell>
          <cell r="D574">
            <v>41244</v>
          </cell>
          <cell r="E574">
            <v>2864602</v>
          </cell>
          <cell r="F574">
            <v>2864602</v>
          </cell>
          <cell r="G574">
            <v>1280446</v>
          </cell>
          <cell r="H574">
            <v>238717</v>
          </cell>
          <cell r="I574">
            <v>84807</v>
          </cell>
        </row>
        <row r="575">
          <cell r="A575" t="str">
            <v>0510|447012</v>
          </cell>
          <cell r="B575" t="str">
            <v>0510</v>
          </cell>
          <cell r="C575">
            <v>447012</v>
          </cell>
          <cell r="D575">
            <v>41244</v>
          </cell>
          <cell r="E575">
            <v>4884593</v>
          </cell>
          <cell r="F575">
            <v>4884593</v>
          </cell>
          <cell r="G575">
            <v>1518924</v>
          </cell>
          <cell r="H575">
            <v>407049</v>
          </cell>
          <cell r="I575">
            <v>0</v>
          </cell>
        </row>
        <row r="576">
          <cell r="A576" t="str">
            <v>0510|447013</v>
          </cell>
          <cell r="B576" t="str">
            <v>0510</v>
          </cell>
          <cell r="C576">
            <v>447013</v>
          </cell>
          <cell r="D576">
            <v>41244</v>
          </cell>
          <cell r="E576">
            <v>6750974</v>
          </cell>
          <cell r="F576">
            <v>6750974</v>
          </cell>
          <cell r="G576">
            <v>8773408</v>
          </cell>
          <cell r="H576">
            <v>562581</v>
          </cell>
          <cell r="I576">
            <v>581085</v>
          </cell>
        </row>
        <row r="577">
          <cell r="A577" t="str">
            <v>0510|447022</v>
          </cell>
          <cell r="B577" t="str">
            <v>0510</v>
          </cell>
          <cell r="C577">
            <v>447022</v>
          </cell>
          <cell r="D577">
            <v>41244</v>
          </cell>
          <cell r="E577">
            <v>207265</v>
          </cell>
          <cell r="F577">
            <v>207265</v>
          </cell>
          <cell r="G577">
            <v>11050</v>
          </cell>
          <cell r="H577">
            <v>17272</v>
          </cell>
          <cell r="I577">
            <v>0</v>
          </cell>
        </row>
        <row r="578">
          <cell r="A578" t="str">
            <v>0510|447023</v>
          </cell>
          <cell r="B578" t="str">
            <v>0510</v>
          </cell>
          <cell r="C578">
            <v>447023</v>
          </cell>
          <cell r="D578">
            <v>41244</v>
          </cell>
          <cell r="E578">
            <v>286460</v>
          </cell>
          <cell r="F578">
            <v>286460</v>
          </cell>
          <cell r="G578">
            <v>226014</v>
          </cell>
          <cell r="H578">
            <v>23872</v>
          </cell>
          <cell r="I578">
            <v>15000</v>
          </cell>
        </row>
        <row r="579">
          <cell r="A579" t="str">
            <v>0510|448002</v>
          </cell>
          <cell r="B579" t="str">
            <v>0510</v>
          </cell>
          <cell r="C579">
            <v>448002</v>
          </cell>
          <cell r="D579">
            <v>41244</v>
          </cell>
          <cell r="E579">
            <v>12314417</v>
          </cell>
          <cell r="F579">
            <v>12314417</v>
          </cell>
          <cell r="G579">
            <v>2388900</v>
          </cell>
          <cell r="H579">
            <v>1026201</v>
          </cell>
          <cell r="I579">
            <v>0</v>
          </cell>
        </row>
        <row r="580">
          <cell r="A580" t="str">
            <v>0510|448003</v>
          </cell>
          <cell r="B580" t="str">
            <v>0510</v>
          </cell>
          <cell r="C580">
            <v>448003</v>
          </cell>
          <cell r="D580">
            <v>41244</v>
          </cell>
          <cell r="E580">
            <v>34992284</v>
          </cell>
          <cell r="F580">
            <v>34992284</v>
          </cell>
          <cell r="G580">
            <v>12859200</v>
          </cell>
          <cell r="H580">
            <v>2916024</v>
          </cell>
          <cell r="I580">
            <v>1190300</v>
          </cell>
        </row>
        <row r="581">
          <cell r="A581" t="str">
            <v>0510|449011</v>
          </cell>
          <cell r="B581" t="str">
            <v>0510</v>
          </cell>
          <cell r="C581">
            <v>449011</v>
          </cell>
          <cell r="D581">
            <v>41244</v>
          </cell>
          <cell r="E581">
            <v>150000000</v>
          </cell>
          <cell r="F581">
            <v>150000000</v>
          </cell>
          <cell r="G581">
            <v>0</v>
          </cell>
          <cell r="H581">
            <v>12500000</v>
          </cell>
          <cell r="I581">
            <v>0</v>
          </cell>
        </row>
        <row r="582">
          <cell r="A582" t="str">
            <v>0510|449022</v>
          </cell>
          <cell r="B582" t="str">
            <v>0510</v>
          </cell>
          <cell r="C582">
            <v>449022</v>
          </cell>
          <cell r="D582">
            <v>41244</v>
          </cell>
          <cell r="E582">
            <v>3960000</v>
          </cell>
          <cell r="F582">
            <v>3960000</v>
          </cell>
          <cell r="G582">
            <v>5200000</v>
          </cell>
          <cell r="H582">
            <v>330000</v>
          </cell>
          <cell r="I582">
            <v>0</v>
          </cell>
        </row>
        <row r="583">
          <cell r="A583" t="str">
            <v>0510|449023</v>
          </cell>
          <cell r="B583" t="str">
            <v>0510</v>
          </cell>
          <cell r="C583">
            <v>449023</v>
          </cell>
          <cell r="D583">
            <v>41244</v>
          </cell>
          <cell r="E583">
            <v>37410000</v>
          </cell>
          <cell r="F583">
            <v>37410000</v>
          </cell>
          <cell r="G583">
            <v>32352175</v>
          </cell>
          <cell r="H583">
            <v>3117500</v>
          </cell>
          <cell r="I583">
            <v>2623450</v>
          </cell>
        </row>
        <row r="584">
          <cell r="A584" t="str">
            <v>0510|449032</v>
          </cell>
          <cell r="B584" t="str">
            <v>0510</v>
          </cell>
          <cell r="C584">
            <v>449032</v>
          </cell>
          <cell r="D584">
            <v>41244</v>
          </cell>
          <cell r="E584">
            <v>7512300</v>
          </cell>
          <cell r="F584">
            <v>7512300</v>
          </cell>
          <cell r="G584">
            <v>-3940912</v>
          </cell>
          <cell r="H584">
            <v>626025</v>
          </cell>
          <cell r="I584">
            <v>0</v>
          </cell>
        </row>
        <row r="585">
          <cell r="A585" t="str">
            <v>0510|449036</v>
          </cell>
          <cell r="B585" t="str">
            <v>0510</v>
          </cell>
          <cell r="C585">
            <v>449036</v>
          </cell>
          <cell r="D585">
            <v>41244</v>
          </cell>
          <cell r="E585">
            <v>4400000</v>
          </cell>
          <cell r="F585">
            <v>4400000</v>
          </cell>
          <cell r="G585">
            <v>-106571800</v>
          </cell>
          <cell r="H585">
            <v>366667</v>
          </cell>
          <cell r="I585">
            <v>13154400</v>
          </cell>
        </row>
        <row r="586">
          <cell r="A586" t="str">
            <v>0510|449040</v>
          </cell>
          <cell r="B586" t="str">
            <v>0510</v>
          </cell>
          <cell r="C586">
            <v>449040</v>
          </cell>
          <cell r="D586">
            <v>41244</v>
          </cell>
          <cell r="E586">
            <v>3470000</v>
          </cell>
          <cell r="F586">
            <v>3470000</v>
          </cell>
          <cell r="G586">
            <v>35209300</v>
          </cell>
          <cell r="H586">
            <v>289167</v>
          </cell>
          <cell r="I586">
            <v>1825000</v>
          </cell>
        </row>
        <row r="587">
          <cell r="A587" t="str">
            <v>0510|449050</v>
          </cell>
          <cell r="B587" t="str">
            <v>0510</v>
          </cell>
          <cell r="C587">
            <v>449050</v>
          </cell>
          <cell r="D587">
            <v>41244</v>
          </cell>
          <cell r="E587">
            <v>27512000</v>
          </cell>
          <cell r="F587">
            <v>27512000</v>
          </cell>
          <cell r="G587">
            <v>47500004</v>
          </cell>
          <cell r="H587">
            <v>2292667</v>
          </cell>
          <cell r="I587">
            <v>2466667</v>
          </cell>
        </row>
        <row r="588">
          <cell r="A588" t="str">
            <v>0510|449061</v>
          </cell>
          <cell r="B588" t="str">
            <v>0510</v>
          </cell>
          <cell r="C588">
            <v>449061</v>
          </cell>
          <cell r="D588">
            <v>41244</v>
          </cell>
          <cell r="E588">
            <v>11914200</v>
          </cell>
          <cell r="F588">
            <v>11914200</v>
          </cell>
          <cell r="G588">
            <v>13814000</v>
          </cell>
          <cell r="H588">
            <v>992850</v>
          </cell>
          <cell r="I588">
            <v>980500</v>
          </cell>
        </row>
        <row r="589">
          <cell r="A589" t="str">
            <v>0510|459000</v>
          </cell>
          <cell r="B589" t="str">
            <v>0510</v>
          </cell>
          <cell r="C589">
            <v>459000</v>
          </cell>
          <cell r="D589">
            <v>41244</v>
          </cell>
          <cell r="E589">
            <v>3700000</v>
          </cell>
          <cell r="F589">
            <v>3700000</v>
          </cell>
          <cell r="G589">
            <v>2772730</v>
          </cell>
          <cell r="H589">
            <v>308333</v>
          </cell>
          <cell r="I589">
            <v>0</v>
          </cell>
        </row>
        <row r="590">
          <cell r="A590" t="str">
            <v>0510|470001</v>
          </cell>
          <cell r="B590" t="str">
            <v>0510</v>
          </cell>
          <cell r="C590">
            <v>470001</v>
          </cell>
          <cell r="D590">
            <v>41244</v>
          </cell>
          <cell r="E590">
            <v>131090400</v>
          </cell>
          <cell r="F590">
            <v>131090400</v>
          </cell>
          <cell r="G590">
            <v>0</v>
          </cell>
          <cell r="H590">
            <v>10924200</v>
          </cell>
          <cell r="I590">
            <v>0</v>
          </cell>
        </row>
        <row r="591">
          <cell r="A591" t="str">
            <v>0510|472000</v>
          </cell>
          <cell r="B591" t="str">
            <v>0510</v>
          </cell>
          <cell r="C591">
            <v>472000</v>
          </cell>
          <cell r="D591">
            <v>41244</v>
          </cell>
          <cell r="E591">
            <v>5000000</v>
          </cell>
          <cell r="F591">
            <v>5000000</v>
          </cell>
          <cell r="G591">
            <v>0</v>
          </cell>
          <cell r="H591">
            <v>416667</v>
          </cell>
          <cell r="I591">
            <v>0</v>
          </cell>
        </row>
        <row r="592">
          <cell r="A592" t="str">
            <v>0510|473000</v>
          </cell>
          <cell r="B592" t="str">
            <v>0510</v>
          </cell>
          <cell r="C592">
            <v>473000</v>
          </cell>
          <cell r="D592">
            <v>41244</v>
          </cell>
          <cell r="E592">
            <v>700000</v>
          </cell>
          <cell r="F592">
            <v>700000</v>
          </cell>
          <cell r="G592">
            <v>600000</v>
          </cell>
          <cell r="H592">
            <v>58333</v>
          </cell>
          <cell r="I592">
            <v>0</v>
          </cell>
        </row>
        <row r="593">
          <cell r="A593" t="str">
            <v>0510|473120</v>
          </cell>
          <cell r="B593" t="str">
            <v>0510</v>
          </cell>
          <cell r="C593">
            <v>473120</v>
          </cell>
          <cell r="D593">
            <v>41244</v>
          </cell>
          <cell r="E593">
            <v>14137161</v>
          </cell>
          <cell r="F593">
            <v>14137161</v>
          </cell>
          <cell r="G593">
            <v>19874879</v>
          </cell>
          <cell r="H593">
            <v>1178097</v>
          </cell>
          <cell r="I593">
            <v>1874955</v>
          </cell>
        </row>
        <row r="594">
          <cell r="A594" t="str">
            <v>0510|474100</v>
          </cell>
          <cell r="B594" t="str">
            <v>0510</v>
          </cell>
          <cell r="C594">
            <v>474100</v>
          </cell>
          <cell r="D594">
            <v>41244</v>
          </cell>
          <cell r="E594">
            <v>126198357</v>
          </cell>
          <cell r="F594">
            <v>126198357</v>
          </cell>
          <cell r="G594">
            <v>81715753</v>
          </cell>
          <cell r="H594">
            <v>10516530</v>
          </cell>
          <cell r="I594">
            <v>0</v>
          </cell>
        </row>
        <row r="595">
          <cell r="A595" t="str">
            <v>0510|474101</v>
          </cell>
          <cell r="B595" t="str">
            <v>0510</v>
          </cell>
          <cell r="C595">
            <v>474101</v>
          </cell>
          <cell r="D595">
            <v>41244</v>
          </cell>
          <cell r="E595">
            <v>6649200</v>
          </cell>
          <cell r="F595">
            <v>6649200</v>
          </cell>
          <cell r="G595">
            <v>2858768</v>
          </cell>
          <cell r="H595">
            <v>554100</v>
          </cell>
          <cell r="I595">
            <v>0</v>
          </cell>
        </row>
        <row r="596">
          <cell r="A596" t="str">
            <v>0510|475000</v>
          </cell>
          <cell r="B596" t="str">
            <v>0510</v>
          </cell>
          <cell r="C596">
            <v>475000</v>
          </cell>
          <cell r="D596">
            <v>41244</v>
          </cell>
          <cell r="E596">
            <v>279000</v>
          </cell>
          <cell r="F596">
            <v>279000</v>
          </cell>
          <cell r="G596">
            <v>10473462</v>
          </cell>
          <cell r="H596">
            <v>23250</v>
          </cell>
          <cell r="I596">
            <v>0</v>
          </cell>
        </row>
        <row r="597">
          <cell r="A597" t="str">
            <v>0510|475003</v>
          </cell>
          <cell r="B597" t="str">
            <v>0510</v>
          </cell>
          <cell r="C597">
            <v>475003</v>
          </cell>
          <cell r="D597">
            <v>41244</v>
          </cell>
          <cell r="E597">
            <v>3891701</v>
          </cell>
          <cell r="F597">
            <v>3891701</v>
          </cell>
          <cell r="G597">
            <v>3250000</v>
          </cell>
          <cell r="H597">
            <v>324308</v>
          </cell>
          <cell r="I597">
            <v>100000</v>
          </cell>
        </row>
        <row r="598">
          <cell r="A598" t="str">
            <v>0510|475006</v>
          </cell>
          <cell r="B598" t="str">
            <v>0510</v>
          </cell>
          <cell r="C598">
            <v>475006</v>
          </cell>
          <cell r="D598">
            <v>41244</v>
          </cell>
          <cell r="E598">
            <v>22000</v>
          </cell>
          <cell r="F598">
            <v>22000</v>
          </cell>
          <cell r="G598">
            <v>0</v>
          </cell>
          <cell r="H598">
            <v>1833</v>
          </cell>
          <cell r="I598">
            <v>0</v>
          </cell>
        </row>
        <row r="599">
          <cell r="A599" t="str">
            <v>0510|476000</v>
          </cell>
          <cell r="B599" t="str">
            <v>0510</v>
          </cell>
          <cell r="C599">
            <v>476000</v>
          </cell>
          <cell r="D599">
            <v>41244</v>
          </cell>
          <cell r="E599">
            <v>0</v>
          </cell>
          <cell r="F599">
            <v>0</v>
          </cell>
          <cell r="G599">
            <v>-62500</v>
          </cell>
          <cell r="H599">
            <v>0</v>
          </cell>
          <cell r="I599">
            <v>65000</v>
          </cell>
        </row>
        <row r="600">
          <cell r="A600" t="str">
            <v>0510|476001</v>
          </cell>
          <cell r="B600" t="str">
            <v>0510</v>
          </cell>
          <cell r="C600">
            <v>476001</v>
          </cell>
          <cell r="D600">
            <v>41244</v>
          </cell>
          <cell r="E600">
            <v>0</v>
          </cell>
          <cell r="F600">
            <v>0</v>
          </cell>
          <cell r="G600">
            <v>71693</v>
          </cell>
          <cell r="H600">
            <v>0</v>
          </cell>
          <cell r="I600">
            <v>156693</v>
          </cell>
        </row>
        <row r="601">
          <cell r="A601" t="str">
            <v>0510|476900</v>
          </cell>
          <cell r="B601" t="str">
            <v>0510</v>
          </cell>
          <cell r="C601">
            <v>476900</v>
          </cell>
          <cell r="D601">
            <v>41244</v>
          </cell>
          <cell r="E601">
            <v>20000000</v>
          </cell>
          <cell r="F601">
            <v>20000000</v>
          </cell>
          <cell r="G601">
            <v>4726811</v>
          </cell>
          <cell r="H601">
            <v>1666667</v>
          </cell>
          <cell r="I601">
            <v>0</v>
          </cell>
        </row>
        <row r="602">
          <cell r="A602" t="str">
            <v>0510|477001</v>
          </cell>
          <cell r="B602" t="str">
            <v>0510</v>
          </cell>
          <cell r="C602">
            <v>477001</v>
          </cell>
          <cell r="D602">
            <v>41244</v>
          </cell>
          <cell r="E602">
            <v>2000000</v>
          </cell>
          <cell r="F602">
            <v>2000000</v>
          </cell>
          <cell r="G602">
            <v>0</v>
          </cell>
          <cell r="H602">
            <v>166667</v>
          </cell>
          <cell r="I602">
            <v>0</v>
          </cell>
        </row>
        <row r="603">
          <cell r="A603" t="str">
            <v>0510|477450</v>
          </cell>
          <cell r="B603" t="str">
            <v>0510</v>
          </cell>
          <cell r="C603">
            <v>477450</v>
          </cell>
          <cell r="D603">
            <v>41244</v>
          </cell>
          <cell r="E603">
            <v>0</v>
          </cell>
          <cell r="F603">
            <v>0</v>
          </cell>
          <cell r="G603">
            <v>96709197</v>
          </cell>
          <cell r="H603">
            <v>0</v>
          </cell>
          <cell r="I603">
            <v>5434028</v>
          </cell>
        </row>
        <row r="604">
          <cell r="A604" t="str">
            <v>0510|477500</v>
          </cell>
          <cell r="B604" t="str">
            <v>0510</v>
          </cell>
          <cell r="C604">
            <v>477500</v>
          </cell>
          <cell r="D604">
            <v>41244</v>
          </cell>
          <cell r="E604">
            <v>798000</v>
          </cell>
          <cell r="F604">
            <v>798000</v>
          </cell>
          <cell r="G604">
            <v>0</v>
          </cell>
          <cell r="H604">
            <v>66500</v>
          </cell>
          <cell r="I604">
            <v>0</v>
          </cell>
        </row>
        <row r="605">
          <cell r="A605" t="str">
            <v>0520|211100</v>
          </cell>
          <cell r="B605" t="str">
            <v>0520</v>
          </cell>
          <cell r="C605">
            <v>211100</v>
          </cell>
          <cell r="D605">
            <v>41244</v>
          </cell>
          <cell r="E605">
            <v>1626439</v>
          </cell>
          <cell r="F605">
            <v>1626439</v>
          </cell>
          <cell r="G605">
            <v>8316227</v>
          </cell>
          <cell r="H605">
            <v>135537</v>
          </cell>
          <cell r="I605">
            <v>370398</v>
          </cell>
        </row>
        <row r="606">
          <cell r="A606" t="str">
            <v>0520|420002</v>
          </cell>
          <cell r="B606" t="str">
            <v>0520</v>
          </cell>
          <cell r="C606">
            <v>420002</v>
          </cell>
          <cell r="D606">
            <v>41244</v>
          </cell>
          <cell r="E606">
            <v>0</v>
          </cell>
          <cell r="F606">
            <v>0</v>
          </cell>
          <cell r="G606">
            <v>63646000</v>
          </cell>
          <cell r="H606">
            <v>0</v>
          </cell>
          <cell r="I606">
            <v>0</v>
          </cell>
        </row>
        <row r="607">
          <cell r="A607" t="str">
            <v>0520|420003</v>
          </cell>
          <cell r="B607" t="str">
            <v>0520</v>
          </cell>
          <cell r="C607">
            <v>420003</v>
          </cell>
          <cell r="D607">
            <v>41244</v>
          </cell>
          <cell r="E607">
            <v>490402822</v>
          </cell>
          <cell r="F607">
            <v>490402822</v>
          </cell>
          <cell r="G607">
            <v>486116385</v>
          </cell>
          <cell r="H607">
            <v>40866902</v>
          </cell>
          <cell r="I607">
            <v>21423873</v>
          </cell>
        </row>
        <row r="608">
          <cell r="A608" t="str">
            <v>0520|422002</v>
          </cell>
          <cell r="B608" t="str">
            <v>0520</v>
          </cell>
          <cell r="C608">
            <v>422002</v>
          </cell>
          <cell r="D608">
            <v>41244</v>
          </cell>
          <cell r="E608">
            <v>0</v>
          </cell>
          <cell r="F608">
            <v>0</v>
          </cell>
          <cell r="G608">
            <v>263550</v>
          </cell>
          <cell r="H608">
            <v>0</v>
          </cell>
          <cell r="I608">
            <v>0</v>
          </cell>
        </row>
        <row r="609">
          <cell r="A609" t="str">
            <v>0520|422003</v>
          </cell>
          <cell r="B609" t="str">
            <v>0520</v>
          </cell>
          <cell r="C609">
            <v>422003</v>
          </cell>
          <cell r="D609">
            <v>41244</v>
          </cell>
          <cell r="E609">
            <v>905770</v>
          </cell>
          <cell r="F609">
            <v>905770</v>
          </cell>
          <cell r="G609">
            <v>0</v>
          </cell>
          <cell r="H609">
            <v>75481</v>
          </cell>
          <cell r="I609">
            <v>0</v>
          </cell>
        </row>
        <row r="610">
          <cell r="A610" t="str">
            <v>0520|431000</v>
          </cell>
          <cell r="B610" t="str">
            <v>0520</v>
          </cell>
          <cell r="C610">
            <v>431000</v>
          </cell>
          <cell r="D610">
            <v>41244</v>
          </cell>
          <cell r="E610">
            <v>0</v>
          </cell>
          <cell r="F610">
            <v>0</v>
          </cell>
          <cell r="G610">
            <v>227250</v>
          </cell>
          <cell r="H610">
            <v>0</v>
          </cell>
          <cell r="I610">
            <v>0</v>
          </cell>
        </row>
        <row r="611">
          <cell r="A611" t="str">
            <v>0520|431001</v>
          </cell>
          <cell r="B611" t="str">
            <v>0520</v>
          </cell>
          <cell r="C611">
            <v>431001</v>
          </cell>
          <cell r="D611">
            <v>41244</v>
          </cell>
          <cell r="E611">
            <v>0</v>
          </cell>
          <cell r="F611">
            <v>0</v>
          </cell>
          <cell r="G611">
            <v>642530</v>
          </cell>
          <cell r="H611">
            <v>0</v>
          </cell>
          <cell r="I611">
            <v>0</v>
          </cell>
        </row>
        <row r="612">
          <cell r="A612" t="str">
            <v>0520|434013</v>
          </cell>
          <cell r="B612" t="str">
            <v>0520</v>
          </cell>
          <cell r="C612">
            <v>434013</v>
          </cell>
          <cell r="D612">
            <v>41244</v>
          </cell>
          <cell r="E612">
            <v>0</v>
          </cell>
          <cell r="F612">
            <v>0</v>
          </cell>
          <cell r="G612">
            <v>11368069</v>
          </cell>
          <cell r="H612">
            <v>0</v>
          </cell>
          <cell r="I612">
            <v>2733193</v>
          </cell>
        </row>
        <row r="613">
          <cell r="A613" t="str">
            <v>0520|435003</v>
          </cell>
          <cell r="B613" t="str">
            <v>0520</v>
          </cell>
          <cell r="C613">
            <v>435003</v>
          </cell>
          <cell r="D613">
            <v>41244</v>
          </cell>
          <cell r="E613">
            <v>61300353</v>
          </cell>
          <cell r="F613">
            <v>61300353</v>
          </cell>
          <cell r="G613">
            <v>79259687</v>
          </cell>
          <cell r="H613">
            <v>5108363</v>
          </cell>
          <cell r="I613">
            <v>0</v>
          </cell>
        </row>
        <row r="614">
          <cell r="A614" t="str">
            <v>0520|439003</v>
          </cell>
          <cell r="B614" t="str">
            <v>0520</v>
          </cell>
          <cell r="C614">
            <v>439003</v>
          </cell>
          <cell r="D614">
            <v>41244</v>
          </cell>
          <cell r="E614">
            <v>132166901</v>
          </cell>
          <cell r="F614">
            <v>132166901</v>
          </cell>
          <cell r="G614">
            <v>201815638</v>
          </cell>
          <cell r="H614">
            <v>11013908</v>
          </cell>
          <cell r="I614">
            <v>16593200</v>
          </cell>
        </row>
        <row r="615">
          <cell r="A615" t="str">
            <v>0520|439202</v>
          </cell>
          <cell r="B615" t="str">
            <v>0520</v>
          </cell>
          <cell r="C615">
            <v>439202</v>
          </cell>
          <cell r="D615">
            <v>41244</v>
          </cell>
          <cell r="E615">
            <v>0</v>
          </cell>
          <cell r="F615">
            <v>0</v>
          </cell>
          <cell r="G615">
            <v>2840000</v>
          </cell>
          <cell r="H615">
            <v>0</v>
          </cell>
          <cell r="I615">
            <v>0</v>
          </cell>
        </row>
        <row r="616">
          <cell r="A616" t="str">
            <v>0520|439203</v>
          </cell>
          <cell r="B616" t="str">
            <v>0520</v>
          </cell>
          <cell r="C616">
            <v>439203</v>
          </cell>
          <cell r="D616">
            <v>41244</v>
          </cell>
          <cell r="E616">
            <v>18000000</v>
          </cell>
          <cell r="F616">
            <v>18000000</v>
          </cell>
          <cell r="G616">
            <v>11675000</v>
          </cell>
          <cell r="H616">
            <v>1500000</v>
          </cell>
          <cell r="I616">
            <v>1025000</v>
          </cell>
        </row>
        <row r="617">
          <cell r="A617" t="str">
            <v>0520|440002</v>
          </cell>
          <cell r="B617" t="str">
            <v>0520</v>
          </cell>
          <cell r="C617">
            <v>440002</v>
          </cell>
          <cell r="D617">
            <v>41244</v>
          </cell>
          <cell r="E617">
            <v>0</v>
          </cell>
          <cell r="F617">
            <v>0</v>
          </cell>
          <cell r="G617">
            <v>9161500</v>
          </cell>
          <cell r="H617">
            <v>0</v>
          </cell>
          <cell r="I617">
            <v>0</v>
          </cell>
        </row>
        <row r="618">
          <cell r="A618" t="str">
            <v>0520|440003</v>
          </cell>
          <cell r="B618" t="str">
            <v>0520</v>
          </cell>
          <cell r="C618">
            <v>440003</v>
          </cell>
          <cell r="D618">
            <v>41244</v>
          </cell>
          <cell r="E618">
            <v>51671107</v>
          </cell>
          <cell r="F618">
            <v>51671107</v>
          </cell>
          <cell r="G618">
            <v>26225000</v>
          </cell>
          <cell r="H618">
            <v>4305926</v>
          </cell>
          <cell r="I618">
            <v>1979353</v>
          </cell>
        </row>
        <row r="619">
          <cell r="A619" t="str">
            <v>0520|447002</v>
          </cell>
          <cell r="B619" t="str">
            <v>0520</v>
          </cell>
          <cell r="C619">
            <v>447002</v>
          </cell>
          <cell r="D619">
            <v>41244</v>
          </cell>
          <cell r="E619">
            <v>0</v>
          </cell>
          <cell r="F619">
            <v>0</v>
          </cell>
          <cell r="G619">
            <v>294219</v>
          </cell>
          <cell r="H619">
            <v>0</v>
          </cell>
          <cell r="I619">
            <v>0</v>
          </cell>
        </row>
        <row r="620">
          <cell r="A620" t="str">
            <v>0520|447003</v>
          </cell>
          <cell r="B620" t="str">
            <v>0520</v>
          </cell>
          <cell r="C620">
            <v>447003</v>
          </cell>
          <cell r="D620">
            <v>41244</v>
          </cell>
          <cell r="E620">
            <v>3693693</v>
          </cell>
          <cell r="F620">
            <v>3693693</v>
          </cell>
          <cell r="G620">
            <v>1840739</v>
          </cell>
          <cell r="H620">
            <v>307808</v>
          </cell>
          <cell r="I620">
            <v>90959</v>
          </cell>
        </row>
        <row r="621">
          <cell r="A621" t="str">
            <v>0520|447012</v>
          </cell>
          <cell r="B621" t="str">
            <v>0520</v>
          </cell>
          <cell r="C621">
            <v>447012</v>
          </cell>
          <cell r="D621">
            <v>41244</v>
          </cell>
          <cell r="E621">
            <v>0</v>
          </cell>
          <cell r="F621">
            <v>0</v>
          </cell>
          <cell r="G621">
            <v>2354904</v>
          </cell>
          <cell r="H621">
            <v>0</v>
          </cell>
          <cell r="I621">
            <v>0</v>
          </cell>
        </row>
        <row r="622">
          <cell r="A622" t="str">
            <v>0520|447013</v>
          </cell>
          <cell r="B622" t="str">
            <v>0520</v>
          </cell>
          <cell r="C622">
            <v>447013</v>
          </cell>
          <cell r="D622">
            <v>41244</v>
          </cell>
          <cell r="E622">
            <v>8704880</v>
          </cell>
          <cell r="F622">
            <v>8704880</v>
          </cell>
          <cell r="G622">
            <v>12612369</v>
          </cell>
          <cell r="H622">
            <v>725407</v>
          </cell>
          <cell r="I622">
            <v>623229</v>
          </cell>
        </row>
        <row r="623">
          <cell r="A623" t="str">
            <v>0520|447022</v>
          </cell>
          <cell r="B623" t="str">
            <v>0520</v>
          </cell>
          <cell r="C623">
            <v>447022</v>
          </cell>
          <cell r="D623">
            <v>41244</v>
          </cell>
          <cell r="E623">
            <v>0</v>
          </cell>
          <cell r="F623">
            <v>0</v>
          </cell>
          <cell r="G623">
            <v>57266</v>
          </cell>
          <cell r="H623">
            <v>0</v>
          </cell>
          <cell r="I623">
            <v>0</v>
          </cell>
        </row>
        <row r="624">
          <cell r="A624" t="str">
            <v>0520|447023</v>
          </cell>
          <cell r="B624" t="str">
            <v>0520</v>
          </cell>
          <cell r="C624">
            <v>447023</v>
          </cell>
          <cell r="D624">
            <v>41244</v>
          </cell>
          <cell r="E624">
            <v>369369</v>
          </cell>
          <cell r="F624">
            <v>369369</v>
          </cell>
          <cell r="G624">
            <v>295203</v>
          </cell>
          <cell r="H624">
            <v>30781</v>
          </cell>
          <cell r="I624">
            <v>0</v>
          </cell>
        </row>
        <row r="625">
          <cell r="A625" t="str">
            <v>0520|448002</v>
          </cell>
          <cell r="B625" t="str">
            <v>0520</v>
          </cell>
          <cell r="C625">
            <v>448002</v>
          </cell>
          <cell r="D625">
            <v>41244</v>
          </cell>
          <cell r="E625">
            <v>0</v>
          </cell>
          <cell r="F625">
            <v>0</v>
          </cell>
          <cell r="G625">
            <v>1502100</v>
          </cell>
          <cell r="H625">
            <v>0</v>
          </cell>
          <cell r="I625">
            <v>0</v>
          </cell>
        </row>
        <row r="626">
          <cell r="A626" t="str">
            <v>0520|448003</v>
          </cell>
          <cell r="B626" t="str">
            <v>0520</v>
          </cell>
          <cell r="C626">
            <v>448003</v>
          </cell>
          <cell r="D626">
            <v>41244</v>
          </cell>
          <cell r="E626">
            <v>50374563</v>
          </cell>
          <cell r="F626">
            <v>50374563</v>
          </cell>
          <cell r="G626">
            <v>39576200</v>
          </cell>
          <cell r="H626">
            <v>4197880</v>
          </cell>
          <cell r="I626">
            <v>5844400</v>
          </cell>
        </row>
        <row r="627">
          <cell r="A627" t="str">
            <v>0520|449022</v>
          </cell>
          <cell r="B627" t="str">
            <v>0520</v>
          </cell>
          <cell r="C627">
            <v>449022</v>
          </cell>
          <cell r="D627">
            <v>41244</v>
          </cell>
          <cell r="E627">
            <v>0</v>
          </cell>
          <cell r="F627">
            <v>0</v>
          </cell>
          <cell r="G627">
            <v>2206000</v>
          </cell>
          <cell r="H627">
            <v>0</v>
          </cell>
          <cell r="I627">
            <v>0</v>
          </cell>
        </row>
        <row r="628">
          <cell r="A628" t="str">
            <v>0520|449023</v>
          </cell>
          <cell r="B628" t="str">
            <v>0520</v>
          </cell>
          <cell r="C628">
            <v>449023</v>
          </cell>
          <cell r="D628">
            <v>41244</v>
          </cell>
          <cell r="E628">
            <v>41370000</v>
          </cell>
          <cell r="F628">
            <v>41370000</v>
          </cell>
          <cell r="G628">
            <v>35178527</v>
          </cell>
          <cell r="H628">
            <v>3447500</v>
          </cell>
          <cell r="I628">
            <v>737000</v>
          </cell>
        </row>
        <row r="629">
          <cell r="A629" t="str">
            <v>0520|449032</v>
          </cell>
          <cell r="B629" t="str">
            <v>0520</v>
          </cell>
          <cell r="C629">
            <v>449032</v>
          </cell>
          <cell r="D629">
            <v>41244</v>
          </cell>
          <cell r="E629">
            <v>253847</v>
          </cell>
          <cell r="F629">
            <v>253847</v>
          </cell>
          <cell r="G629">
            <v>0</v>
          </cell>
          <cell r="H629">
            <v>21154</v>
          </cell>
          <cell r="I629">
            <v>0</v>
          </cell>
        </row>
        <row r="630">
          <cell r="A630" t="str">
            <v>0520|449040</v>
          </cell>
          <cell r="B630" t="str">
            <v>0520</v>
          </cell>
          <cell r="C630">
            <v>449040</v>
          </cell>
          <cell r="D630">
            <v>41244</v>
          </cell>
          <cell r="E630">
            <v>1600000</v>
          </cell>
          <cell r="F630">
            <v>1600000</v>
          </cell>
          <cell r="G630">
            <v>1347500</v>
          </cell>
          <cell r="H630">
            <v>133333</v>
          </cell>
          <cell r="I630">
            <v>0</v>
          </cell>
        </row>
        <row r="631">
          <cell r="A631" t="str">
            <v>0520|449050</v>
          </cell>
          <cell r="B631" t="str">
            <v>0520</v>
          </cell>
          <cell r="C631">
            <v>449050</v>
          </cell>
          <cell r="D631">
            <v>41244</v>
          </cell>
          <cell r="E631">
            <v>31200000</v>
          </cell>
          <cell r="F631">
            <v>31200000</v>
          </cell>
          <cell r="G631">
            <v>35200000</v>
          </cell>
          <cell r="H631">
            <v>2600000</v>
          </cell>
          <cell r="I631">
            <v>0</v>
          </cell>
        </row>
        <row r="632">
          <cell r="A632" t="str">
            <v>0520|449061</v>
          </cell>
          <cell r="B632" t="str">
            <v>0520</v>
          </cell>
          <cell r="C632">
            <v>449061</v>
          </cell>
          <cell r="D632">
            <v>41244</v>
          </cell>
          <cell r="E632">
            <v>35918800</v>
          </cell>
          <cell r="F632">
            <v>35918800</v>
          </cell>
          <cell r="G632">
            <v>47536600</v>
          </cell>
          <cell r="H632">
            <v>2993233</v>
          </cell>
          <cell r="I632">
            <v>22322000</v>
          </cell>
        </row>
        <row r="633">
          <cell r="A633" t="str">
            <v>0520|471000</v>
          </cell>
          <cell r="B633" t="str">
            <v>0520</v>
          </cell>
          <cell r="C633">
            <v>471000</v>
          </cell>
          <cell r="D633">
            <v>41244</v>
          </cell>
          <cell r="E633">
            <v>3980000</v>
          </cell>
          <cell r="F633">
            <v>3980000</v>
          </cell>
          <cell r="G633">
            <v>4063200</v>
          </cell>
          <cell r="H633">
            <v>331667</v>
          </cell>
          <cell r="I633">
            <v>0</v>
          </cell>
        </row>
        <row r="634">
          <cell r="A634" t="str">
            <v>0520|472000</v>
          </cell>
          <cell r="B634" t="str">
            <v>0520</v>
          </cell>
          <cell r="C634">
            <v>472000</v>
          </cell>
          <cell r="D634">
            <v>41244</v>
          </cell>
          <cell r="E634">
            <v>0</v>
          </cell>
          <cell r="F634">
            <v>0</v>
          </cell>
          <cell r="G634">
            <v>331267</v>
          </cell>
          <cell r="H634">
            <v>0</v>
          </cell>
          <cell r="I634">
            <v>123220</v>
          </cell>
        </row>
        <row r="635">
          <cell r="A635" t="str">
            <v>0520|473000</v>
          </cell>
          <cell r="B635" t="str">
            <v>0520</v>
          </cell>
          <cell r="C635">
            <v>473000</v>
          </cell>
          <cell r="D635">
            <v>41244</v>
          </cell>
          <cell r="E635">
            <v>13500000</v>
          </cell>
          <cell r="F635">
            <v>13500000</v>
          </cell>
          <cell r="G635">
            <v>8077750</v>
          </cell>
          <cell r="H635">
            <v>1125000</v>
          </cell>
          <cell r="I635">
            <v>0</v>
          </cell>
        </row>
        <row r="636">
          <cell r="A636" t="str">
            <v>0520|473120</v>
          </cell>
          <cell r="B636" t="str">
            <v>0520</v>
          </cell>
          <cell r="C636">
            <v>473120</v>
          </cell>
          <cell r="D636">
            <v>41244</v>
          </cell>
          <cell r="E636">
            <v>10843618</v>
          </cell>
          <cell r="F636">
            <v>10843618</v>
          </cell>
          <cell r="G636">
            <v>17643815</v>
          </cell>
          <cell r="H636">
            <v>903635</v>
          </cell>
          <cell r="I636">
            <v>1364447</v>
          </cell>
        </row>
        <row r="637">
          <cell r="A637" t="str">
            <v>0520|474100</v>
          </cell>
          <cell r="B637" t="str">
            <v>0520</v>
          </cell>
          <cell r="C637">
            <v>474100</v>
          </cell>
          <cell r="D637">
            <v>41244</v>
          </cell>
          <cell r="E637">
            <v>41619470</v>
          </cell>
          <cell r="F637">
            <v>41619470</v>
          </cell>
          <cell r="G637">
            <v>43054168</v>
          </cell>
          <cell r="H637">
            <v>3468290</v>
          </cell>
          <cell r="I637">
            <v>4899420</v>
          </cell>
        </row>
        <row r="638">
          <cell r="A638" t="str">
            <v>0520|474101</v>
          </cell>
          <cell r="B638" t="str">
            <v>0520</v>
          </cell>
          <cell r="C638">
            <v>474101</v>
          </cell>
          <cell r="D638">
            <v>41244</v>
          </cell>
          <cell r="E638">
            <v>55615558</v>
          </cell>
          <cell r="F638">
            <v>55615558</v>
          </cell>
          <cell r="G638">
            <v>54233344</v>
          </cell>
          <cell r="H638">
            <v>4634630</v>
          </cell>
          <cell r="I638">
            <v>149880467</v>
          </cell>
        </row>
        <row r="639">
          <cell r="A639" t="str">
            <v>0520|475003</v>
          </cell>
          <cell r="B639" t="str">
            <v>0520</v>
          </cell>
          <cell r="C639">
            <v>475003</v>
          </cell>
          <cell r="D639">
            <v>41244</v>
          </cell>
          <cell r="E639">
            <v>2457509</v>
          </cell>
          <cell r="F639">
            <v>2457509</v>
          </cell>
          <cell r="G639">
            <v>3917293</v>
          </cell>
          <cell r="H639">
            <v>204792</v>
          </cell>
          <cell r="I639">
            <v>0</v>
          </cell>
        </row>
        <row r="640">
          <cell r="A640" t="str">
            <v>0520|475006</v>
          </cell>
          <cell r="B640" t="str">
            <v>0520</v>
          </cell>
          <cell r="C640">
            <v>475006</v>
          </cell>
          <cell r="D640">
            <v>41244</v>
          </cell>
          <cell r="E640">
            <v>3124125</v>
          </cell>
          <cell r="F640">
            <v>3124125</v>
          </cell>
          <cell r="G640">
            <v>2748756</v>
          </cell>
          <cell r="H640">
            <v>260344</v>
          </cell>
          <cell r="I640">
            <v>229063</v>
          </cell>
        </row>
        <row r="641">
          <cell r="A641" t="str">
            <v>0520|476000</v>
          </cell>
          <cell r="B641" t="str">
            <v>0520</v>
          </cell>
          <cell r="C641">
            <v>476000</v>
          </cell>
          <cell r="D641">
            <v>41244</v>
          </cell>
          <cell r="E641">
            <v>4956328</v>
          </cell>
          <cell r="F641">
            <v>4956328</v>
          </cell>
          <cell r="G641">
            <v>6248675</v>
          </cell>
          <cell r="H641">
            <v>413028</v>
          </cell>
          <cell r="I641">
            <v>0</v>
          </cell>
        </row>
        <row r="642">
          <cell r="A642" t="str">
            <v>0520|476001</v>
          </cell>
          <cell r="B642" t="str">
            <v>0520</v>
          </cell>
          <cell r="C642">
            <v>476001</v>
          </cell>
          <cell r="D642">
            <v>41244</v>
          </cell>
          <cell r="E642">
            <v>2160000</v>
          </cell>
          <cell r="F642">
            <v>2160000</v>
          </cell>
          <cell r="G642">
            <v>1461500</v>
          </cell>
          <cell r="H642">
            <v>180000</v>
          </cell>
          <cell r="I642">
            <v>480000</v>
          </cell>
        </row>
        <row r="643">
          <cell r="A643" t="str">
            <v>0520|476204</v>
          </cell>
          <cell r="B643" t="str">
            <v>0520</v>
          </cell>
          <cell r="C643">
            <v>476204</v>
          </cell>
          <cell r="D643">
            <v>41244</v>
          </cell>
          <cell r="E643">
            <v>367718006</v>
          </cell>
          <cell r="F643">
            <v>367718006</v>
          </cell>
          <cell r="G643">
            <v>0</v>
          </cell>
          <cell r="H643">
            <v>30643167</v>
          </cell>
          <cell r="I643">
            <v>-137020050</v>
          </cell>
        </row>
        <row r="644">
          <cell r="A644" t="str">
            <v>0520|476220</v>
          </cell>
          <cell r="B644" t="str">
            <v>0520</v>
          </cell>
          <cell r="C644">
            <v>476220</v>
          </cell>
          <cell r="D644">
            <v>41244</v>
          </cell>
          <cell r="E644">
            <v>77911374</v>
          </cell>
          <cell r="F644">
            <v>77911374</v>
          </cell>
          <cell r="G644">
            <v>178543121</v>
          </cell>
          <cell r="H644">
            <v>6492614</v>
          </cell>
          <cell r="I644">
            <v>718590978</v>
          </cell>
        </row>
        <row r="645">
          <cell r="A645" t="str">
            <v>0520|476910</v>
          </cell>
          <cell r="B645" t="str">
            <v>0520</v>
          </cell>
          <cell r="C645">
            <v>476910</v>
          </cell>
          <cell r="D645">
            <v>41244</v>
          </cell>
          <cell r="E645">
            <v>0</v>
          </cell>
          <cell r="F645">
            <v>0</v>
          </cell>
          <cell r="G645">
            <v>46800</v>
          </cell>
          <cell r="H645">
            <v>0</v>
          </cell>
          <cell r="I645">
            <v>0</v>
          </cell>
        </row>
        <row r="646">
          <cell r="A646" t="str">
            <v>0520|477100</v>
          </cell>
          <cell r="B646" t="str">
            <v>0520</v>
          </cell>
          <cell r="C646">
            <v>477100</v>
          </cell>
          <cell r="D646">
            <v>41244</v>
          </cell>
          <cell r="E646">
            <v>100000000</v>
          </cell>
          <cell r="F646">
            <v>100000000</v>
          </cell>
          <cell r="G646">
            <v>0</v>
          </cell>
          <cell r="H646">
            <v>8333333</v>
          </cell>
          <cell r="I646">
            <v>0</v>
          </cell>
        </row>
        <row r="647">
          <cell r="A647" t="str">
            <v>0520|477300</v>
          </cell>
          <cell r="B647" t="str">
            <v>0520</v>
          </cell>
          <cell r="C647">
            <v>477300</v>
          </cell>
          <cell r="D647">
            <v>41244</v>
          </cell>
          <cell r="E647">
            <v>1276718874</v>
          </cell>
          <cell r="F647">
            <v>1276718874</v>
          </cell>
          <cell r="G647">
            <v>1095710869</v>
          </cell>
          <cell r="H647">
            <v>106393239</v>
          </cell>
          <cell r="I647">
            <v>16331113</v>
          </cell>
        </row>
        <row r="648">
          <cell r="A648" t="str">
            <v>0520|477400</v>
          </cell>
          <cell r="B648" t="str">
            <v>0520</v>
          </cell>
          <cell r="C648">
            <v>477400</v>
          </cell>
          <cell r="D648">
            <v>41244</v>
          </cell>
          <cell r="E648">
            <v>250000000</v>
          </cell>
          <cell r="F648">
            <v>250000000</v>
          </cell>
          <cell r="G648">
            <v>0</v>
          </cell>
          <cell r="H648">
            <v>20833333</v>
          </cell>
          <cell r="I648">
            <v>0</v>
          </cell>
        </row>
        <row r="649">
          <cell r="A649" t="str">
            <v>0520|477450</v>
          </cell>
          <cell r="B649" t="str">
            <v>0520</v>
          </cell>
          <cell r="C649">
            <v>477450</v>
          </cell>
          <cell r="D649">
            <v>41244</v>
          </cell>
          <cell r="E649">
            <v>0</v>
          </cell>
          <cell r="F649">
            <v>0</v>
          </cell>
          <cell r="G649">
            <v>518344808</v>
          </cell>
          <cell r="H649">
            <v>0</v>
          </cell>
          <cell r="I649">
            <v>0</v>
          </cell>
        </row>
        <row r="650">
          <cell r="A650" t="str">
            <v>0530|246003</v>
          </cell>
          <cell r="B650" t="str">
            <v>0530</v>
          </cell>
          <cell r="C650">
            <v>246003</v>
          </cell>
          <cell r="D650">
            <v>41244</v>
          </cell>
          <cell r="E650">
            <v>78000000</v>
          </cell>
          <cell r="F650">
            <v>78000000</v>
          </cell>
          <cell r="G650">
            <v>1000000</v>
          </cell>
          <cell r="H650">
            <v>6500003</v>
          </cell>
          <cell r="I650">
            <v>6450000</v>
          </cell>
        </row>
        <row r="651">
          <cell r="A651" t="str">
            <v>0530|400040</v>
          </cell>
          <cell r="B651" t="str">
            <v>0530</v>
          </cell>
          <cell r="C651">
            <v>400040</v>
          </cell>
          <cell r="D651">
            <v>41244</v>
          </cell>
          <cell r="E651">
            <v>65000000</v>
          </cell>
          <cell r="F651">
            <v>65000000</v>
          </cell>
          <cell r="G651">
            <v>0</v>
          </cell>
          <cell r="H651">
            <v>5416667</v>
          </cell>
          <cell r="I651">
            <v>0</v>
          </cell>
        </row>
        <row r="652">
          <cell r="A652" t="str">
            <v>0530|405200</v>
          </cell>
          <cell r="B652" t="str">
            <v>0530</v>
          </cell>
          <cell r="C652">
            <v>405200</v>
          </cell>
          <cell r="D652">
            <v>41244</v>
          </cell>
          <cell r="E652">
            <v>22000000</v>
          </cell>
          <cell r="F652">
            <v>22000000</v>
          </cell>
          <cell r="G652">
            <v>0</v>
          </cell>
          <cell r="H652">
            <v>1833333</v>
          </cell>
          <cell r="I652">
            <v>0</v>
          </cell>
        </row>
        <row r="653">
          <cell r="A653" t="str">
            <v>0530|420003</v>
          </cell>
          <cell r="B653" t="str">
            <v>0530</v>
          </cell>
          <cell r="C653">
            <v>420003</v>
          </cell>
          <cell r="D653">
            <v>41244</v>
          </cell>
          <cell r="E653">
            <v>732299370</v>
          </cell>
          <cell r="F653">
            <v>732299370</v>
          </cell>
          <cell r="G653">
            <v>503153081</v>
          </cell>
          <cell r="H653">
            <v>61024947</v>
          </cell>
          <cell r="I653">
            <v>49791853</v>
          </cell>
        </row>
        <row r="654">
          <cell r="A654" t="str">
            <v>0530|430010</v>
          </cell>
          <cell r="B654" t="str">
            <v>0530</v>
          </cell>
          <cell r="C654">
            <v>430010</v>
          </cell>
          <cell r="D654">
            <v>41244</v>
          </cell>
          <cell r="E654">
            <v>20000000</v>
          </cell>
          <cell r="F654">
            <v>20000000</v>
          </cell>
          <cell r="G654">
            <v>17650000</v>
          </cell>
          <cell r="H654">
            <v>1666667</v>
          </cell>
          <cell r="I654">
            <v>0</v>
          </cell>
        </row>
        <row r="655">
          <cell r="A655" t="str">
            <v>0530|431001</v>
          </cell>
          <cell r="B655" t="str">
            <v>0530</v>
          </cell>
          <cell r="C655">
            <v>431001</v>
          </cell>
          <cell r="D655">
            <v>41244</v>
          </cell>
          <cell r="E655">
            <v>0</v>
          </cell>
          <cell r="F655">
            <v>0</v>
          </cell>
          <cell r="G655">
            <v>1627254</v>
          </cell>
          <cell r="H655">
            <v>0</v>
          </cell>
          <cell r="I655">
            <v>0</v>
          </cell>
        </row>
        <row r="656">
          <cell r="A656" t="str">
            <v>0530|431002</v>
          </cell>
          <cell r="B656" t="str">
            <v>0530</v>
          </cell>
          <cell r="C656">
            <v>431002</v>
          </cell>
          <cell r="D656">
            <v>41244</v>
          </cell>
          <cell r="E656">
            <v>10000000</v>
          </cell>
          <cell r="F656">
            <v>10000000</v>
          </cell>
          <cell r="G656">
            <v>6892371</v>
          </cell>
          <cell r="H656">
            <v>833333</v>
          </cell>
          <cell r="I656">
            <v>2774394</v>
          </cell>
        </row>
        <row r="657">
          <cell r="A657" t="str">
            <v>0530|433003</v>
          </cell>
          <cell r="B657" t="str">
            <v>0530</v>
          </cell>
          <cell r="C657">
            <v>433003</v>
          </cell>
          <cell r="D657">
            <v>41244</v>
          </cell>
          <cell r="E657">
            <v>0</v>
          </cell>
          <cell r="F657">
            <v>0</v>
          </cell>
          <cell r="G657">
            <v>13093375</v>
          </cell>
          <cell r="H657">
            <v>0</v>
          </cell>
          <cell r="I657">
            <v>0</v>
          </cell>
        </row>
        <row r="658">
          <cell r="A658" t="str">
            <v>0530|434013</v>
          </cell>
          <cell r="B658" t="str">
            <v>0530</v>
          </cell>
          <cell r="C658">
            <v>434013</v>
          </cell>
          <cell r="D658">
            <v>41244</v>
          </cell>
          <cell r="E658">
            <v>0</v>
          </cell>
          <cell r="F658">
            <v>0</v>
          </cell>
          <cell r="G658">
            <v>7509267</v>
          </cell>
          <cell r="H658">
            <v>0</v>
          </cell>
          <cell r="I658">
            <v>2733193</v>
          </cell>
        </row>
        <row r="659">
          <cell r="A659" t="str">
            <v>0530|435003</v>
          </cell>
          <cell r="B659" t="str">
            <v>0530</v>
          </cell>
          <cell r="C659">
            <v>435003</v>
          </cell>
          <cell r="D659">
            <v>41244</v>
          </cell>
          <cell r="E659">
            <v>91537421</v>
          </cell>
          <cell r="F659">
            <v>91537421</v>
          </cell>
          <cell r="G659">
            <v>94641210</v>
          </cell>
          <cell r="H659">
            <v>7628118</v>
          </cell>
          <cell r="I659">
            <v>0</v>
          </cell>
        </row>
        <row r="660">
          <cell r="A660" t="str">
            <v>0530|439003</v>
          </cell>
          <cell r="B660" t="str">
            <v>0530</v>
          </cell>
          <cell r="C660">
            <v>439003</v>
          </cell>
          <cell r="D660">
            <v>41244</v>
          </cell>
          <cell r="E660">
            <v>132166901</v>
          </cell>
          <cell r="F660">
            <v>132166901</v>
          </cell>
          <cell r="G660">
            <v>121755090</v>
          </cell>
          <cell r="H660">
            <v>11013908</v>
          </cell>
          <cell r="I660">
            <v>16593200</v>
          </cell>
        </row>
        <row r="661">
          <cell r="A661" t="str">
            <v>0530|439203</v>
          </cell>
          <cell r="B661" t="str">
            <v>0530</v>
          </cell>
          <cell r="C661">
            <v>439203</v>
          </cell>
          <cell r="D661">
            <v>41244</v>
          </cell>
          <cell r="E661">
            <v>0</v>
          </cell>
          <cell r="F661">
            <v>0</v>
          </cell>
          <cell r="G661">
            <v>8565000</v>
          </cell>
          <cell r="H661">
            <v>0</v>
          </cell>
          <cell r="I661">
            <v>1025000</v>
          </cell>
        </row>
        <row r="662">
          <cell r="A662" t="str">
            <v>0530|440003</v>
          </cell>
          <cell r="B662" t="str">
            <v>0530</v>
          </cell>
          <cell r="C662">
            <v>440003</v>
          </cell>
          <cell r="D662">
            <v>41244</v>
          </cell>
          <cell r="E662">
            <v>66427050</v>
          </cell>
          <cell r="F662">
            <v>66427050</v>
          </cell>
          <cell r="G662">
            <v>74834058</v>
          </cell>
          <cell r="H662">
            <v>5535587</v>
          </cell>
          <cell r="I662">
            <v>4600273</v>
          </cell>
        </row>
        <row r="663">
          <cell r="A663" t="str">
            <v>0530|447003</v>
          </cell>
          <cell r="B663" t="str">
            <v>0530</v>
          </cell>
          <cell r="C663">
            <v>447003</v>
          </cell>
          <cell r="D663">
            <v>41244</v>
          </cell>
          <cell r="E663">
            <v>6492902</v>
          </cell>
          <cell r="F663">
            <v>6492902</v>
          </cell>
          <cell r="G663">
            <v>3100438</v>
          </cell>
          <cell r="H663">
            <v>541075</v>
          </cell>
          <cell r="I663">
            <v>290755</v>
          </cell>
        </row>
        <row r="664">
          <cell r="A664" t="str">
            <v>0530|447013</v>
          </cell>
          <cell r="B664" t="str">
            <v>0530</v>
          </cell>
          <cell r="C664">
            <v>447013</v>
          </cell>
          <cell r="D664">
            <v>41244</v>
          </cell>
          <cell r="E664">
            <v>15301744</v>
          </cell>
          <cell r="F664">
            <v>15301744</v>
          </cell>
          <cell r="G664">
            <v>21243740</v>
          </cell>
          <cell r="H664">
            <v>1275145</v>
          </cell>
          <cell r="I664">
            <v>1992210</v>
          </cell>
        </row>
        <row r="665">
          <cell r="A665" t="str">
            <v>0530|447023</v>
          </cell>
          <cell r="B665" t="str">
            <v>0530</v>
          </cell>
          <cell r="C665">
            <v>447023</v>
          </cell>
          <cell r="D665">
            <v>41244</v>
          </cell>
          <cell r="E665">
            <v>649290</v>
          </cell>
          <cell r="F665">
            <v>649290</v>
          </cell>
          <cell r="G665">
            <v>793947</v>
          </cell>
          <cell r="H665">
            <v>54107</v>
          </cell>
          <cell r="I665">
            <v>13200</v>
          </cell>
        </row>
        <row r="666">
          <cell r="A666" t="str">
            <v>0530|448002</v>
          </cell>
          <cell r="B666" t="str">
            <v>0530</v>
          </cell>
          <cell r="C666">
            <v>448002</v>
          </cell>
          <cell r="D666">
            <v>41244</v>
          </cell>
          <cell r="E666">
            <v>0</v>
          </cell>
          <cell r="F666">
            <v>0</v>
          </cell>
          <cell r="G666">
            <v>380000</v>
          </cell>
          <cell r="H666">
            <v>0</v>
          </cell>
          <cell r="I666">
            <v>0</v>
          </cell>
        </row>
        <row r="667">
          <cell r="A667" t="str">
            <v>0530|448003</v>
          </cell>
          <cell r="B667" t="str">
            <v>0530</v>
          </cell>
          <cell r="C667">
            <v>448003</v>
          </cell>
          <cell r="D667">
            <v>41244</v>
          </cell>
          <cell r="E667">
            <v>62007010</v>
          </cell>
          <cell r="F667">
            <v>62007010</v>
          </cell>
          <cell r="G667">
            <v>9143400</v>
          </cell>
          <cell r="H667">
            <v>5167251</v>
          </cell>
          <cell r="I667">
            <v>548600</v>
          </cell>
        </row>
        <row r="668">
          <cell r="A668" t="str">
            <v>0530|449023</v>
          </cell>
          <cell r="B668" t="str">
            <v>0530</v>
          </cell>
          <cell r="C668">
            <v>449023</v>
          </cell>
          <cell r="D668">
            <v>41244</v>
          </cell>
          <cell r="E668">
            <v>37410000</v>
          </cell>
          <cell r="F668">
            <v>37410000</v>
          </cell>
          <cell r="G668">
            <v>66352840</v>
          </cell>
          <cell r="H668">
            <v>3117500</v>
          </cell>
          <cell r="I668">
            <v>5882300</v>
          </cell>
        </row>
        <row r="669">
          <cell r="A669" t="str">
            <v>0530|449032</v>
          </cell>
          <cell r="B669" t="str">
            <v>0530</v>
          </cell>
          <cell r="C669">
            <v>449032</v>
          </cell>
          <cell r="D669">
            <v>41244</v>
          </cell>
          <cell r="E669">
            <v>20000000</v>
          </cell>
          <cell r="F669">
            <v>20000000</v>
          </cell>
          <cell r="G669">
            <v>800000</v>
          </cell>
          <cell r="H669">
            <v>1666667</v>
          </cell>
          <cell r="I669">
            <v>0</v>
          </cell>
        </row>
        <row r="670">
          <cell r="A670" t="str">
            <v>0530|449040</v>
          </cell>
          <cell r="B670" t="str">
            <v>0530</v>
          </cell>
          <cell r="C670">
            <v>449040</v>
          </cell>
          <cell r="D670">
            <v>41244</v>
          </cell>
          <cell r="E670">
            <v>0</v>
          </cell>
          <cell r="F670">
            <v>0</v>
          </cell>
          <cell r="G670">
            <v>21685000</v>
          </cell>
          <cell r="H670">
            <v>0</v>
          </cell>
          <cell r="I670">
            <v>2000000</v>
          </cell>
        </row>
        <row r="671">
          <cell r="A671" t="str">
            <v>0530|449050</v>
          </cell>
          <cell r="B671" t="str">
            <v>0530</v>
          </cell>
          <cell r="C671">
            <v>449050</v>
          </cell>
          <cell r="D671">
            <v>41244</v>
          </cell>
          <cell r="E671">
            <v>50000000</v>
          </cell>
          <cell r="F671">
            <v>50000000</v>
          </cell>
          <cell r="G671">
            <v>0</v>
          </cell>
          <cell r="H671">
            <v>4166667</v>
          </cell>
          <cell r="I671">
            <v>0</v>
          </cell>
        </row>
        <row r="672">
          <cell r="A672" t="str">
            <v>0530|449061</v>
          </cell>
          <cell r="B672" t="str">
            <v>0530</v>
          </cell>
          <cell r="C672">
            <v>449061</v>
          </cell>
          <cell r="D672">
            <v>41244</v>
          </cell>
          <cell r="E672">
            <v>58200000</v>
          </cell>
          <cell r="F672">
            <v>58200000</v>
          </cell>
          <cell r="G672">
            <v>30250100</v>
          </cell>
          <cell r="H672">
            <v>4850000</v>
          </cell>
          <cell r="I672">
            <v>6669000</v>
          </cell>
        </row>
        <row r="673">
          <cell r="A673" t="str">
            <v>0530|459000</v>
          </cell>
          <cell r="B673" t="str">
            <v>0530</v>
          </cell>
          <cell r="C673">
            <v>459000</v>
          </cell>
          <cell r="D673">
            <v>41244</v>
          </cell>
          <cell r="E673">
            <v>1700000</v>
          </cell>
          <cell r="F673">
            <v>1700000</v>
          </cell>
          <cell r="G673">
            <v>1272730</v>
          </cell>
          <cell r="H673">
            <v>141667</v>
          </cell>
          <cell r="I673">
            <v>0</v>
          </cell>
        </row>
        <row r="674">
          <cell r="A674" t="str">
            <v>0530|459005</v>
          </cell>
          <cell r="B674" t="str">
            <v>0530</v>
          </cell>
          <cell r="C674">
            <v>459005</v>
          </cell>
          <cell r="D674">
            <v>41244</v>
          </cell>
          <cell r="E674">
            <v>2000000</v>
          </cell>
          <cell r="F674">
            <v>2000000</v>
          </cell>
          <cell r="G674">
            <v>0</v>
          </cell>
          <cell r="H674">
            <v>166667</v>
          </cell>
          <cell r="I674">
            <v>0</v>
          </cell>
        </row>
        <row r="675">
          <cell r="A675" t="str">
            <v>0530|465001</v>
          </cell>
          <cell r="B675" t="str">
            <v>0530</v>
          </cell>
          <cell r="C675">
            <v>465001</v>
          </cell>
          <cell r="D675">
            <v>41244</v>
          </cell>
          <cell r="E675">
            <v>137030000</v>
          </cell>
          <cell r="F675">
            <v>137030000</v>
          </cell>
          <cell r="G675">
            <v>0</v>
          </cell>
          <cell r="H675">
            <v>11419167</v>
          </cell>
          <cell r="I675">
            <v>0</v>
          </cell>
        </row>
        <row r="676">
          <cell r="A676" t="str">
            <v>0530|472000</v>
          </cell>
          <cell r="B676" t="str">
            <v>0530</v>
          </cell>
          <cell r="C676">
            <v>472000</v>
          </cell>
          <cell r="D676">
            <v>41244</v>
          </cell>
          <cell r="E676">
            <v>1609734</v>
          </cell>
          <cell r="F676">
            <v>1609734</v>
          </cell>
          <cell r="G676">
            <v>7525438</v>
          </cell>
          <cell r="H676">
            <v>134144</v>
          </cell>
          <cell r="I676">
            <v>7525438</v>
          </cell>
        </row>
        <row r="677">
          <cell r="A677" t="str">
            <v>0530|473120</v>
          </cell>
          <cell r="B677" t="str">
            <v>0530</v>
          </cell>
          <cell r="C677">
            <v>473120</v>
          </cell>
          <cell r="D677">
            <v>41244</v>
          </cell>
          <cell r="E677">
            <v>42000000</v>
          </cell>
          <cell r="F677">
            <v>42000000</v>
          </cell>
          <cell r="G677">
            <v>1680852</v>
          </cell>
          <cell r="H677">
            <v>3500000</v>
          </cell>
          <cell r="I677">
            <v>293811</v>
          </cell>
        </row>
        <row r="678">
          <cell r="A678" t="str">
            <v>0530|474100</v>
          </cell>
          <cell r="B678" t="str">
            <v>0530</v>
          </cell>
          <cell r="C678">
            <v>474100</v>
          </cell>
          <cell r="D678">
            <v>41244</v>
          </cell>
          <cell r="E678">
            <v>118482840</v>
          </cell>
          <cell r="F678">
            <v>118482840</v>
          </cell>
          <cell r="G678">
            <v>12000000</v>
          </cell>
          <cell r="H678">
            <v>9873570</v>
          </cell>
          <cell r="I678">
            <v>12000000</v>
          </cell>
        </row>
        <row r="679">
          <cell r="A679" t="str">
            <v>0530|474101</v>
          </cell>
          <cell r="B679" t="str">
            <v>0530</v>
          </cell>
          <cell r="C679">
            <v>474101</v>
          </cell>
          <cell r="D679">
            <v>41244</v>
          </cell>
          <cell r="E679">
            <v>35286600</v>
          </cell>
          <cell r="F679">
            <v>35286600</v>
          </cell>
          <cell r="G679">
            <v>17490098</v>
          </cell>
          <cell r="H679">
            <v>2940550</v>
          </cell>
          <cell r="I679">
            <v>14161884</v>
          </cell>
        </row>
        <row r="680">
          <cell r="A680" t="str">
            <v>0530|475001</v>
          </cell>
          <cell r="B680" t="str">
            <v>0530</v>
          </cell>
          <cell r="C680">
            <v>475001</v>
          </cell>
          <cell r="D680">
            <v>41244</v>
          </cell>
          <cell r="E680">
            <v>0</v>
          </cell>
          <cell r="F680">
            <v>0</v>
          </cell>
          <cell r="G680">
            <v>-300000</v>
          </cell>
          <cell r="H680">
            <v>0</v>
          </cell>
          <cell r="I680">
            <v>0</v>
          </cell>
        </row>
        <row r="681">
          <cell r="A681" t="str">
            <v>0530|475003</v>
          </cell>
          <cell r="B681" t="str">
            <v>0530</v>
          </cell>
          <cell r="C681">
            <v>475003</v>
          </cell>
          <cell r="D681">
            <v>41244</v>
          </cell>
          <cell r="E681">
            <v>0</v>
          </cell>
          <cell r="F681">
            <v>0</v>
          </cell>
          <cell r="G681">
            <v>4545260</v>
          </cell>
          <cell r="H681">
            <v>0</v>
          </cell>
          <cell r="I681">
            <v>1044000</v>
          </cell>
        </row>
        <row r="682">
          <cell r="A682" t="str">
            <v>0530|475004</v>
          </cell>
          <cell r="B682" t="str">
            <v>0530</v>
          </cell>
          <cell r="C682">
            <v>475004</v>
          </cell>
          <cell r="D682">
            <v>41244</v>
          </cell>
          <cell r="E682">
            <v>30000000</v>
          </cell>
          <cell r="F682">
            <v>30000000</v>
          </cell>
          <cell r="G682">
            <v>15666194</v>
          </cell>
          <cell r="H682">
            <v>2500000</v>
          </cell>
          <cell r="I682">
            <v>3426192</v>
          </cell>
        </row>
        <row r="683">
          <cell r="A683" t="str">
            <v>0530|475006</v>
          </cell>
          <cell r="B683" t="str">
            <v>0530</v>
          </cell>
          <cell r="C683">
            <v>475006</v>
          </cell>
          <cell r="D683">
            <v>41244</v>
          </cell>
          <cell r="E683">
            <v>8000000</v>
          </cell>
          <cell r="F683">
            <v>8000000</v>
          </cell>
          <cell r="G683">
            <v>0</v>
          </cell>
          <cell r="H683">
            <v>666667</v>
          </cell>
          <cell r="I683">
            <v>0</v>
          </cell>
        </row>
        <row r="684">
          <cell r="A684" t="str">
            <v>0530|476000</v>
          </cell>
          <cell r="B684" t="str">
            <v>0530</v>
          </cell>
          <cell r="C684">
            <v>476000</v>
          </cell>
          <cell r="D684">
            <v>41244</v>
          </cell>
          <cell r="E684">
            <v>37321900</v>
          </cell>
          <cell r="F684">
            <v>37321900</v>
          </cell>
          <cell r="G684">
            <v>32643105</v>
          </cell>
          <cell r="H684">
            <v>3110158</v>
          </cell>
          <cell r="I684">
            <v>0</v>
          </cell>
        </row>
        <row r="685">
          <cell r="A685" t="str">
            <v>0530|476001</v>
          </cell>
          <cell r="B685" t="str">
            <v>0530</v>
          </cell>
          <cell r="C685">
            <v>476001</v>
          </cell>
          <cell r="D685">
            <v>41244</v>
          </cell>
          <cell r="E685">
            <v>27778100</v>
          </cell>
          <cell r="F685">
            <v>27778100</v>
          </cell>
          <cell r="G685">
            <v>2371402</v>
          </cell>
          <cell r="H685">
            <v>2314842</v>
          </cell>
          <cell r="I685">
            <v>1458902</v>
          </cell>
        </row>
        <row r="686">
          <cell r="A686" t="str">
            <v>0530|476002</v>
          </cell>
          <cell r="B686" t="str">
            <v>0530</v>
          </cell>
          <cell r="C686">
            <v>476002</v>
          </cell>
          <cell r="D686">
            <v>41244</v>
          </cell>
          <cell r="E686">
            <v>20000000</v>
          </cell>
          <cell r="F686">
            <v>20000000</v>
          </cell>
          <cell r="G686">
            <v>4344200</v>
          </cell>
          <cell r="H686">
            <v>1666667</v>
          </cell>
          <cell r="I686">
            <v>0</v>
          </cell>
        </row>
        <row r="687">
          <cell r="A687" t="str">
            <v>0530|476220</v>
          </cell>
          <cell r="B687" t="str">
            <v>0530</v>
          </cell>
          <cell r="C687">
            <v>476220</v>
          </cell>
          <cell r="D687">
            <v>41244</v>
          </cell>
          <cell r="E687">
            <v>99020000</v>
          </cell>
          <cell r="F687">
            <v>99020000</v>
          </cell>
          <cell r="G687">
            <v>50312949</v>
          </cell>
          <cell r="H687">
            <v>8251667</v>
          </cell>
          <cell r="I687">
            <v>5948396</v>
          </cell>
        </row>
        <row r="688">
          <cell r="A688" t="str">
            <v>0530|476910</v>
          </cell>
          <cell r="B688" t="str">
            <v>0530</v>
          </cell>
          <cell r="C688">
            <v>476910</v>
          </cell>
          <cell r="D688">
            <v>41244</v>
          </cell>
          <cell r="E688">
            <v>5000000</v>
          </cell>
          <cell r="F688">
            <v>5000000</v>
          </cell>
          <cell r="G688">
            <v>320400</v>
          </cell>
          <cell r="H688">
            <v>416667</v>
          </cell>
          <cell r="I688">
            <v>0</v>
          </cell>
        </row>
        <row r="689">
          <cell r="A689" t="str">
            <v>0530|477001</v>
          </cell>
          <cell r="B689" t="str">
            <v>0530</v>
          </cell>
          <cell r="C689">
            <v>477001</v>
          </cell>
          <cell r="D689">
            <v>41244</v>
          </cell>
          <cell r="E689">
            <v>2330743762</v>
          </cell>
          <cell r="F689">
            <v>2330743762</v>
          </cell>
          <cell r="G689">
            <v>1986098396</v>
          </cell>
          <cell r="H689">
            <v>194228647</v>
          </cell>
          <cell r="I689">
            <v>-597389019</v>
          </cell>
        </row>
        <row r="690">
          <cell r="A690" t="str">
            <v>0530|477310</v>
          </cell>
          <cell r="B690" t="str">
            <v>0530</v>
          </cell>
          <cell r="C690">
            <v>477310</v>
          </cell>
          <cell r="D690">
            <v>41244</v>
          </cell>
          <cell r="E690">
            <v>157830791</v>
          </cell>
          <cell r="F690">
            <v>157830791</v>
          </cell>
          <cell r="G690">
            <v>154118819</v>
          </cell>
          <cell r="H690">
            <v>13152566</v>
          </cell>
          <cell r="I690">
            <v>33247692</v>
          </cell>
        </row>
        <row r="691">
          <cell r="A691" t="str">
            <v>0530|477400</v>
          </cell>
          <cell r="B691" t="str">
            <v>0530</v>
          </cell>
          <cell r="C691">
            <v>477400</v>
          </cell>
          <cell r="D691">
            <v>41244</v>
          </cell>
          <cell r="E691">
            <v>884374426</v>
          </cell>
          <cell r="F691">
            <v>884374426</v>
          </cell>
          <cell r="G691">
            <v>265365968</v>
          </cell>
          <cell r="H691">
            <v>73697869</v>
          </cell>
          <cell r="I691">
            <v>-17163231</v>
          </cell>
        </row>
        <row r="692">
          <cell r="A692" t="str">
            <v>0530|477410</v>
          </cell>
          <cell r="B692" t="str">
            <v>0530</v>
          </cell>
          <cell r="C692">
            <v>477410</v>
          </cell>
          <cell r="D692">
            <v>41244</v>
          </cell>
          <cell r="E692">
            <v>0</v>
          </cell>
          <cell r="F692">
            <v>0</v>
          </cell>
          <cell r="G692">
            <v>963522699</v>
          </cell>
          <cell r="H692">
            <v>0</v>
          </cell>
          <cell r="I692">
            <v>75000000</v>
          </cell>
        </row>
        <row r="693">
          <cell r="A693" t="str">
            <v>0530|477450</v>
          </cell>
          <cell r="B693" t="str">
            <v>0530</v>
          </cell>
          <cell r="C693">
            <v>477450</v>
          </cell>
          <cell r="D693">
            <v>41244</v>
          </cell>
          <cell r="E693">
            <v>568051021</v>
          </cell>
          <cell r="F693">
            <v>568051021</v>
          </cell>
          <cell r="G693">
            <v>560939004</v>
          </cell>
          <cell r="H693">
            <v>47337585</v>
          </cell>
          <cell r="I693">
            <v>170950224</v>
          </cell>
        </row>
        <row r="694">
          <cell r="A694" t="str">
            <v>0530|477900</v>
          </cell>
          <cell r="B694" t="str">
            <v>0530</v>
          </cell>
          <cell r="C694">
            <v>477900</v>
          </cell>
          <cell r="D694">
            <v>41244</v>
          </cell>
          <cell r="E694">
            <v>3200000000</v>
          </cell>
          <cell r="F694">
            <v>3200000000</v>
          </cell>
          <cell r="G694">
            <v>223120000</v>
          </cell>
          <cell r="H694">
            <v>266666667</v>
          </cell>
          <cell r="I694">
            <v>223120000</v>
          </cell>
        </row>
        <row r="695">
          <cell r="A695" t="str">
            <v>1100|211100</v>
          </cell>
          <cell r="B695" t="str">
            <v>1100</v>
          </cell>
          <cell r="C695">
            <v>211100</v>
          </cell>
          <cell r="D695">
            <v>41244</v>
          </cell>
          <cell r="E695">
            <v>7331956</v>
          </cell>
          <cell r="F695">
            <v>7331956</v>
          </cell>
          <cell r="G695">
            <v>12970780</v>
          </cell>
          <cell r="H695">
            <v>610996</v>
          </cell>
          <cell r="I695">
            <v>1080897</v>
          </cell>
        </row>
        <row r="696">
          <cell r="A696" t="str">
            <v>1100|246000</v>
          </cell>
          <cell r="B696" t="str">
            <v>1100</v>
          </cell>
          <cell r="C696">
            <v>246000</v>
          </cell>
          <cell r="D696">
            <v>41244</v>
          </cell>
          <cell r="E696">
            <v>12000000</v>
          </cell>
          <cell r="F696">
            <v>12000000</v>
          </cell>
          <cell r="G696">
            <v>28070450</v>
          </cell>
          <cell r="H696">
            <v>1000002</v>
          </cell>
          <cell r="I696">
            <v>5548200</v>
          </cell>
        </row>
        <row r="697">
          <cell r="A697" t="str">
            <v>1100|400040</v>
          </cell>
          <cell r="B697" t="str">
            <v>1100</v>
          </cell>
          <cell r="C697">
            <v>400040</v>
          </cell>
          <cell r="D697">
            <v>41244</v>
          </cell>
          <cell r="E697">
            <v>25000000</v>
          </cell>
          <cell r="F697">
            <v>25000000</v>
          </cell>
          <cell r="G697">
            <v>4350417</v>
          </cell>
          <cell r="H697">
            <v>2083350</v>
          </cell>
          <cell r="I697">
            <v>1410126</v>
          </cell>
        </row>
        <row r="698">
          <cell r="A698" t="str">
            <v>1100|405200</v>
          </cell>
          <cell r="B698" t="str">
            <v>1100</v>
          </cell>
          <cell r="C698">
            <v>405200</v>
          </cell>
          <cell r="D698">
            <v>41244</v>
          </cell>
          <cell r="E698">
            <v>15000000</v>
          </cell>
          <cell r="F698">
            <v>15000000</v>
          </cell>
          <cell r="G698">
            <v>2296364</v>
          </cell>
          <cell r="H698">
            <v>1249999</v>
          </cell>
          <cell r="I698">
            <v>0</v>
          </cell>
        </row>
        <row r="699">
          <cell r="A699" t="str">
            <v>1100|420003</v>
          </cell>
          <cell r="B699" t="str">
            <v>1100</v>
          </cell>
          <cell r="C699">
            <v>420003</v>
          </cell>
          <cell r="D699">
            <v>41244</v>
          </cell>
          <cell r="E699">
            <v>1601427602</v>
          </cell>
          <cell r="F699">
            <v>1601427602</v>
          </cell>
          <cell r="G699">
            <v>1371547626</v>
          </cell>
          <cell r="H699">
            <v>133452301</v>
          </cell>
          <cell r="I699">
            <v>131873851</v>
          </cell>
        </row>
        <row r="700">
          <cell r="A700" t="str">
            <v>1100|422003</v>
          </cell>
          <cell r="B700" t="str">
            <v>1100</v>
          </cell>
          <cell r="C700">
            <v>422003</v>
          </cell>
          <cell r="D700">
            <v>41244</v>
          </cell>
          <cell r="E700">
            <v>677198786</v>
          </cell>
          <cell r="F700">
            <v>677198786</v>
          </cell>
          <cell r="G700">
            <v>507796825</v>
          </cell>
          <cell r="H700">
            <v>56433232</v>
          </cell>
          <cell r="I700">
            <v>49929000</v>
          </cell>
        </row>
        <row r="701">
          <cell r="A701" t="str">
            <v>1100|433003</v>
          </cell>
          <cell r="B701" t="str">
            <v>1100</v>
          </cell>
          <cell r="C701">
            <v>433003</v>
          </cell>
          <cell r="D701">
            <v>41244</v>
          </cell>
          <cell r="E701">
            <v>5382786</v>
          </cell>
          <cell r="F701">
            <v>5382786</v>
          </cell>
          <cell r="G701">
            <v>5521650</v>
          </cell>
          <cell r="H701">
            <v>448565</v>
          </cell>
          <cell r="I701">
            <v>464225</v>
          </cell>
        </row>
        <row r="702">
          <cell r="A702" t="str">
            <v>1100|434013</v>
          </cell>
          <cell r="B702" t="str">
            <v>1100</v>
          </cell>
          <cell r="C702">
            <v>434013</v>
          </cell>
          <cell r="D702">
            <v>41244</v>
          </cell>
          <cell r="E702">
            <v>0</v>
          </cell>
          <cell r="F702">
            <v>0</v>
          </cell>
          <cell r="G702">
            <v>4244886</v>
          </cell>
          <cell r="H702">
            <v>0</v>
          </cell>
          <cell r="I702">
            <v>1366596</v>
          </cell>
        </row>
        <row r="703">
          <cell r="A703" t="str">
            <v>1100|435003</v>
          </cell>
          <cell r="B703" t="str">
            <v>1100</v>
          </cell>
          <cell r="C703">
            <v>435003</v>
          </cell>
          <cell r="D703">
            <v>41244</v>
          </cell>
          <cell r="E703">
            <v>457206308</v>
          </cell>
          <cell r="F703">
            <v>457206308</v>
          </cell>
          <cell r="G703">
            <v>13197427</v>
          </cell>
          <cell r="H703">
            <v>38100526</v>
          </cell>
          <cell r="I703">
            <v>-4566249959</v>
          </cell>
        </row>
        <row r="704">
          <cell r="A704" t="str">
            <v>1100|439003</v>
          </cell>
          <cell r="B704" t="str">
            <v>1100</v>
          </cell>
          <cell r="C704">
            <v>439003</v>
          </cell>
          <cell r="D704">
            <v>41244</v>
          </cell>
          <cell r="E704">
            <v>44055634</v>
          </cell>
          <cell r="F704">
            <v>44055634</v>
          </cell>
          <cell r="G704">
            <v>67228313</v>
          </cell>
          <cell r="H704">
            <v>3671303</v>
          </cell>
          <cell r="I704">
            <v>8296600</v>
          </cell>
        </row>
        <row r="705">
          <cell r="A705" t="str">
            <v>1100|439006</v>
          </cell>
          <cell r="B705" t="str">
            <v>1100</v>
          </cell>
          <cell r="C705">
            <v>439006</v>
          </cell>
          <cell r="D705">
            <v>41244</v>
          </cell>
          <cell r="E705">
            <v>149501030</v>
          </cell>
          <cell r="F705">
            <v>149501030</v>
          </cell>
          <cell r="G705">
            <v>45128239</v>
          </cell>
          <cell r="H705">
            <v>12458419</v>
          </cell>
          <cell r="I705">
            <v>0</v>
          </cell>
        </row>
        <row r="706">
          <cell r="A706" t="str">
            <v>1100|439103</v>
          </cell>
          <cell r="B706" t="str">
            <v>1100</v>
          </cell>
          <cell r="C706">
            <v>439103</v>
          </cell>
          <cell r="D706">
            <v>41244</v>
          </cell>
          <cell r="E706">
            <v>0</v>
          </cell>
          <cell r="F706">
            <v>0</v>
          </cell>
          <cell r="G706">
            <v>500000</v>
          </cell>
          <cell r="H706">
            <v>0</v>
          </cell>
          <cell r="I706">
            <v>0</v>
          </cell>
        </row>
        <row r="707">
          <cell r="A707" t="str">
            <v>1100|439203</v>
          </cell>
          <cell r="B707" t="str">
            <v>1100</v>
          </cell>
          <cell r="C707">
            <v>439203</v>
          </cell>
          <cell r="D707">
            <v>41244</v>
          </cell>
          <cell r="E707">
            <v>0</v>
          </cell>
          <cell r="F707">
            <v>0</v>
          </cell>
          <cell r="G707">
            <v>209000</v>
          </cell>
          <cell r="H707">
            <v>0</v>
          </cell>
          <cell r="I707">
            <v>0</v>
          </cell>
        </row>
        <row r="708">
          <cell r="A708" t="str">
            <v>1100|440003</v>
          </cell>
          <cell r="B708" t="str">
            <v>1100</v>
          </cell>
          <cell r="C708">
            <v>440003</v>
          </cell>
          <cell r="D708">
            <v>41244</v>
          </cell>
          <cell r="E708">
            <v>16206308</v>
          </cell>
          <cell r="F708">
            <v>16206308</v>
          </cell>
          <cell r="G708">
            <v>9578746</v>
          </cell>
          <cell r="H708">
            <v>1350526</v>
          </cell>
          <cell r="I708">
            <v>989677</v>
          </cell>
        </row>
        <row r="709">
          <cell r="A709" t="str">
            <v>1100|447003</v>
          </cell>
          <cell r="B709" t="str">
            <v>1100</v>
          </cell>
          <cell r="C709">
            <v>447003</v>
          </cell>
          <cell r="D709">
            <v>41244</v>
          </cell>
          <cell r="E709">
            <v>829090</v>
          </cell>
          <cell r="F709">
            <v>829090</v>
          </cell>
          <cell r="G709">
            <v>596340</v>
          </cell>
          <cell r="H709">
            <v>69091</v>
          </cell>
          <cell r="I709">
            <v>50137</v>
          </cell>
        </row>
        <row r="710">
          <cell r="A710" t="str">
            <v>1100|447013</v>
          </cell>
          <cell r="B710" t="str">
            <v>1100</v>
          </cell>
          <cell r="C710">
            <v>447013</v>
          </cell>
          <cell r="D710">
            <v>41244</v>
          </cell>
          <cell r="E710">
            <v>4049724</v>
          </cell>
          <cell r="F710">
            <v>4049724</v>
          </cell>
          <cell r="G710">
            <v>4086024</v>
          </cell>
          <cell r="H710">
            <v>337478</v>
          </cell>
          <cell r="I710">
            <v>343527</v>
          </cell>
        </row>
        <row r="711">
          <cell r="A711" t="str">
            <v>1100|447023</v>
          </cell>
          <cell r="B711" t="str">
            <v>1100</v>
          </cell>
          <cell r="C711">
            <v>447023</v>
          </cell>
          <cell r="D711">
            <v>41244</v>
          </cell>
          <cell r="E711">
            <v>82909</v>
          </cell>
          <cell r="F711">
            <v>82909</v>
          </cell>
          <cell r="G711">
            <v>94236</v>
          </cell>
          <cell r="H711">
            <v>6909</v>
          </cell>
          <cell r="I711">
            <v>0</v>
          </cell>
        </row>
        <row r="712">
          <cell r="A712" t="str">
            <v>1100|448003</v>
          </cell>
          <cell r="B712" t="str">
            <v>1100</v>
          </cell>
          <cell r="C712">
            <v>448003</v>
          </cell>
          <cell r="D712">
            <v>41244</v>
          </cell>
          <cell r="E712">
            <v>15382279</v>
          </cell>
          <cell r="F712">
            <v>15382279</v>
          </cell>
          <cell r="G712">
            <v>2550100</v>
          </cell>
          <cell r="H712">
            <v>1281857</v>
          </cell>
          <cell r="I712">
            <v>0</v>
          </cell>
        </row>
        <row r="713">
          <cell r="A713" t="str">
            <v>1100|449010</v>
          </cell>
          <cell r="B713" t="str">
            <v>1100</v>
          </cell>
          <cell r="C713">
            <v>449010</v>
          </cell>
          <cell r="D713">
            <v>41244</v>
          </cell>
          <cell r="E713">
            <v>175000000</v>
          </cell>
          <cell r="F713">
            <v>175000000</v>
          </cell>
          <cell r="G713">
            <v>170841096</v>
          </cell>
          <cell r="H713">
            <v>14583333</v>
          </cell>
          <cell r="I713">
            <v>0</v>
          </cell>
        </row>
        <row r="714">
          <cell r="A714" t="str">
            <v>1100|449011</v>
          </cell>
          <cell r="B714" t="str">
            <v>1100</v>
          </cell>
          <cell r="C714">
            <v>449011</v>
          </cell>
          <cell r="D714">
            <v>41244</v>
          </cell>
          <cell r="E714">
            <v>0</v>
          </cell>
          <cell r="F714">
            <v>0</v>
          </cell>
          <cell r="G714">
            <v>-21601926</v>
          </cell>
          <cell r="H714">
            <v>0</v>
          </cell>
          <cell r="I714">
            <v>0</v>
          </cell>
        </row>
        <row r="715">
          <cell r="A715" t="str">
            <v>1100|449023</v>
          </cell>
          <cell r="B715" t="str">
            <v>1100</v>
          </cell>
          <cell r="C715">
            <v>449023</v>
          </cell>
          <cell r="D715">
            <v>41244</v>
          </cell>
          <cell r="E715">
            <v>3960000</v>
          </cell>
          <cell r="F715">
            <v>3960000</v>
          </cell>
          <cell r="G715">
            <v>3285000</v>
          </cell>
          <cell r="H715">
            <v>330000</v>
          </cell>
          <cell r="I715">
            <v>170000</v>
          </cell>
        </row>
        <row r="716">
          <cell r="A716" t="str">
            <v>1100|449032</v>
          </cell>
          <cell r="B716" t="str">
            <v>1100</v>
          </cell>
          <cell r="C716">
            <v>449032</v>
          </cell>
          <cell r="D716">
            <v>41244</v>
          </cell>
          <cell r="E716">
            <v>1800000</v>
          </cell>
          <cell r="F716">
            <v>1800000</v>
          </cell>
          <cell r="G716">
            <v>5050000</v>
          </cell>
          <cell r="H716">
            <v>150000</v>
          </cell>
          <cell r="I716">
            <v>5950000</v>
          </cell>
        </row>
        <row r="717">
          <cell r="A717" t="str">
            <v>1100|449040</v>
          </cell>
          <cell r="B717" t="str">
            <v>1100</v>
          </cell>
          <cell r="C717">
            <v>449040</v>
          </cell>
          <cell r="D717">
            <v>41244</v>
          </cell>
          <cell r="E717">
            <v>66095430</v>
          </cell>
          <cell r="F717">
            <v>66095430</v>
          </cell>
          <cell r="G717">
            <v>41291500</v>
          </cell>
          <cell r="H717">
            <v>5507952</v>
          </cell>
          <cell r="I717">
            <v>650000</v>
          </cell>
        </row>
        <row r="718">
          <cell r="A718" t="str">
            <v>1100|449050</v>
          </cell>
          <cell r="B718" t="str">
            <v>1100</v>
          </cell>
          <cell r="C718">
            <v>449050</v>
          </cell>
          <cell r="D718">
            <v>41244</v>
          </cell>
          <cell r="E718">
            <v>131275506</v>
          </cell>
          <cell r="F718">
            <v>131275506</v>
          </cell>
          <cell r="G718">
            <v>1079773838</v>
          </cell>
          <cell r="H718">
            <v>10939625</v>
          </cell>
          <cell r="I718">
            <v>850220836</v>
          </cell>
        </row>
        <row r="719">
          <cell r="A719" t="str">
            <v>1100|449061</v>
          </cell>
          <cell r="B719" t="str">
            <v>1100</v>
          </cell>
          <cell r="C719">
            <v>449061</v>
          </cell>
          <cell r="D719">
            <v>41244</v>
          </cell>
          <cell r="E719">
            <v>16776900</v>
          </cell>
          <cell r="F719">
            <v>16776900</v>
          </cell>
          <cell r="G719">
            <v>14037600</v>
          </cell>
          <cell r="H719">
            <v>1398075</v>
          </cell>
          <cell r="I719">
            <v>647000</v>
          </cell>
        </row>
        <row r="720">
          <cell r="A720" t="str">
            <v>1100|455000</v>
          </cell>
          <cell r="B720" t="str">
            <v>1100</v>
          </cell>
          <cell r="C720">
            <v>455000</v>
          </cell>
          <cell r="D720">
            <v>41244</v>
          </cell>
          <cell r="E720">
            <v>0</v>
          </cell>
          <cell r="F720">
            <v>0</v>
          </cell>
          <cell r="G720">
            <v>128250</v>
          </cell>
          <cell r="H720">
            <v>0</v>
          </cell>
          <cell r="I720">
            <v>0</v>
          </cell>
        </row>
        <row r="721">
          <cell r="A721" t="str">
            <v>1100|459005</v>
          </cell>
          <cell r="B721" t="str">
            <v>1100</v>
          </cell>
          <cell r="C721">
            <v>459005</v>
          </cell>
          <cell r="D721">
            <v>41244</v>
          </cell>
          <cell r="E721">
            <v>0</v>
          </cell>
          <cell r="F721">
            <v>0</v>
          </cell>
          <cell r="G721">
            <v>3200000</v>
          </cell>
          <cell r="H721">
            <v>0</v>
          </cell>
          <cell r="I721">
            <v>0</v>
          </cell>
        </row>
        <row r="722">
          <cell r="A722" t="str">
            <v>1100|465000</v>
          </cell>
          <cell r="B722" t="str">
            <v>1100</v>
          </cell>
          <cell r="C722">
            <v>465000</v>
          </cell>
          <cell r="D722">
            <v>41244</v>
          </cell>
          <cell r="E722">
            <v>700000000</v>
          </cell>
          <cell r="F722">
            <v>700000000</v>
          </cell>
          <cell r="G722">
            <v>0</v>
          </cell>
          <cell r="H722">
            <v>58333333</v>
          </cell>
          <cell r="I722">
            <v>0</v>
          </cell>
        </row>
        <row r="723">
          <cell r="A723" t="str">
            <v>1100|466000</v>
          </cell>
          <cell r="B723" t="str">
            <v>1100</v>
          </cell>
          <cell r="C723">
            <v>466000</v>
          </cell>
          <cell r="D723">
            <v>41244</v>
          </cell>
          <cell r="E723">
            <v>965000000</v>
          </cell>
          <cell r="F723">
            <v>965000000</v>
          </cell>
          <cell r="G723">
            <v>0</v>
          </cell>
          <cell r="H723">
            <v>80416667</v>
          </cell>
          <cell r="I723">
            <v>0</v>
          </cell>
        </row>
        <row r="724">
          <cell r="A724" t="str">
            <v>1100|466002</v>
          </cell>
          <cell r="B724" t="str">
            <v>1100</v>
          </cell>
          <cell r="C724">
            <v>466002</v>
          </cell>
          <cell r="D724">
            <v>41244</v>
          </cell>
          <cell r="E724">
            <v>1434031</v>
          </cell>
          <cell r="F724">
            <v>1434031</v>
          </cell>
          <cell r="G724">
            <v>0</v>
          </cell>
          <cell r="H724">
            <v>119503</v>
          </cell>
          <cell r="I724">
            <v>0</v>
          </cell>
        </row>
        <row r="725">
          <cell r="A725" t="str">
            <v>1100|466003</v>
          </cell>
          <cell r="B725" t="str">
            <v>1100</v>
          </cell>
          <cell r="C725">
            <v>466003</v>
          </cell>
          <cell r="D725">
            <v>41244</v>
          </cell>
          <cell r="E725">
            <v>215790004</v>
          </cell>
          <cell r="F725">
            <v>215790004</v>
          </cell>
          <cell r="G725">
            <v>18919692</v>
          </cell>
          <cell r="H725">
            <v>17982500</v>
          </cell>
          <cell r="I725">
            <v>2102188</v>
          </cell>
        </row>
        <row r="726">
          <cell r="A726" t="str">
            <v>1100|470001</v>
          </cell>
          <cell r="B726" t="str">
            <v>1100</v>
          </cell>
          <cell r="C726">
            <v>470001</v>
          </cell>
          <cell r="D726">
            <v>41244</v>
          </cell>
          <cell r="E726">
            <v>471960000</v>
          </cell>
          <cell r="F726">
            <v>471960000</v>
          </cell>
          <cell r="G726">
            <v>429393936</v>
          </cell>
          <cell r="H726">
            <v>39330000</v>
          </cell>
          <cell r="I726">
            <v>35782828</v>
          </cell>
        </row>
        <row r="727">
          <cell r="A727" t="str">
            <v>1100|470102</v>
          </cell>
          <cell r="B727" t="str">
            <v>1100</v>
          </cell>
          <cell r="C727">
            <v>470102</v>
          </cell>
          <cell r="D727">
            <v>41244</v>
          </cell>
          <cell r="E727">
            <v>6495795</v>
          </cell>
          <cell r="F727">
            <v>6495795</v>
          </cell>
          <cell r="G727">
            <v>5248117</v>
          </cell>
          <cell r="H727">
            <v>541316</v>
          </cell>
          <cell r="I727">
            <v>342248</v>
          </cell>
        </row>
        <row r="728">
          <cell r="A728" t="str">
            <v>1100|471000</v>
          </cell>
          <cell r="B728" t="str">
            <v>1100</v>
          </cell>
          <cell r="C728">
            <v>471000</v>
          </cell>
          <cell r="D728">
            <v>41244</v>
          </cell>
          <cell r="E728">
            <v>1684430</v>
          </cell>
          <cell r="F728">
            <v>1684430</v>
          </cell>
          <cell r="G728">
            <v>3872555</v>
          </cell>
          <cell r="H728">
            <v>140369</v>
          </cell>
          <cell r="I728">
            <v>2310000</v>
          </cell>
        </row>
        <row r="729">
          <cell r="A729" t="str">
            <v>1100|472000</v>
          </cell>
          <cell r="B729" t="str">
            <v>1100</v>
          </cell>
          <cell r="C729">
            <v>472000</v>
          </cell>
          <cell r="D729">
            <v>41244</v>
          </cell>
          <cell r="E729">
            <v>0</v>
          </cell>
          <cell r="F729">
            <v>0</v>
          </cell>
          <cell r="G729">
            <v>671624</v>
          </cell>
          <cell r="H729">
            <v>0</v>
          </cell>
          <cell r="I729">
            <v>0</v>
          </cell>
        </row>
        <row r="730">
          <cell r="A730" t="str">
            <v>1100|473000</v>
          </cell>
          <cell r="B730" t="str">
            <v>1100</v>
          </cell>
          <cell r="C730">
            <v>473000</v>
          </cell>
          <cell r="D730">
            <v>41244</v>
          </cell>
          <cell r="E730">
            <v>717986</v>
          </cell>
          <cell r="F730">
            <v>717986</v>
          </cell>
          <cell r="G730">
            <v>646738</v>
          </cell>
          <cell r="H730">
            <v>59832</v>
          </cell>
          <cell r="I730">
            <v>0</v>
          </cell>
        </row>
        <row r="731">
          <cell r="A731" t="str">
            <v>1100|473120</v>
          </cell>
          <cell r="B731" t="str">
            <v>1100</v>
          </cell>
          <cell r="C731">
            <v>473120</v>
          </cell>
          <cell r="D731">
            <v>41244</v>
          </cell>
          <cell r="E731">
            <v>88170350</v>
          </cell>
          <cell r="F731">
            <v>88170350</v>
          </cell>
          <cell r="G731">
            <v>62150970</v>
          </cell>
          <cell r="H731">
            <v>7347529</v>
          </cell>
          <cell r="I731">
            <v>10288348</v>
          </cell>
        </row>
        <row r="732">
          <cell r="A732" t="str">
            <v>1100|474100</v>
          </cell>
          <cell r="B732" t="str">
            <v>1100</v>
          </cell>
          <cell r="C732">
            <v>474100</v>
          </cell>
          <cell r="D732">
            <v>41244</v>
          </cell>
          <cell r="E732">
            <v>302933496</v>
          </cell>
          <cell r="F732">
            <v>302933496</v>
          </cell>
          <cell r="G732">
            <v>370893733</v>
          </cell>
          <cell r="H732">
            <v>25244458</v>
          </cell>
          <cell r="I732">
            <v>142443969</v>
          </cell>
        </row>
        <row r="733">
          <cell r="A733" t="str">
            <v>1100|474101</v>
          </cell>
          <cell r="B733" t="str">
            <v>1100</v>
          </cell>
          <cell r="C733">
            <v>474101</v>
          </cell>
          <cell r="D733">
            <v>41244</v>
          </cell>
          <cell r="E733">
            <v>17071500</v>
          </cell>
          <cell r="F733">
            <v>17071500</v>
          </cell>
          <cell r="G733">
            <v>-2580000</v>
          </cell>
          <cell r="H733">
            <v>1422625</v>
          </cell>
          <cell r="I733">
            <v>0</v>
          </cell>
        </row>
        <row r="734">
          <cell r="A734" t="str">
            <v>1100|475001</v>
          </cell>
          <cell r="B734" t="str">
            <v>1100</v>
          </cell>
          <cell r="C734">
            <v>475001</v>
          </cell>
          <cell r="D734">
            <v>41244</v>
          </cell>
          <cell r="E734">
            <v>0</v>
          </cell>
          <cell r="F734">
            <v>0</v>
          </cell>
          <cell r="G734">
            <v>-1300000</v>
          </cell>
          <cell r="H734">
            <v>0</v>
          </cell>
          <cell r="I734">
            <v>0</v>
          </cell>
        </row>
        <row r="735">
          <cell r="A735" t="str">
            <v>1100|475003</v>
          </cell>
          <cell r="B735" t="str">
            <v>1100</v>
          </cell>
          <cell r="C735">
            <v>475003</v>
          </cell>
          <cell r="D735">
            <v>41244</v>
          </cell>
          <cell r="E735">
            <v>858200</v>
          </cell>
          <cell r="F735">
            <v>858200</v>
          </cell>
          <cell r="G735">
            <v>150000</v>
          </cell>
          <cell r="H735">
            <v>71517</v>
          </cell>
          <cell r="I735">
            <v>0</v>
          </cell>
        </row>
        <row r="736">
          <cell r="A736" t="str">
            <v>1100|475004</v>
          </cell>
          <cell r="B736" t="str">
            <v>1100</v>
          </cell>
          <cell r="C736">
            <v>475004</v>
          </cell>
          <cell r="D736">
            <v>41244</v>
          </cell>
          <cell r="E736">
            <v>37092500</v>
          </cell>
          <cell r="F736">
            <v>37092500</v>
          </cell>
          <cell r="G736">
            <v>48324470</v>
          </cell>
          <cell r="H736">
            <v>3091042</v>
          </cell>
          <cell r="I736">
            <v>2704000</v>
          </cell>
        </row>
        <row r="737">
          <cell r="A737" t="str">
            <v>1100|475005</v>
          </cell>
          <cell r="B737" t="str">
            <v>1100</v>
          </cell>
          <cell r="C737">
            <v>475005</v>
          </cell>
          <cell r="D737">
            <v>41244</v>
          </cell>
          <cell r="E737">
            <v>0</v>
          </cell>
          <cell r="F737">
            <v>0</v>
          </cell>
          <cell r="G737">
            <v>6368800</v>
          </cell>
          <cell r="H737">
            <v>0</v>
          </cell>
          <cell r="I737">
            <v>0</v>
          </cell>
        </row>
        <row r="738">
          <cell r="A738" t="str">
            <v>1100|475006</v>
          </cell>
          <cell r="B738" t="str">
            <v>1100</v>
          </cell>
          <cell r="C738">
            <v>475006</v>
          </cell>
          <cell r="D738">
            <v>41244</v>
          </cell>
          <cell r="E738">
            <v>5000000</v>
          </cell>
          <cell r="F738">
            <v>5000000</v>
          </cell>
          <cell r="G738">
            <v>15682013</v>
          </cell>
          <cell r="H738">
            <v>416667</v>
          </cell>
          <cell r="I738">
            <v>664063</v>
          </cell>
        </row>
        <row r="739">
          <cell r="A739" t="str">
            <v>1100|476000</v>
          </cell>
          <cell r="B739" t="str">
            <v>1100</v>
          </cell>
          <cell r="C739">
            <v>476000</v>
          </cell>
          <cell r="D739">
            <v>41244</v>
          </cell>
          <cell r="E739">
            <v>82821472</v>
          </cell>
          <cell r="F739">
            <v>82821472</v>
          </cell>
          <cell r="G739">
            <v>29248592</v>
          </cell>
          <cell r="H739">
            <v>6901789</v>
          </cell>
          <cell r="I739">
            <v>6627196</v>
          </cell>
        </row>
        <row r="740">
          <cell r="A740" t="str">
            <v>1100|476001</v>
          </cell>
          <cell r="B740" t="str">
            <v>1100</v>
          </cell>
          <cell r="C740">
            <v>476001</v>
          </cell>
          <cell r="D740">
            <v>41244</v>
          </cell>
          <cell r="E740">
            <v>48152915</v>
          </cell>
          <cell r="F740">
            <v>48152915</v>
          </cell>
          <cell r="G740">
            <v>-334396</v>
          </cell>
          <cell r="H740">
            <v>4012743</v>
          </cell>
          <cell r="I740">
            <v>2875715</v>
          </cell>
        </row>
        <row r="741">
          <cell r="A741" t="str">
            <v>1100|476002</v>
          </cell>
          <cell r="B741" t="str">
            <v>1100</v>
          </cell>
          <cell r="C741">
            <v>476002</v>
          </cell>
          <cell r="D741">
            <v>41244</v>
          </cell>
          <cell r="E741">
            <v>10947550</v>
          </cell>
          <cell r="F741">
            <v>10947550</v>
          </cell>
          <cell r="G741">
            <v>10813275</v>
          </cell>
          <cell r="H741">
            <v>912296</v>
          </cell>
          <cell r="I741">
            <v>213500</v>
          </cell>
        </row>
        <row r="742">
          <cell r="A742" t="str">
            <v>1100|476201</v>
          </cell>
          <cell r="B742" t="str">
            <v>1100</v>
          </cell>
          <cell r="C742">
            <v>476201</v>
          </cell>
          <cell r="D742">
            <v>41244</v>
          </cell>
          <cell r="E742">
            <v>1139673922</v>
          </cell>
          <cell r="F742">
            <v>1139673922</v>
          </cell>
          <cell r="G742">
            <v>2336334415</v>
          </cell>
          <cell r="H742">
            <v>94972827</v>
          </cell>
          <cell r="I742">
            <v>937458328</v>
          </cell>
        </row>
        <row r="743">
          <cell r="A743" t="str">
            <v>1100|476220</v>
          </cell>
          <cell r="B743" t="str">
            <v>1100</v>
          </cell>
          <cell r="C743">
            <v>476220</v>
          </cell>
          <cell r="D743">
            <v>41244</v>
          </cell>
          <cell r="E743">
            <v>85215655</v>
          </cell>
          <cell r="F743">
            <v>85215655</v>
          </cell>
          <cell r="G743">
            <v>114521182</v>
          </cell>
          <cell r="H743">
            <v>7101305</v>
          </cell>
          <cell r="I743">
            <v>18339822</v>
          </cell>
        </row>
        <row r="744">
          <cell r="A744" t="str">
            <v>1100|476900</v>
          </cell>
          <cell r="B744" t="str">
            <v>1100</v>
          </cell>
          <cell r="C744">
            <v>476900</v>
          </cell>
          <cell r="D744">
            <v>41244</v>
          </cell>
          <cell r="E744">
            <v>13727309</v>
          </cell>
          <cell r="F744">
            <v>13727309</v>
          </cell>
          <cell r="G744">
            <v>2772200</v>
          </cell>
          <cell r="H744">
            <v>1143942</v>
          </cell>
          <cell r="I744">
            <v>472000</v>
          </cell>
        </row>
        <row r="745">
          <cell r="A745" t="str">
            <v>1100|477500</v>
          </cell>
          <cell r="B745" t="str">
            <v>1100</v>
          </cell>
          <cell r="C745">
            <v>477500</v>
          </cell>
          <cell r="D745">
            <v>41244</v>
          </cell>
          <cell r="E745">
            <v>595000</v>
          </cell>
          <cell r="F745">
            <v>595000</v>
          </cell>
          <cell r="G745">
            <v>0</v>
          </cell>
          <cell r="H745">
            <v>49583</v>
          </cell>
          <cell r="I745">
            <v>0</v>
          </cell>
        </row>
        <row r="746">
          <cell r="A746" t="str">
            <v>1110|246000</v>
          </cell>
          <cell r="B746" t="str">
            <v>1110</v>
          </cell>
          <cell r="C746">
            <v>246000</v>
          </cell>
          <cell r="D746">
            <v>41244</v>
          </cell>
          <cell r="E746">
            <v>15000000</v>
          </cell>
          <cell r="F746">
            <v>15000000</v>
          </cell>
          <cell r="G746">
            <v>0</v>
          </cell>
          <cell r="H746">
            <v>1250000</v>
          </cell>
          <cell r="I746">
            <v>0</v>
          </cell>
        </row>
        <row r="747">
          <cell r="A747" t="str">
            <v>1110|420003</v>
          </cell>
          <cell r="B747" t="str">
            <v>1110</v>
          </cell>
          <cell r="C747">
            <v>420003</v>
          </cell>
          <cell r="D747">
            <v>41244</v>
          </cell>
          <cell r="E747">
            <v>0</v>
          </cell>
          <cell r="F747">
            <v>0</v>
          </cell>
          <cell r="G747">
            <v>433126</v>
          </cell>
          <cell r="H747">
            <v>0</v>
          </cell>
          <cell r="I747">
            <v>-2</v>
          </cell>
        </row>
        <row r="748">
          <cell r="A748" t="str">
            <v>1110|439006</v>
          </cell>
          <cell r="B748" t="str">
            <v>1110</v>
          </cell>
          <cell r="C748">
            <v>439006</v>
          </cell>
          <cell r="D748">
            <v>41244</v>
          </cell>
          <cell r="E748">
            <v>0</v>
          </cell>
          <cell r="F748">
            <v>0</v>
          </cell>
          <cell r="G748">
            <v>247077137</v>
          </cell>
          <cell r="H748">
            <v>0</v>
          </cell>
          <cell r="I748">
            <v>247077138</v>
          </cell>
        </row>
        <row r="749">
          <cell r="A749" t="str">
            <v>1110|466000</v>
          </cell>
          <cell r="B749" t="str">
            <v>1110</v>
          </cell>
          <cell r="C749">
            <v>466000</v>
          </cell>
          <cell r="D749">
            <v>41244</v>
          </cell>
          <cell r="E749">
            <v>0</v>
          </cell>
          <cell r="F749">
            <v>0</v>
          </cell>
          <cell r="G749">
            <v>962084671</v>
          </cell>
          <cell r="H749">
            <v>0</v>
          </cell>
          <cell r="I749">
            <v>80173722</v>
          </cell>
        </row>
        <row r="750">
          <cell r="A750" t="str">
            <v>1110|466002</v>
          </cell>
          <cell r="B750" t="str">
            <v>1110</v>
          </cell>
          <cell r="C750">
            <v>466002</v>
          </cell>
          <cell r="D750">
            <v>41244</v>
          </cell>
          <cell r="E750">
            <v>0</v>
          </cell>
          <cell r="F750">
            <v>0</v>
          </cell>
          <cell r="G750">
            <v>1135026</v>
          </cell>
          <cell r="H750">
            <v>0</v>
          </cell>
          <cell r="I750">
            <v>0</v>
          </cell>
        </row>
        <row r="751">
          <cell r="A751" t="str">
            <v>1110|466003</v>
          </cell>
          <cell r="B751" t="str">
            <v>1110</v>
          </cell>
          <cell r="C751">
            <v>466003</v>
          </cell>
          <cell r="D751">
            <v>41244</v>
          </cell>
          <cell r="E751">
            <v>0</v>
          </cell>
          <cell r="F751">
            <v>0</v>
          </cell>
          <cell r="G751">
            <v>179927190</v>
          </cell>
          <cell r="H751">
            <v>0</v>
          </cell>
          <cell r="I751">
            <v>15055161</v>
          </cell>
        </row>
        <row r="752">
          <cell r="A752" t="str">
            <v>1110|466004</v>
          </cell>
          <cell r="B752" t="str">
            <v>1110</v>
          </cell>
          <cell r="C752">
            <v>466004</v>
          </cell>
          <cell r="D752">
            <v>41244</v>
          </cell>
          <cell r="E752">
            <v>1000000000</v>
          </cell>
          <cell r="F752">
            <v>1000000000</v>
          </cell>
          <cell r="G752">
            <v>-79402246</v>
          </cell>
          <cell r="H752">
            <v>83333310</v>
          </cell>
          <cell r="I752">
            <v>0</v>
          </cell>
        </row>
        <row r="753">
          <cell r="A753" t="str">
            <v>1110|470102</v>
          </cell>
          <cell r="B753" t="str">
            <v>1110</v>
          </cell>
          <cell r="C753">
            <v>470102</v>
          </cell>
          <cell r="D753">
            <v>41244</v>
          </cell>
          <cell r="E753">
            <v>0</v>
          </cell>
          <cell r="F753">
            <v>0</v>
          </cell>
          <cell r="G753">
            <v>2264756</v>
          </cell>
          <cell r="H753">
            <v>0</v>
          </cell>
          <cell r="I753">
            <v>235004</v>
          </cell>
        </row>
        <row r="754">
          <cell r="A754" t="str">
            <v>1110|472000</v>
          </cell>
          <cell r="B754" t="str">
            <v>1110</v>
          </cell>
          <cell r="C754">
            <v>472000</v>
          </cell>
          <cell r="D754">
            <v>41244</v>
          </cell>
          <cell r="E754">
            <v>200000</v>
          </cell>
          <cell r="F754">
            <v>200000</v>
          </cell>
          <cell r="G754">
            <v>0</v>
          </cell>
          <cell r="H754">
            <v>16667</v>
          </cell>
          <cell r="I754">
            <v>0</v>
          </cell>
        </row>
        <row r="755">
          <cell r="A755" t="str">
            <v>1110|475006</v>
          </cell>
          <cell r="B755" t="str">
            <v>1110</v>
          </cell>
          <cell r="C755">
            <v>475006</v>
          </cell>
          <cell r="D755">
            <v>41244</v>
          </cell>
          <cell r="E755">
            <v>12103447</v>
          </cell>
          <cell r="F755">
            <v>12103447</v>
          </cell>
          <cell r="G755">
            <v>0</v>
          </cell>
          <cell r="H755">
            <v>1008621</v>
          </cell>
          <cell r="I755">
            <v>0</v>
          </cell>
        </row>
        <row r="756">
          <cell r="A756" t="str">
            <v>1110|476201</v>
          </cell>
          <cell r="B756" t="str">
            <v>1110</v>
          </cell>
          <cell r="C756">
            <v>476201</v>
          </cell>
          <cell r="D756">
            <v>41244</v>
          </cell>
          <cell r="E756">
            <v>95779982</v>
          </cell>
          <cell r="F756">
            <v>95779982</v>
          </cell>
          <cell r="G756">
            <v>0</v>
          </cell>
          <cell r="H756">
            <v>7981665</v>
          </cell>
          <cell r="I756">
            <v>0</v>
          </cell>
        </row>
        <row r="757">
          <cell r="A757" t="str">
            <v>1200|211100</v>
          </cell>
          <cell r="B757" t="str">
            <v>1200</v>
          </cell>
          <cell r="C757">
            <v>211100</v>
          </cell>
          <cell r="D757">
            <v>41244</v>
          </cell>
          <cell r="E757">
            <v>31644132</v>
          </cell>
          <cell r="F757">
            <v>31644132</v>
          </cell>
          <cell r="G757">
            <v>82866145</v>
          </cell>
          <cell r="H757">
            <v>2637011</v>
          </cell>
          <cell r="I757">
            <v>6581498</v>
          </cell>
        </row>
        <row r="758">
          <cell r="A758" t="str">
            <v>1200|246000</v>
          </cell>
          <cell r="B758" t="str">
            <v>1200</v>
          </cell>
          <cell r="C758">
            <v>246000</v>
          </cell>
          <cell r="D758">
            <v>41244</v>
          </cell>
          <cell r="E758">
            <v>0</v>
          </cell>
          <cell r="F758">
            <v>0</v>
          </cell>
          <cell r="G758">
            <v>-4744100</v>
          </cell>
          <cell r="H758">
            <v>0</v>
          </cell>
          <cell r="I758">
            <v>0</v>
          </cell>
        </row>
        <row r="759">
          <cell r="A759" t="str">
            <v>1200|400040</v>
          </cell>
          <cell r="B759" t="str">
            <v>1200</v>
          </cell>
          <cell r="C759">
            <v>400040</v>
          </cell>
          <cell r="D759">
            <v>41244</v>
          </cell>
          <cell r="E759">
            <v>0</v>
          </cell>
          <cell r="F759">
            <v>0</v>
          </cell>
          <cell r="G759">
            <v>669700</v>
          </cell>
          <cell r="H759">
            <v>0</v>
          </cell>
          <cell r="I759">
            <v>0</v>
          </cell>
        </row>
        <row r="760">
          <cell r="A760" t="str">
            <v>1200|405200</v>
          </cell>
          <cell r="B760" t="str">
            <v>1200</v>
          </cell>
          <cell r="C760">
            <v>405200</v>
          </cell>
          <cell r="D760">
            <v>41244</v>
          </cell>
          <cell r="E760">
            <v>0</v>
          </cell>
          <cell r="F760">
            <v>0</v>
          </cell>
          <cell r="G760">
            <v>-105011782</v>
          </cell>
          <cell r="H760">
            <v>0</v>
          </cell>
          <cell r="I760">
            <v>0</v>
          </cell>
        </row>
        <row r="761">
          <cell r="A761" t="str">
            <v>1200|420002</v>
          </cell>
          <cell r="B761" t="str">
            <v>1200</v>
          </cell>
          <cell r="C761">
            <v>420002</v>
          </cell>
          <cell r="D761">
            <v>41244</v>
          </cell>
          <cell r="E761">
            <v>926950017</v>
          </cell>
          <cell r="F761">
            <v>926950017</v>
          </cell>
          <cell r="G761">
            <v>841605703</v>
          </cell>
          <cell r="H761">
            <v>77245835</v>
          </cell>
          <cell r="I761">
            <v>70548500</v>
          </cell>
        </row>
        <row r="762">
          <cell r="A762" t="str">
            <v>1200|420003</v>
          </cell>
          <cell r="B762" t="str">
            <v>1200</v>
          </cell>
          <cell r="C762">
            <v>420003</v>
          </cell>
          <cell r="D762">
            <v>41244</v>
          </cell>
          <cell r="E762">
            <v>1763915091</v>
          </cell>
          <cell r="F762">
            <v>1763915091</v>
          </cell>
          <cell r="G762">
            <v>1625930988</v>
          </cell>
          <cell r="H762">
            <v>146992924</v>
          </cell>
          <cell r="I762">
            <v>152251516</v>
          </cell>
        </row>
        <row r="763">
          <cell r="A763" t="str">
            <v>1200|422002</v>
          </cell>
          <cell r="B763" t="str">
            <v>1200</v>
          </cell>
          <cell r="C763">
            <v>422002</v>
          </cell>
          <cell r="D763">
            <v>41244</v>
          </cell>
          <cell r="E763">
            <v>2206877</v>
          </cell>
          <cell r="F763">
            <v>2206877</v>
          </cell>
          <cell r="G763">
            <v>1472200</v>
          </cell>
          <cell r="H763">
            <v>183906</v>
          </cell>
          <cell r="I763">
            <v>0</v>
          </cell>
        </row>
        <row r="764">
          <cell r="A764" t="str">
            <v>1200|422003</v>
          </cell>
          <cell r="B764" t="str">
            <v>1200</v>
          </cell>
          <cell r="C764">
            <v>422003</v>
          </cell>
          <cell r="D764">
            <v>41244</v>
          </cell>
          <cell r="E764">
            <v>958598</v>
          </cell>
          <cell r="F764">
            <v>958598</v>
          </cell>
          <cell r="G764">
            <v>353250</v>
          </cell>
          <cell r="H764">
            <v>79883</v>
          </cell>
          <cell r="I764">
            <v>0</v>
          </cell>
        </row>
        <row r="765">
          <cell r="A765" t="str">
            <v>1200|431002</v>
          </cell>
          <cell r="B765" t="str">
            <v>1200</v>
          </cell>
          <cell r="C765">
            <v>431002</v>
          </cell>
          <cell r="D765">
            <v>41244</v>
          </cell>
          <cell r="E765">
            <v>113178900</v>
          </cell>
          <cell r="F765">
            <v>113178900</v>
          </cell>
          <cell r="G765">
            <v>220139984</v>
          </cell>
          <cell r="H765">
            <v>9431575</v>
          </cell>
          <cell r="I765">
            <v>12538910</v>
          </cell>
        </row>
        <row r="766">
          <cell r="A766" t="str">
            <v>1200|431003</v>
          </cell>
          <cell r="B766" t="str">
            <v>1200</v>
          </cell>
          <cell r="C766">
            <v>431003</v>
          </cell>
          <cell r="D766">
            <v>41244</v>
          </cell>
          <cell r="E766">
            <v>1078327</v>
          </cell>
          <cell r="F766">
            <v>1078327</v>
          </cell>
          <cell r="G766">
            <v>0</v>
          </cell>
          <cell r="H766">
            <v>89861</v>
          </cell>
          <cell r="I766">
            <v>0</v>
          </cell>
        </row>
        <row r="767">
          <cell r="A767" t="str">
            <v>1200|433003</v>
          </cell>
          <cell r="B767" t="str">
            <v>1200</v>
          </cell>
          <cell r="C767">
            <v>433003</v>
          </cell>
          <cell r="D767">
            <v>41244</v>
          </cell>
          <cell r="E767">
            <v>7229775</v>
          </cell>
          <cell r="F767">
            <v>7229775</v>
          </cell>
          <cell r="G767">
            <v>7453050</v>
          </cell>
          <cell r="H767">
            <v>602481</v>
          </cell>
          <cell r="I767">
            <v>626600</v>
          </cell>
        </row>
        <row r="768">
          <cell r="A768" t="str">
            <v>1200|434012</v>
          </cell>
          <cell r="B768" t="str">
            <v>1200</v>
          </cell>
          <cell r="C768">
            <v>434012</v>
          </cell>
          <cell r="D768">
            <v>41244</v>
          </cell>
          <cell r="E768">
            <v>69723250</v>
          </cell>
          <cell r="F768">
            <v>69723250</v>
          </cell>
          <cell r="G768">
            <v>69485606</v>
          </cell>
          <cell r="H768">
            <v>5810269</v>
          </cell>
          <cell r="I768">
            <v>12767891</v>
          </cell>
        </row>
        <row r="769">
          <cell r="A769" t="str">
            <v>1200|434013</v>
          </cell>
          <cell r="B769" t="str">
            <v>1200</v>
          </cell>
          <cell r="C769">
            <v>434013</v>
          </cell>
          <cell r="D769">
            <v>41244</v>
          </cell>
          <cell r="E769">
            <v>16000000</v>
          </cell>
          <cell r="F769">
            <v>16000000</v>
          </cell>
          <cell r="G769">
            <v>40043334</v>
          </cell>
          <cell r="H769">
            <v>1333333</v>
          </cell>
          <cell r="I769">
            <v>13665963</v>
          </cell>
        </row>
        <row r="770">
          <cell r="A770" t="str">
            <v>1200|435002</v>
          </cell>
          <cell r="B770" t="str">
            <v>1200</v>
          </cell>
          <cell r="C770">
            <v>435002</v>
          </cell>
          <cell r="D770">
            <v>41244</v>
          </cell>
          <cell r="E770">
            <v>77245835</v>
          </cell>
          <cell r="F770">
            <v>77245835</v>
          </cell>
          <cell r="G770">
            <v>77229208</v>
          </cell>
          <cell r="H770">
            <v>6437153</v>
          </cell>
          <cell r="I770">
            <v>69228708</v>
          </cell>
        </row>
        <row r="771">
          <cell r="A771" t="str">
            <v>1200|435003</v>
          </cell>
          <cell r="B771" t="str">
            <v>1200</v>
          </cell>
          <cell r="C771">
            <v>435003</v>
          </cell>
          <cell r="D771">
            <v>41244</v>
          </cell>
          <cell r="E771">
            <v>230344435</v>
          </cell>
          <cell r="F771">
            <v>230344435</v>
          </cell>
          <cell r="G771">
            <v>293662476</v>
          </cell>
          <cell r="H771">
            <v>19195370</v>
          </cell>
          <cell r="I771">
            <v>0</v>
          </cell>
        </row>
        <row r="772">
          <cell r="A772" t="str">
            <v>1200|439003</v>
          </cell>
          <cell r="B772" t="str">
            <v>1200</v>
          </cell>
          <cell r="C772">
            <v>439003</v>
          </cell>
          <cell r="D772">
            <v>41244</v>
          </cell>
          <cell r="E772">
            <v>440556338</v>
          </cell>
          <cell r="F772">
            <v>440556338</v>
          </cell>
          <cell r="G772">
            <v>617413674</v>
          </cell>
          <cell r="H772">
            <v>36713028</v>
          </cell>
          <cell r="I772">
            <v>82965998</v>
          </cell>
        </row>
        <row r="773">
          <cell r="A773" t="str">
            <v>1200|439008</v>
          </cell>
          <cell r="B773" t="str">
            <v>1200</v>
          </cell>
          <cell r="C773">
            <v>439008</v>
          </cell>
          <cell r="D773">
            <v>41244</v>
          </cell>
          <cell r="E773">
            <v>212795766</v>
          </cell>
          <cell r="F773">
            <v>212795766</v>
          </cell>
          <cell r="G773">
            <v>290506075</v>
          </cell>
          <cell r="H773">
            <v>17732980</v>
          </cell>
          <cell r="I773">
            <v>0</v>
          </cell>
        </row>
        <row r="774">
          <cell r="A774" t="str">
            <v>1200|439102</v>
          </cell>
          <cell r="B774" t="str">
            <v>1200</v>
          </cell>
          <cell r="C774">
            <v>439102</v>
          </cell>
          <cell r="D774">
            <v>41244</v>
          </cell>
          <cell r="E774">
            <v>0</v>
          </cell>
          <cell r="F774">
            <v>0</v>
          </cell>
          <cell r="G774">
            <v>500000</v>
          </cell>
          <cell r="H774">
            <v>0</v>
          </cell>
          <cell r="I774">
            <v>0</v>
          </cell>
        </row>
        <row r="775">
          <cell r="A775" t="str">
            <v>1200|439103</v>
          </cell>
          <cell r="B775" t="str">
            <v>1200</v>
          </cell>
          <cell r="C775">
            <v>439103</v>
          </cell>
          <cell r="D775">
            <v>41244</v>
          </cell>
          <cell r="E775">
            <v>0</v>
          </cell>
          <cell r="F775">
            <v>0</v>
          </cell>
          <cell r="G775">
            <v>500000</v>
          </cell>
          <cell r="H775">
            <v>0</v>
          </cell>
          <cell r="I775">
            <v>0</v>
          </cell>
        </row>
        <row r="776">
          <cell r="A776" t="str">
            <v>1200|439202</v>
          </cell>
          <cell r="B776" t="str">
            <v>1200</v>
          </cell>
          <cell r="C776">
            <v>439202</v>
          </cell>
          <cell r="D776">
            <v>41244</v>
          </cell>
          <cell r="E776">
            <v>6000000</v>
          </cell>
          <cell r="F776">
            <v>6000000</v>
          </cell>
          <cell r="G776">
            <v>10330000</v>
          </cell>
          <cell r="H776">
            <v>500000</v>
          </cell>
          <cell r="I776">
            <v>450000</v>
          </cell>
        </row>
        <row r="777">
          <cell r="A777" t="str">
            <v>1200|439203</v>
          </cell>
          <cell r="B777" t="str">
            <v>1200</v>
          </cell>
          <cell r="C777">
            <v>439203</v>
          </cell>
          <cell r="D777">
            <v>41244</v>
          </cell>
          <cell r="E777">
            <v>0</v>
          </cell>
          <cell r="F777">
            <v>0</v>
          </cell>
          <cell r="G777">
            <v>4657000</v>
          </cell>
          <cell r="H777">
            <v>0</v>
          </cell>
          <cell r="I777">
            <v>55000</v>
          </cell>
        </row>
        <row r="778">
          <cell r="A778" t="str">
            <v>1200|440002</v>
          </cell>
          <cell r="B778" t="str">
            <v>1200</v>
          </cell>
          <cell r="C778">
            <v>440002</v>
          </cell>
          <cell r="D778">
            <v>41244</v>
          </cell>
          <cell r="E778">
            <v>127245835</v>
          </cell>
          <cell r="F778">
            <v>127245835</v>
          </cell>
          <cell r="G778">
            <v>71852780</v>
          </cell>
          <cell r="H778">
            <v>10603820</v>
          </cell>
          <cell r="I778">
            <v>7260299</v>
          </cell>
        </row>
        <row r="779">
          <cell r="A779" t="str">
            <v>1200|440003</v>
          </cell>
          <cell r="B779" t="str">
            <v>1200</v>
          </cell>
          <cell r="C779">
            <v>440003</v>
          </cell>
          <cell r="D779">
            <v>41244</v>
          </cell>
          <cell r="E779">
            <v>185975573</v>
          </cell>
          <cell r="F779">
            <v>185975573</v>
          </cell>
          <cell r="G779">
            <v>152750987</v>
          </cell>
          <cell r="H779">
            <v>15497964</v>
          </cell>
          <cell r="I779">
            <v>14066530</v>
          </cell>
        </row>
        <row r="780">
          <cell r="A780" t="str">
            <v>1200|446002</v>
          </cell>
          <cell r="B780" t="str">
            <v>1200</v>
          </cell>
          <cell r="C780">
            <v>446002</v>
          </cell>
          <cell r="D780">
            <v>41244</v>
          </cell>
          <cell r="E780">
            <v>59133617</v>
          </cell>
          <cell r="F780">
            <v>59133617</v>
          </cell>
          <cell r="G780">
            <v>24148200</v>
          </cell>
          <cell r="H780">
            <v>4927801</v>
          </cell>
          <cell r="I780">
            <v>1100000</v>
          </cell>
        </row>
        <row r="781">
          <cell r="A781" t="str">
            <v>1200|447002</v>
          </cell>
          <cell r="B781" t="str">
            <v>1200</v>
          </cell>
          <cell r="C781">
            <v>447002</v>
          </cell>
          <cell r="D781">
            <v>41244</v>
          </cell>
          <cell r="E781">
            <v>26944472</v>
          </cell>
          <cell r="F781">
            <v>26944472</v>
          </cell>
          <cell r="G781">
            <v>13228300</v>
          </cell>
          <cell r="H781">
            <v>2245373</v>
          </cell>
          <cell r="I781">
            <v>1107616</v>
          </cell>
        </row>
        <row r="782">
          <cell r="A782" t="str">
            <v>1200|447003</v>
          </cell>
          <cell r="B782" t="str">
            <v>1200</v>
          </cell>
          <cell r="C782">
            <v>447003</v>
          </cell>
          <cell r="D782">
            <v>41244</v>
          </cell>
          <cell r="E782">
            <v>24709377</v>
          </cell>
          <cell r="F782">
            <v>24709377</v>
          </cell>
          <cell r="G782">
            <v>23836344</v>
          </cell>
          <cell r="H782">
            <v>2059114</v>
          </cell>
          <cell r="I782">
            <v>2310960</v>
          </cell>
        </row>
        <row r="783">
          <cell r="A783" t="str">
            <v>1200|447012</v>
          </cell>
          <cell r="B783" t="str">
            <v>1200</v>
          </cell>
          <cell r="C783">
            <v>447012</v>
          </cell>
          <cell r="D783">
            <v>41244</v>
          </cell>
          <cell r="E783">
            <v>63499710</v>
          </cell>
          <cell r="F783">
            <v>63499710</v>
          </cell>
          <cell r="G783">
            <v>31174920</v>
          </cell>
          <cell r="H783">
            <v>5291642</v>
          </cell>
          <cell r="I783">
            <v>2610298</v>
          </cell>
        </row>
        <row r="784">
          <cell r="A784" t="str">
            <v>1200|447013</v>
          </cell>
          <cell r="B784" t="str">
            <v>1200</v>
          </cell>
          <cell r="C784">
            <v>447013</v>
          </cell>
          <cell r="D784">
            <v>41244</v>
          </cell>
          <cell r="E784">
            <v>63505800</v>
          </cell>
          <cell r="F784">
            <v>63505800</v>
          </cell>
          <cell r="G784">
            <v>66258744</v>
          </cell>
          <cell r="H784">
            <v>5292150</v>
          </cell>
          <cell r="I784">
            <v>6293998</v>
          </cell>
        </row>
        <row r="785">
          <cell r="A785" t="str">
            <v>1200|447022</v>
          </cell>
          <cell r="B785" t="str">
            <v>1200</v>
          </cell>
          <cell r="C785">
            <v>447022</v>
          </cell>
          <cell r="D785">
            <v>41244</v>
          </cell>
          <cell r="E785">
            <v>2694447</v>
          </cell>
          <cell r="F785">
            <v>2694447</v>
          </cell>
          <cell r="G785">
            <v>1743697</v>
          </cell>
          <cell r="H785">
            <v>224537</v>
          </cell>
          <cell r="I785">
            <v>145950</v>
          </cell>
        </row>
        <row r="786">
          <cell r="A786" t="str">
            <v>1200|447023</v>
          </cell>
          <cell r="B786" t="str">
            <v>1200</v>
          </cell>
          <cell r="C786">
            <v>447023</v>
          </cell>
          <cell r="D786">
            <v>41244</v>
          </cell>
          <cell r="E786">
            <v>11470938</v>
          </cell>
          <cell r="F786">
            <v>11470938</v>
          </cell>
          <cell r="G786">
            <v>5644333</v>
          </cell>
          <cell r="H786">
            <v>955910</v>
          </cell>
          <cell r="I786">
            <v>292150</v>
          </cell>
        </row>
        <row r="787">
          <cell r="A787" t="str">
            <v>1200|448002</v>
          </cell>
          <cell r="B787" t="str">
            <v>1200</v>
          </cell>
          <cell r="C787">
            <v>448002</v>
          </cell>
          <cell r="D787">
            <v>41244</v>
          </cell>
          <cell r="E787">
            <v>120087418</v>
          </cell>
          <cell r="F787">
            <v>120087418</v>
          </cell>
          <cell r="G787">
            <v>43620478</v>
          </cell>
          <cell r="H787">
            <v>10007285</v>
          </cell>
          <cell r="I787">
            <v>4206100</v>
          </cell>
        </row>
        <row r="788">
          <cell r="A788" t="str">
            <v>1200|448003</v>
          </cell>
          <cell r="B788" t="str">
            <v>1200</v>
          </cell>
          <cell r="C788">
            <v>448003</v>
          </cell>
          <cell r="D788">
            <v>41244</v>
          </cell>
          <cell r="E788">
            <v>142138416</v>
          </cell>
          <cell r="F788">
            <v>142138416</v>
          </cell>
          <cell r="G788">
            <v>64887700</v>
          </cell>
          <cell r="H788">
            <v>11844869</v>
          </cell>
          <cell r="I788">
            <v>8172800</v>
          </cell>
        </row>
        <row r="789">
          <cell r="A789" t="str">
            <v>1200|449022</v>
          </cell>
          <cell r="B789" t="str">
            <v>1200</v>
          </cell>
          <cell r="C789">
            <v>449022</v>
          </cell>
          <cell r="D789">
            <v>41244</v>
          </cell>
          <cell r="E789">
            <v>51480000</v>
          </cell>
          <cell r="F789">
            <v>51480000</v>
          </cell>
          <cell r="G789">
            <v>49058500</v>
          </cell>
          <cell r="H789">
            <v>4290000</v>
          </cell>
          <cell r="I789">
            <v>4422000</v>
          </cell>
        </row>
        <row r="790">
          <cell r="A790" t="str">
            <v>1200|449023</v>
          </cell>
          <cell r="B790" t="str">
            <v>1200</v>
          </cell>
          <cell r="C790">
            <v>449023</v>
          </cell>
          <cell r="D790">
            <v>41244</v>
          </cell>
          <cell r="E790">
            <v>124110000</v>
          </cell>
          <cell r="F790">
            <v>124110000</v>
          </cell>
          <cell r="G790">
            <v>104695379</v>
          </cell>
          <cell r="H790">
            <v>10342500</v>
          </cell>
          <cell r="I790">
            <v>12723500</v>
          </cell>
        </row>
        <row r="791">
          <cell r="A791" t="str">
            <v>1200|449032</v>
          </cell>
          <cell r="B791" t="str">
            <v>1200</v>
          </cell>
          <cell r="C791">
            <v>449032</v>
          </cell>
          <cell r="D791">
            <v>41244</v>
          </cell>
          <cell r="E791">
            <v>8287700</v>
          </cell>
          <cell r="F791">
            <v>8287700</v>
          </cell>
          <cell r="G791">
            <v>9550000</v>
          </cell>
          <cell r="H791">
            <v>690642</v>
          </cell>
          <cell r="I791">
            <v>7800000</v>
          </cell>
        </row>
        <row r="792">
          <cell r="A792" t="str">
            <v>1200|449040</v>
          </cell>
          <cell r="B792" t="str">
            <v>1200</v>
          </cell>
          <cell r="C792">
            <v>449040</v>
          </cell>
          <cell r="D792">
            <v>41244</v>
          </cell>
          <cell r="E792">
            <v>2507500</v>
          </cell>
          <cell r="F792">
            <v>2507500</v>
          </cell>
          <cell r="G792">
            <v>27457021</v>
          </cell>
          <cell r="H792">
            <v>208958</v>
          </cell>
          <cell r="I792">
            <v>1570000</v>
          </cell>
        </row>
        <row r="793">
          <cell r="A793" t="str">
            <v>1200|449050</v>
          </cell>
          <cell r="B793" t="str">
            <v>1200</v>
          </cell>
          <cell r="C793">
            <v>449050</v>
          </cell>
          <cell r="D793">
            <v>41244</v>
          </cell>
          <cell r="E793">
            <v>51944000</v>
          </cell>
          <cell r="F793">
            <v>51944000</v>
          </cell>
          <cell r="G793">
            <v>63066670</v>
          </cell>
          <cell r="H793">
            <v>4328667</v>
          </cell>
          <cell r="I793">
            <v>3200000</v>
          </cell>
        </row>
        <row r="794">
          <cell r="A794" t="str">
            <v>1200|449061</v>
          </cell>
          <cell r="B794" t="str">
            <v>1200</v>
          </cell>
          <cell r="C794">
            <v>449061</v>
          </cell>
          <cell r="D794">
            <v>41244</v>
          </cell>
          <cell r="E794">
            <v>202887800</v>
          </cell>
          <cell r="F794">
            <v>202887800</v>
          </cell>
          <cell r="G794">
            <v>266891874</v>
          </cell>
          <cell r="H794">
            <v>16907317</v>
          </cell>
          <cell r="I794">
            <v>30596300</v>
          </cell>
        </row>
        <row r="795">
          <cell r="A795" t="str">
            <v>1200|455000</v>
          </cell>
          <cell r="B795" t="str">
            <v>1200</v>
          </cell>
          <cell r="C795">
            <v>455000</v>
          </cell>
          <cell r="D795">
            <v>41244</v>
          </cell>
          <cell r="E795">
            <v>0</v>
          </cell>
          <cell r="F795">
            <v>0</v>
          </cell>
          <cell r="G795">
            <v>440000</v>
          </cell>
          <cell r="H795">
            <v>0</v>
          </cell>
          <cell r="I795">
            <v>0</v>
          </cell>
        </row>
        <row r="796">
          <cell r="A796" t="str">
            <v>1200|459000</v>
          </cell>
          <cell r="B796" t="str">
            <v>1200</v>
          </cell>
          <cell r="C796">
            <v>459000</v>
          </cell>
          <cell r="D796">
            <v>41244</v>
          </cell>
          <cell r="E796">
            <v>4800000</v>
          </cell>
          <cell r="F796">
            <v>4800000</v>
          </cell>
          <cell r="G796">
            <v>4400000</v>
          </cell>
          <cell r="H796">
            <v>400000</v>
          </cell>
          <cell r="I796">
            <v>1500000</v>
          </cell>
        </row>
        <row r="797">
          <cell r="A797" t="str">
            <v>1200|459002</v>
          </cell>
          <cell r="B797" t="str">
            <v>1200</v>
          </cell>
          <cell r="C797">
            <v>459002</v>
          </cell>
          <cell r="D797">
            <v>41244</v>
          </cell>
          <cell r="E797">
            <v>8056000</v>
          </cell>
          <cell r="F797">
            <v>8056000</v>
          </cell>
          <cell r="G797">
            <v>8009336</v>
          </cell>
          <cell r="H797">
            <v>671333</v>
          </cell>
          <cell r="I797">
            <v>0</v>
          </cell>
        </row>
        <row r="798">
          <cell r="A798" t="str">
            <v>1200|459005</v>
          </cell>
          <cell r="B798" t="str">
            <v>1200</v>
          </cell>
          <cell r="C798">
            <v>459005</v>
          </cell>
          <cell r="D798">
            <v>41244</v>
          </cell>
          <cell r="E798">
            <v>1000000</v>
          </cell>
          <cell r="F798">
            <v>1000000</v>
          </cell>
          <cell r="G798">
            <v>817275</v>
          </cell>
          <cell r="H798">
            <v>83333</v>
          </cell>
          <cell r="I798">
            <v>817275</v>
          </cell>
        </row>
        <row r="799">
          <cell r="A799" t="str">
            <v>1200|466003</v>
          </cell>
          <cell r="B799" t="str">
            <v>1200</v>
          </cell>
          <cell r="C799">
            <v>466003</v>
          </cell>
          <cell r="D799">
            <v>41244</v>
          </cell>
          <cell r="E799">
            <v>7000000</v>
          </cell>
          <cell r="F799">
            <v>7000000</v>
          </cell>
          <cell r="G799">
            <v>0</v>
          </cell>
          <cell r="H799">
            <v>583333</v>
          </cell>
          <cell r="I799">
            <v>0</v>
          </cell>
        </row>
        <row r="800">
          <cell r="A800" t="str">
            <v>1200|470102</v>
          </cell>
          <cell r="B800" t="str">
            <v>1200</v>
          </cell>
          <cell r="C800">
            <v>470102</v>
          </cell>
          <cell r="D800">
            <v>41244</v>
          </cell>
          <cell r="E800">
            <v>14623162</v>
          </cell>
          <cell r="F800">
            <v>14623162</v>
          </cell>
          <cell r="G800">
            <v>6957363</v>
          </cell>
          <cell r="H800">
            <v>1218596</v>
          </cell>
          <cell r="I800">
            <v>919891</v>
          </cell>
        </row>
        <row r="801">
          <cell r="A801" t="str">
            <v>1200|471000</v>
          </cell>
          <cell r="B801" t="str">
            <v>1200</v>
          </cell>
          <cell r="C801">
            <v>471000</v>
          </cell>
          <cell r="D801">
            <v>41244</v>
          </cell>
          <cell r="E801">
            <v>38485500</v>
          </cell>
          <cell r="F801">
            <v>38485500</v>
          </cell>
          <cell r="G801">
            <v>50598610</v>
          </cell>
          <cell r="H801">
            <v>3207125</v>
          </cell>
          <cell r="I801">
            <v>10833415</v>
          </cell>
        </row>
        <row r="802">
          <cell r="A802" t="str">
            <v>1200|472000</v>
          </cell>
          <cell r="B802" t="str">
            <v>1200</v>
          </cell>
          <cell r="C802">
            <v>472000</v>
          </cell>
          <cell r="D802">
            <v>41244</v>
          </cell>
          <cell r="E802">
            <v>30000000</v>
          </cell>
          <cell r="F802">
            <v>30000000</v>
          </cell>
          <cell r="G802">
            <v>58306870</v>
          </cell>
          <cell r="H802">
            <v>2500000</v>
          </cell>
          <cell r="I802">
            <v>4825603</v>
          </cell>
        </row>
        <row r="803">
          <cell r="A803" t="str">
            <v>1200|473000</v>
          </cell>
          <cell r="B803" t="str">
            <v>1200</v>
          </cell>
          <cell r="C803">
            <v>473000</v>
          </cell>
          <cell r="D803">
            <v>41244</v>
          </cell>
          <cell r="E803">
            <v>7484193</v>
          </cell>
          <cell r="F803">
            <v>7484193</v>
          </cell>
          <cell r="G803">
            <v>7986950</v>
          </cell>
          <cell r="H803">
            <v>623683</v>
          </cell>
          <cell r="I803">
            <v>522900</v>
          </cell>
        </row>
        <row r="804">
          <cell r="A804" t="str">
            <v>1200|473120</v>
          </cell>
          <cell r="B804" t="str">
            <v>1200</v>
          </cell>
          <cell r="C804">
            <v>473120</v>
          </cell>
          <cell r="D804">
            <v>41244</v>
          </cell>
          <cell r="E804">
            <v>35852937</v>
          </cell>
          <cell r="F804">
            <v>35852937</v>
          </cell>
          <cell r="G804">
            <v>51077949</v>
          </cell>
          <cell r="H804">
            <v>2987745</v>
          </cell>
          <cell r="I804">
            <v>9056479</v>
          </cell>
        </row>
        <row r="805">
          <cell r="A805" t="str">
            <v>1200|474100</v>
          </cell>
          <cell r="B805" t="str">
            <v>1200</v>
          </cell>
          <cell r="C805">
            <v>474100</v>
          </cell>
          <cell r="D805">
            <v>41244</v>
          </cell>
          <cell r="E805">
            <v>21711800</v>
          </cell>
          <cell r="F805">
            <v>21711800</v>
          </cell>
          <cell r="G805">
            <v>21135894</v>
          </cell>
          <cell r="H805">
            <v>1809317</v>
          </cell>
          <cell r="I805">
            <v>0</v>
          </cell>
        </row>
        <row r="806">
          <cell r="A806" t="str">
            <v>1200|474101</v>
          </cell>
          <cell r="B806" t="str">
            <v>1200</v>
          </cell>
          <cell r="C806">
            <v>474101</v>
          </cell>
          <cell r="D806">
            <v>41244</v>
          </cell>
          <cell r="E806">
            <v>40810000</v>
          </cell>
          <cell r="F806">
            <v>40810000</v>
          </cell>
          <cell r="G806">
            <v>33675064</v>
          </cell>
          <cell r="H806">
            <v>3400832</v>
          </cell>
          <cell r="I806">
            <v>14890500</v>
          </cell>
        </row>
        <row r="807">
          <cell r="A807" t="str">
            <v>1200|475002</v>
          </cell>
          <cell r="B807" t="str">
            <v>1200</v>
          </cell>
          <cell r="C807">
            <v>475002</v>
          </cell>
          <cell r="D807">
            <v>41244</v>
          </cell>
          <cell r="E807">
            <v>0</v>
          </cell>
          <cell r="F807">
            <v>0</v>
          </cell>
          <cell r="G807">
            <v>-2767864</v>
          </cell>
          <cell r="H807">
            <v>0</v>
          </cell>
          <cell r="I807">
            <v>0</v>
          </cell>
        </row>
        <row r="808">
          <cell r="A808" t="str">
            <v>1200|475004</v>
          </cell>
          <cell r="B808" t="str">
            <v>1200</v>
          </cell>
          <cell r="C808">
            <v>475004</v>
          </cell>
          <cell r="D808">
            <v>41244</v>
          </cell>
          <cell r="E808">
            <v>59159800</v>
          </cell>
          <cell r="F808">
            <v>59159800</v>
          </cell>
          <cell r="G808">
            <v>51388222</v>
          </cell>
          <cell r="H808">
            <v>4929983</v>
          </cell>
          <cell r="I808">
            <v>4261903</v>
          </cell>
        </row>
        <row r="809">
          <cell r="A809" t="str">
            <v>1200|475005</v>
          </cell>
          <cell r="B809" t="str">
            <v>1200</v>
          </cell>
          <cell r="C809">
            <v>475005</v>
          </cell>
          <cell r="D809">
            <v>41244</v>
          </cell>
          <cell r="E809">
            <v>13743884</v>
          </cell>
          <cell r="F809">
            <v>13743884</v>
          </cell>
          <cell r="G809">
            <v>806757</v>
          </cell>
          <cell r="H809">
            <v>1145324</v>
          </cell>
          <cell r="I809">
            <v>0</v>
          </cell>
        </row>
        <row r="810">
          <cell r="A810" t="str">
            <v>1200|475006</v>
          </cell>
          <cell r="B810" t="str">
            <v>1200</v>
          </cell>
          <cell r="C810">
            <v>475006</v>
          </cell>
          <cell r="D810">
            <v>41244</v>
          </cell>
          <cell r="E810">
            <v>18125306</v>
          </cell>
          <cell r="F810">
            <v>18125306</v>
          </cell>
          <cell r="G810">
            <v>12117547</v>
          </cell>
          <cell r="H810">
            <v>1510442</v>
          </cell>
          <cell r="I810">
            <v>977186</v>
          </cell>
        </row>
        <row r="811">
          <cell r="A811" t="str">
            <v>1200|476000</v>
          </cell>
          <cell r="B811" t="str">
            <v>1200</v>
          </cell>
          <cell r="C811">
            <v>476000</v>
          </cell>
          <cell r="D811">
            <v>41244</v>
          </cell>
          <cell r="E811">
            <v>86017300</v>
          </cell>
          <cell r="F811">
            <v>86017300</v>
          </cell>
          <cell r="G811">
            <v>86850609</v>
          </cell>
          <cell r="H811">
            <v>7168109</v>
          </cell>
          <cell r="I811">
            <v>14567278</v>
          </cell>
        </row>
        <row r="812">
          <cell r="A812" t="str">
            <v>1200|476001</v>
          </cell>
          <cell r="B812" t="str">
            <v>1200</v>
          </cell>
          <cell r="C812">
            <v>476001</v>
          </cell>
          <cell r="D812">
            <v>41244</v>
          </cell>
          <cell r="E812">
            <v>44052122</v>
          </cell>
          <cell r="F812">
            <v>44052122</v>
          </cell>
          <cell r="G812">
            <v>29923079</v>
          </cell>
          <cell r="H812">
            <v>3671010</v>
          </cell>
          <cell r="I812">
            <v>2493047</v>
          </cell>
        </row>
        <row r="813">
          <cell r="A813" t="str">
            <v>1200|476002</v>
          </cell>
          <cell r="B813" t="str">
            <v>1200</v>
          </cell>
          <cell r="C813">
            <v>476002</v>
          </cell>
          <cell r="D813">
            <v>41244</v>
          </cell>
          <cell r="E813">
            <v>4645529</v>
          </cell>
          <cell r="F813">
            <v>4645529</v>
          </cell>
          <cell r="G813">
            <v>2963500</v>
          </cell>
          <cell r="H813">
            <v>387127</v>
          </cell>
          <cell r="I813">
            <v>0</v>
          </cell>
        </row>
        <row r="814">
          <cell r="A814" t="str">
            <v>1200|476201</v>
          </cell>
          <cell r="B814" t="str">
            <v>1200</v>
          </cell>
          <cell r="C814">
            <v>476201</v>
          </cell>
          <cell r="D814">
            <v>41244</v>
          </cell>
          <cell r="E814">
            <v>247200000</v>
          </cell>
          <cell r="F814">
            <v>247200000</v>
          </cell>
          <cell r="G814">
            <v>281942790</v>
          </cell>
          <cell r="H814">
            <v>20600000</v>
          </cell>
          <cell r="I814">
            <v>61062790</v>
          </cell>
        </row>
        <row r="815">
          <cell r="A815" t="str">
            <v>1200|476220</v>
          </cell>
          <cell r="B815" t="str">
            <v>1200</v>
          </cell>
          <cell r="C815">
            <v>476220</v>
          </cell>
          <cell r="D815">
            <v>41244</v>
          </cell>
          <cell r="E815">
            <v>76349419</v>
          </cell>
          <cell r="F815">
            <v>76349419</v>
          </cell>
          <cell r="G815">
            <v>140795824</v>
          </cell>
          <cell r="H815">
            <v>6362452</v>
          </cell>
          <cell r="I815">
            <v>21298707</v>
          </cell>
        </row>
        <row r="816">
          <cell r="A816" t="str">
            <v>1200|476900</v>
          </cell>
          <cell r="B816" t="str">
            <v>1200</v>
          </cell>
          <cell r="C816">
            <v>476900</v>
          </cell>
          <cell r="D816">
            <v>41244</v>
          </cell>
          <cell r="E816">
            <v>1475980</v>
          </cell>
          <cell r="F816">
            <v>1475980</v>
          </cell>
          <cell r="G816">
            <v>895998</v>
          </cell>
          <cell r="H816">
            <v>122998</v>
          </cell>
          <cell r="I816">
            <v>728498</v>
          </cell>
        </row>
        <row r="817">
          <cell r="A817" t="str">
            <v>1200|477500</v>
          </cell>
          <cell r="B817" t="str">
            <v>1200</v>
          </cell>
          <cell r="C817">
            <v>477500</v>
          </cell>
          <cell r="D817">
            <v>41244</v>
          </cell>
          <cell r="E817">
            <v>2360000</v>
          </cell>
          <cell r="F817">
            <v>2360000</v>
          </cell>
          <cell r="G817">
            <v>0</v>
          </cell>
          <cell r="H817">
            <v>196667</v>
          </cell>
          <cell r="I817">
            <v>0</v>
          </cell>
        </row>
        <row r="818">
          <cell r="A818" t="str">
            <v>1210|246000</v>
          </cell>
          <cell r="B818" t="str">
            <v>1210</v>
          </cell>
          <cell r="C818">
            <v>246000</v>
          </cell>
          <cell r="D818">
            <v>41244</v>
          </cell>
          <cell r="E818">
            <v>0</v>
          </cell>
          <cell r="F818">
            <v>0</v>
          </cell>
          <cell r="G818">
            <v>87816500</v>
          </cell>
          <cell r="H818">
            <v>0</v>
          </cell>
          <cell r="I818">
            <v>-17453618360</v>
          </cell>
        </row>
        <row r="819">
          <cell r="A819" t="str">
            <v>1210|405250</v>
          </cell>
          <cell r="B819" t="str">
            <v>1210</v>
          </cell>
          <cell r="C819">
            <v>405250</v>
          </cell>
          <cell r="D819">
            <v>41244</v>
          </cell>
          <cell r="E819">
            <v>0</v>
          </cell>
          <cell r="F819">
            <v>0</v>
          </cell>
          <cell r="G819">
            <v>6656405311</v>
          </cell>
          <cell r="H819">
            <v>0</v>
          </cell>
          <cell r="I819">
            <v>1320898927</v>
          </cell>
        </row>
        <row r="820">
          <cell r="A820" t="str">
            <v>1210|434010</v>
          </cell>
          <cell r="B820" t="str">
            <v>1210</v>
          </cell>
          <cell r="C820">
            <v>434010</v>
          </cell>
          <cell r="D820">
            <v>41244</v>
          </cell>
          <cell r="E820">
            <v>0</v>
          </cell>
          <cell r="F820">
            <v>0</v>
          </cell>
          <cell r="G820">
            <v>2</v>
          </cell>
          <cell r="H820">
            <v>0</v>
          </cell>
          <cell r="I820">
            <v>-45007208</v>
          </cell>
        </row>
        <row r="821">
          <cell r="A821" t="str">
            <v>1210|434011</v>
          </cell>
          <cell r="B821" t="str">
            <v>1210</v>
          </cell>
          <cell r="C821">
            <v>434011</v>
          </cell>
          <cell r="D821">
            <v>41244</v>
          </cell>
          <cell r="E821">
            <v>0</v>
          </cell>
          <cell r="F821">
            <v>0</v>
          </cell>
          <cell r="G821">
            <v>-2</v>
          </cell>
          <cell r="H821">
            <v>0</v>
          </cell>
          <cell r="I821">
            <v>-20252520</v>
          </cell>
        </row>
        <row r="822">
          <cell r="A822" t="str">
            <v>1210|434012</v>
          </cell>
          <cell r="B822" t="str">
            <v>1210</v>
          </cell>
          <cell r="C822">
            <v>434012</v>
          </cell>
          <cell r="D822">
            <v>41244</v>
          </cell>
          <cell r="E822">
            <v>0</v>
          </cell>
          <cell r="F822">
            <v>0</v>
          </cell>
          <cell r="G822">
            <v>-20</v>
          </cell>
          <cell r="H822">
            <v>0</v>
          </cell>
          <cell r="I822">
            <v>-121341984</v>
          </cell>
        </row>
        <row r="823">
          <cell r="A823" t="str">
            <v>1210|434013</v>
          </cell>
          <cell r="B823" t="str">
            <v>1210</v>
          </cell>
          <cell r="C823">
            <v>434013</v>
          </cell>
          <cell r="D823">
            <v>41244</v>
          </cell>
          <cell r="E823">
            <v>0</v>
          </cell>
          <cell r="F823">
            <v>0</v>
          </cell>
          <cell r="G823">
            <v>34</v>
          </cell>
          <cell r="H823">
            <v>0</v>
          </cell>
          <cell r="I823">
            <v>-151812967</v>
          </cell>
        </row>
        <row r="824">
          <cell r="A824" t="str">
            <v>1210|435000</v>
          </cell>
          <cell r="B824" t="str">
            <v>1210</v>
          </cell>
          <cell r="C824">
            <v>435000</v>
          </cell>
          <cell r="D824">
            <v>41244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-2076878430</v>
          </cell>
        </row>
        <row r="825">
          <cell r="A825" t="str">
            <v>1210|435001</v>
          </cell>
          <cell r="B825" t="str">
            <v>1210</v>
          </cell>
          <cell r="C825">
            <v>435001</v>
          </cell>
          <cell r="D825">
            <v>41244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-807587881</v>
          </cell>
        </row>
        <row r="826">
          <cell r="A826" t="str">
            <v>1210|435002</v>
          </cell>
          <cell r="B826" t="str">
            <v>1210</v>
          </cell>
          <cell r="C826">
            <v>435002</v>
          </cell>
          <cell r="D826">
            <v>41244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-1627370745</v>
          </cell>
        </row>
        <row r="827">
          <cell r="A827" t="str">
            <v>1210|439000</v>
          </cell>
          <cell r="B827" t="str">
            <v>1210</v>
          </cell>
          <cell r="C827">
            <v>439000</v>
          </cell>
          <cell r="D827">
            <v>41244</v>
          </cell>
          <cell r="E827">
            <v>0</v>
          </cell>
          <cell r="F827">
            <v>0</v>
          </cell>
          <cell r="G827">
            <v>-1</v>
          </cell>
          <cell r="H827">
            <v>0</v>
          </cell>
          <cell r="I827">
            <v>-1742734000</v>
          </cell>
        </row>
        <row r="828">
          <cell r="A828" t="str">
            <v>1210|439001</v>
          </cell>
          <cell r="B828" t="str">
            <v>1210</v>
          </cell>
          <cell r="C828">
            <v>439001</v>
          </cell>
          <cell r="D828">
            <v>41244</v>
          </cell>
          <cell r="E828">
            <v>0</v>
          </cell>
          <cell r="F828">
            <v>0</v>
          </cell>
          <cell r="G828">
            <v>1</v>
          </cell>
          <cell r="H828">
            <v>0</v>
          </cell>
          <cell r="I828">
            <v>-601967000</v>
          </cell>
        </row>
        <row r="829">
          <cell r="A829" t="str">
            <v>1210|439003</v>
          </cell>
          <cell r="B829" t="str">
            <v>1210</v>
          </cell>
          <cell r="C829">
            <v>439003</v>
          </cell>
          <cell r="D829">
            <v>41244</v>
          </cell>
          <cell r="E829">
            <v>0</v>
          </cell>
          <cell r="F829">
            <v>0</v>
          </cell>
          <cell r="G829">
            <v>5</v>
          </cell>
          <cell r="H829">
            <v>0</v>
          </cell>
          <cell r="I829">
            <v>-5878738000</v>
          </cell>
        </row>
        <row r="830">
          <cell r="A830" t="str">
            <v>1210|439006</v>
          </cell>
          <cell r="B830" t="str">
            <v>1210</v>
          </cell>
          <cell r="C830">
            <v>439006</v>
          </cell>
          <cell r="D830">
            <v>41244</v>
          </cell>
          <cell r="E830">
            <v>0</v>
          </cell>
          <cell r="F830">
            <v>0</v>
          </cell>
          <cell r="G830">
            <v>-4</v>
          </cell>
          <cell r="H830">
            <v>0</v>
          </cell>
          <cell r="I830">
            <v>0</v>
          </cell>
        </row>
        <row r="831">
          <cell r="A831" t="str">
            <v>1210|439008</v>
          </cell>
          <cell r="B831" t="str">
            <v>1210</v>
          </cell>
          <cell r="C831">
            <v>439008</v>
          </cell>
          <cell r="D831">
            <v>41244</v>
          </cell>
          <cell r="E831">
            <v>0</v>
          </cell>
          <cell r="F831">
            <v>0</v>
          </cell>
          <cell r="G831">
            <v>-5</v>
          </cell>
          <cell r="H831">
            <v>0</v>
          </cell>
          <cell r="I831">
            <v>-2891880000</v>
          </cell>
        </row>
        <row r="832">
          <cell r="A832" t="str">
            <v>1210|440000</v>
          </cell>
          <cell r="B832" t="str">
            <v>1210</v>
          </cell>
          <cell r="C832">
            <v>440000</v>
          </cell>
          <cell r="D832">
            <v>41244</v>
          </cell>
          <cell r="E832">
            <v>0</v>
          </cell>
          <cell r="F832">
            <v>0</v>
          </cell>
          <cell r="G832">
            <v>3</v>
          </cell>
          <cell r="H832">
            <v>0</v>
          </cell>
          <cell r="I832">
            <v>0</v>
          </cell>
        </row>
        <row r="833">
          <cell r="A833" t="str">
            <v>1210|440001</v>
          </cell>
          <cell r="B833" t="str">
            <v>1210</v>
          </cell>
          <cell r="C833">
            <v>440001</v>
          </cell>
          <cell r="D833">
            <v>41244</v>
          </cell>
          <cell r="E833">
            <v>0</v>
          </cell>
          <cell r="F833">
            <v>0</v>
          </cell>
          <cell r="G833">
            <v>-4</v>
          </cell>
          <cell r="H833">
            <v>0</v>
          </cell>
          <cell r="I833">
            <v>0</v>
          </cell>
        </row>
        <row r="834">
          <cell r="A834" t="str">
            <v>1210|440002</v>
          </cell>
          <cell r="B834" t="str">
            <v>1210</v>
          </cell>
          <cell r="C834">
            <v>440002</v>
          </cell>
          <cell r="D834">
            <v>41244</v>
          </cell>
          <cell r="E834">
            <v>0</v>
          </cell>
          <cell r="F834">
            <v>0</v>
          </cell>
          <cell r="G834">
            <v>1154367</v>
          </cell>
          <cell r="H834">
            <v>0</v>
          </cell>
          <cell r="I834">
            <v>-6</v>
          </cell>
        </row>
        <row r="835">
          <cell r="A835" t="str">
            <v>1210|440003</v>
          </cell>
          <cell r="B835" t="str">
            <v>1210</v>
          </cell>
          <cell r="C835">
            <v>440003</v>
          </cell>
          <cell r="D835">
            <v>41244</v>
          </cell>
          <cell r="E835">
            <v>0</v>
          </cell>
          <cell r="F835">
            <v>0</v>
          </cell>
          <cell r="G835">
            <v>5</v>
          </cell>
          <cell r="H835">
            <v>0</v>
          </cell>
          <cell r="I835">
            <v>-6</v>
          </cell>
        </row>
        <row r="836">
          <cell r="A836" t="str">
            <v>1210|446000</v>
          </cell>
          <cell r="B836" t="str">
            <v>1210</v>
          </cell>
          <cell r="C836">
            <v>446000</v>
          </cell>
          <cell r="D836">
            <v>41244</v>
          </cell>
          <cell r="E836">
            <v>0</v>
          </cell>
          <cell r="F836">
            <v>0</v>
          </cell>
          <cell r="G836">
            <v>-4</v>
          </cell>
          <cell r="H836">
            <v>0</v>
          </cell>
          <cell r="I836">
            <v>0</v>
          </cell>
        </row>
        <row r="837">
          <cell r="A837" t="str">
            <v>1210|446001</v>
          </cell>
          <cell r="B837" t="str">
            <v>1210</v>
          </cell>
          <cell r="C837">
            <v>446001</v>
          </cell>
          <cell r="D837">
            <v>41244</v>
          </cell>
          <cell r="E837">
            <v>0</v>
          </cell>
          <cell r="F837">
            <v>0</v>
          </cell>
          <cell r="G837">
            <v>-4</v>
          </cell>
          <cell r="H837">
            <v>0</v>
          </cell>
          <cell r="I837">
            <v>0</v>
          </cell>
        </row>
        <row r="838">
          <cell r="A838" t="str">
            <v>1210|446002</v>
          </cell>
          <cell r="B838" t="str">
            <v>1210</v>
          </cell>
          <cell r="C838">
            <v>446002</v>
          </cell>
          <cell r="D838">
            <v>41244</v>
          </cell>
          <cell r="E838">
            <v>0</v>
          </cell>
          <cell r="F838">
            <v>0</v>
          </cell>
          <cell r="G838">
            <v>2</v>
          </cell>
          <cell r="H838">
            <v>0</v>
          </cell>
          <cell r="I838">
            <v>0</v>
          </cell>
        </row>
        <row r="839">
          <cell r="A839" t="str">
            <v>1210|465000</v>
          </cell>
          <cell r="B839" t="str">
            <v>1210</v>
          </cell>
          <cell r="C839">
            <v>465000</v>
          </cell>
          <cell r="D839">
            <v>41244</v>
          </cell>
          <cell r="E839">
            <v>0</v>
          </cell>
          <cell r="F839">
            <v>0</v>
          </cell>
          <cell r="G839">
            <v>721876601</v>
          </cell>
          <cell r="H839">
            <v>0</v>
          </cell>
          <cell r="I839">
            <v>60156380</v>
          </cell>
        </row>
        <row r="840">
          <cell r="A840" t="str">
            <v>1210|466003</v>
          </cell>
          <cell r="B840" t="str">
            <v>1210</v>
          </cell>
          <cell r="C840">
            <v>466003</v>
          </cell>
          <cell r="D840">
            <v>41244</v>
          </cell>
          <cell r="E840">
            <v>0</v>
          </cell>
          <cell r="F840">
            <v>0</v>
          </cell>
          <cell r="G840">
            <v>32001787</v>
          </cell>
          <cell r="H840">
            <v>0</v>
          </cell>
          <cell r="I840">
            <v>0</v>
          </cell>
        </row>
        <row r="841">
          <cell r="A841" t="str">
            <v>1210|476201</v>
          </cell>
          <cell r="B841" t="str">
            <v>1210</v>
          </cell>
          <cell r="C841">
            <v>476201</v>
          </cell>
          <cell r="D841">
            <v>41244</v>
          </cell>
          <cell r="E841">
            <v>434176970</v>
          </cell>
          <cell r="F841">
            <v>434176970</v>
          </cell>
          <cell r="G841">
            <v>174710552</v>
          </cell>
          <cell r="H841">
            <v>36181414</v>
          </cell>
          <cell r="I841">
            <v>-231176100</v>
          </cell>
        </row>
        <row r="842">
          <cell r="A842" t="str">
            <v>1210|476202</v>
          </cell>
          <cell r="B842" t="str">
            <v>1210</v>
          </cell>
          <cell r="C842">
            <v>476202</v>
          </cell>
          <cell r="D842">
            <v>41244</v>
          </cell>
          <cell r="E842">
            <v>1568384947</v>
          </cell>
          <cell r="F842">
            <v>1568384947</v>
          </cell>
          <cell r="G842">
            <v>1861314251</v>
          </cell>
          <cell r="H842">
            <v>130698746</v>
          </cell>
          <cell r="I842">
            <v>152554231</v>
          </cell>
        </row>
        <row r="843">
          <cell r="A843" t="str">
            <v>1300|211100</v>
          </cell>
          <cell r="B843" t="str">
            <v>1300</v>
          </cell>
          <cell r="C843">
            <v>211100</v>
          </cell>
          <cell r="D843">
            <v>41244</v>
          </cell>
          <cell r="E843">
            <v>204033</v>
          </cell>
          <cell r="F843">
            <v>204033</v>
          </cell>
          <cell r="G843">
            <v>492228</v>
          </cell>
          <cell r="H843">
            <v>17003</v>
          </cell>
          <cell r="I843">
            <v>17002</v>
          </cell>
        </row>
        <row r="844">
          <cell r="A844" t="str">
            <v>1300|420002</v>
          </cell>
          <cell r="B844" t="str">
            <v>1300</v>
          </cell>
          <cell r="C844">
            <v>420002</v>
          </cell>
          <cell r="D844">
            <v>41244</v>
          </cell>
          <cell r="E844">
            <v>71303847</v>
          </cell>
          <cell r="F844">
            <v>71303847</v>
          </cell>
          <cell r="G844">
            <v>80521500</v>
          </cell>
          <cell r="H844">
            <v>5941987</v>
          </cell>
          <cell r="I844">
            <v>6910000</v>
          </cell>
        </row>
        <row r="845">
          <cell r="A845" t="str">
            <v>1300|420003</v>
          </cell>
          <cell r="B845" t="str">
            <v>1300</v>
          </cell>
          <cell r="C845">
            <v>420003</v>
          </cell>
          <cell r="D845">
            <v>41244</v>
          </cell>
          <cell r="E845">
            <v>221101892</v>
          </cell>
          <cell r="F845">
            <v>221101892</v>
          </cell>
          <cell r="G845">
            <v>227687156</v>
          </cell>
          <cell r="H845">
            <v>18425158</v>
          </cell>
          <cell r="I845">
            <v>19094022</v>
          </cell>
        </row>
        <row r="846">
          <cell r="A846" t="str">
            <v>1300|431002</v>
          </cell>
          <cell r="B846" t="str">
            <v>1300</v>
          </cell>
          <cell r="C846">
            <v>431002</v>
          </cell>
          <cell r="D846">
            <v>41244</v>
          </cell>
          <cell r="E846">
            <v>862913</v>
          </cell>
          <cell r="F846">
            <v>862913</v>
          </cell>
          <cell r="G846">
            <v>13222034</v>
          </cell>
          <cell r="H846">
            <v>71909</v>
          </cell>
          <cell r="I846">
            <v>0</v>
          </cell>
        </row>
        <row r="847">
          <cell r="A847" t="str">
            <v>1300|433002</v>
          </cell>
          <cell r="B847" t="str">
            <v>1300</v>
          </cell>
          <cell r="C847">
            <v>433002</v>
          </cell>
          <cell r="D847">
            <v>41244</v>
          </cell>
          <cell r="E847">
            <v>3800918</v>
          </cell>
          <cell r="F847">
            <v>3800918</v>
          </cell>
          <cell r="G847">
            <v>0</v>
          </cell>
          <cell r="H847">
            <v>316743</v>
          </cell>
          <cell r="I847">
            <v>0</v>
          </cell>
        </row>
        <row r="848">
          <cell r="A848" t="str">
            <v>1300|434012</v>
          </cell>
          <cell r="B848" t="str">
            <v>1300</v>
          </cell>
          <cell r="C848">
            <v>434012</v>
          </cell>
          <cell r="D848">
            <v>41244</v>
          </cell>
          <cell r="E848">
            <v>0</v>
          </cell>
          <cell r="F848">
            <v>0</v>
          </cell>
          <cell r="G848">
            <v>2799543</v>
          </cell>
          <cell r="H848">
            <v>0</v>
          </cell>
          <cell r="I848">
            <v>982145</v>
          </cell>
        </row>
        <row r="849">
          <cell r="A849" t="str">
            <v>1300|434013</v>
          </cell>
          <cell r="B849" t="str">
            <v>1300</v>
          </cell>
          <cell r="C849">
            <v>434013</v>
          </cell>
          <cell r="D849">
            <v>41244</v>
          </cell>
          <cell r="E849">
            <v>0</v>
          </cell>
          <cell r="F849">
            <v>0</v>
          </cell>
          <cell r="G849">
            <v>4244886</v>
          </cell>
          <cell r="H849">
            <v>0</v>
          </cell>
          <cell r="I849">
            <v>1366596</v>
          </cell>
        </row>
        <row r="850">
          <cell r="A850" t="str">
            <v>1300|435002</v>
          </cell>
          <cell r="B850" t="str">
            <v>1300</v>
          </cell>
          <cell r="C850">
            <v>435002</v>
          </cell>
          <cell r="D850">
            <v>41244</v>
          </cell>
          <cell r="E850">
            <v>5941987</v>
          </cell>
          <cell r="F850">
            <v>5941987</v>
          </cell>
          <cell r="G850">
            <v>6910000</v>
          </cell>
          <cell r="H850">
            <v>495166</v>
          </cell>
          <cell r="I850">
            <v>6910000</v>
          </cell>
        </row>
        <row r="851">
          <cell r="A851" t="str">
            <v>1300|435003</v>
          </cell>
          <cell r="B851" t="str">
            <v>1300</v>
          </cell>
          <cell r="C851">
            <v>435003</v>
          </cell>
          <cell r="D851">
            <v>41244</v>
          </cell>
          <cell r="E851">
            <v>28887737</v>
          </cell>
          <cell r="F851">
            <v>28887737</v>
          </cell>
          <cell r="G851">
            <v>75647990</v>
          </cell>
          <cell r="H851">
            <v>2407311</v>
          </cell>
          <cell r="I851">
            <v>44939160</v>
          </cell>
        </row>
        <row r="852">
          <cell r="A852" t="str">
            <v>1300|439003</v>
          </cell>
          <cell r="B852" t="str">
            <v>1300</v>
          </cell>
          <cell r="C852">
            <v>439003</v>
          </cell>
          <cell r="D852">
            <v>41244</v>
          </cell>
          <cell r="E852">
            <v>44055634</v>
          </cell>
          <cell r="F852">
            <v>44055634</v>
          </cell>
          <cell r="G852">
            <v>67228301</v>
          </cell>
          <cell r="H852">
            <v>3671303</v>
          </cell>
          <cell r="I852">
            <v>8296588</v>
          </cell>
        </row>
        <row r="853">
          <cell r="A853" t="str">
            <v>1300|439008</v>
          </cell>
          <cell r="B853" t="str">
            <v>1300</v>
          </cell>
          <cell r="C853">
            <v>439008</v>
          </cell>
          <cell r="D853">
            <v>41244</v>
          </cell>
          <cell r="E853">
            <v>16368905</v>
          </cell>
          <cell r="F853">
            <v>16368905</v>
          </cell>
          <cell r="G853">
            <v>22346622</v>
          </cell>
          <cell r="H853">
            <v>1364075</v>
          </cell>
          <cell r="I853">
            <v>0</v>
          </cell>
        </row>
        <row r="854">
          <cell r="A854" t="str">
            <v>1300|439202</v>
          </cell>
          <cell r="B854" t="str">
            <v>1300</v>
          </cell>
          <cell r="C854">
            <v>439202</v>
          </cell>
          <cell r="D854">
            <v>41244</v>
          </cell>
          <cell r="E854">
            <v>0</v>
          </cell>
          <cell r="F854">
            <v>0</v>
          </cell>
          <cell r="G854">
            <v>875000</v>
          </cell>
          <cell r="H854">
            <v>0</v>
          </cell>
          <cell r="I854">
            <v>0</v>
          </cell>
        </row>
        <row r="855">
          <cell r="A855" t="str">
            <v>1300|439203</v>
          </cell>
          <cell r="B855" t="str">
            <v>1300</v>
          </cell>
          <cell r="C855">
            <v>439203</v>
          </cell>
          <cell r="D855">
            <v>41244</v>
          </cell>
          <cell r="E855">
            <v>0</v>
          </cell>
          <cell r="F855">
            <v>0</v>
          </cell>
          <cell r="G855">
            <v>198000</v>
          </cell>
          <cell r="H855">
            <v>0</v>
          </cell>
          <cell r="I855">
            <v>0</v>
          </cell>
        </row>
        <row r="856">
          <cell r="A856" t="str">
            <v>1300|440002</v>
          </cell>
          <cell r="B856" t="str">
            <v>1300</v>
          </cell>
          <cell r="C856">
            <v>440002</v>
          </cell>
          <cell r="D856">
            <v>41244</v>
          </cell>
          <cell r="E856">
            <v>15941987</v>
          </cell>
          <cell r="F856">
            <v>15941987</v>
          </cell>
          <cell r="G856">
            <v>7213373</v>
          </cell>
          <cell r="H856">
            <v>1328500</v>
          </cell>
          <cell r="I856">
            <v>558485</v>
          </cell>
        </row>
        <row r="857">
          <cell r="A857" t="str">
            <v>1300|440003</v>
          </cell>
          <cell r="B857" t="str">
            <v>1300</v>
          </cell>
          <cell r="C857">
            <v>440003</v>
          </cell>
          <cell r="D857">
            <v>41244</v>
          </cell>
          <cell r="E857">
            <v>19258491</v>
          </cell>
          <cell r="F857">
            <v>19258491</v>
          </cell>
          <cell r="G857">
            <v>22748993</v>
          </cell>
          <cell r="H857">
            <v>1604874</v>
          </cell>
          <cell r="I857">
            <v>1764098</v>
          </cell>
        </row>
        <row r="858">
          <cell r="A858" t="str">
            <v>1300|446002</v>
          </cell>
          <cell r="B858" t="str">
            <v>1300</v>
          </cell>
          <cell r="C858">
            <v>446002</v>
          </cell>
          <cell r="D858">
            <v>41244</v>
          </cell>
          <cell r="E858">
            <v>2970994</v>
          </cell>
          <cell r="F858">
            <v>2970994</v>
          </cell>
          <cell r="G858">
            <v>2360900</v>
          </cell>
          <cell r="H858">
            <v>247583</v>
          </cell>
          <cell r="I858">
            <v>150000</v>
          </cell>
        </row>
        <row r="859">
          <cell r="A859" t="str">
            <v>1300|447002</v>
          </cell>
          <cell r="B859" t="str">
            <v>1300</v>
          </cell>
          <cell r="C859">
            <v>447002</v>
          </cell>
          <cell r="D859">
            <v>41244</v>
          </cell>
          <cell r="E859">
            <v>2072652</v>
          </cell>
          <cell r="F859">
            <v>2072652</v>
          </cell>
          <cell r="G859">
            <v>1264191</v>
          </cell>
          <cell r="H859">
            <v>172721</v>
          </cell>
          <cell r="I859">
            <v>108487</v>
          </cell>
        </row>
        <row r="860">
          <cell r="A860" t="str">
            <v>1300|447003</v>
          </cell>
          <cell r="B860" t="str">
            <v>1300</v>
          </cell>
          <cell r="C860">
            <v>447003</v>
          </cell>
          <cell r="D860">
            <v>41244</v>
          </cell>
          <cell r="E860">
            <v>2035512</v>
          </cell>
          <cell r="F860">
            <v>2035512</v>
          </cell>
          <cell r="G860">
            <v>1427484</v>
          </cell>
          <cell r="H860">
            <v>169626</v>
          </cell>
          <cell r="I860">
            <v>120013</v>
          </cell>
        </row>
        <row r="861">
          <cell r="A861" t="str">
            <v>1300|447012</v>
          </cell>
          <cell r="B861" t="str">
            <v>1300</v>
          </cell>
          <cell r="C861">
            <v>447012</v>
          </cell>
          <cell r="D861">
            <v>41244</v>
          </cell>
          <cell r="E861">
            <v>4884593</v>
          </cell>
          <cell r="F861">
            <v>4884593</v>
          </cell>
          <cell r="G861">
            <v>2979297</v>
          </cell>
          <cell r="H861">
            <v>407049</v>
          </cell>
          <cell r="I861">
            <v>255670</v>
          </cell>
        </row>
        <row r="862">
          <cell r="A862" t="str">
            <v>1300|447013</v>
          </cell>
          <cell r="B862" t="str">
            <v>1300</v>
          </cell>
          <cell r="C862">
            <v>447013</v>
          </cell>
          <cell r="D862">
            <v>41244</v>
          </cell>
          <cell r="E862">
            <v>9694080</v>
          </cell>
          <cell r="F862">
            <v>9694080</v>
          </cell>
          <cell r="G862">
            <v>9780882</v>
          </cell>
          <cell r="H862">
            <v>807841</v>
          </cell>
          <cell r="I862">
            <v>822307</v>
          </cell>
        </row>
        <row r="863">
          <cell r="A863" t="str">
            <v>1300|447022</v>
          </cell>
          <cell r="B863" t="str">
            <v>1300</v>
          </cell>
          <cell r="C863">
            <v>447022</v>
          </cell>
          <cell r="D863">
            <v>41244</v>
          </cell>
          <cell r="E863">
            <v>207265</v>
          </cell>
          <cell r="F863">
            <v>207265</v>
          </cell>
          <cell r="G863">
            <v>206426</v>
          </cell>
          <cell r="H863">
            <v>17272</v>
          </cell>
          <cell r="I863">
            <v>18150</v>
          </cell>
        </row>
        <row r="864">
          <cell r="A864" t="str">
            <v>1300|447023</v>
          </cell>
          <cell r="B864" t="str">
            <v>1300</v>
          </cell>
          <cell r="C864">
            <v>447023</v>
          </cell>
          <cell r="D864">
            <v>41244</v>
          </cell>
          <cell r="E864">
            <v>203551</v>
          </cell>
          <cell r="F864">
            <v>203551</v>
          </cell>
          <cell r="G864">
            <v>398800</v>
          </cell>
          <cell r="H864">
            <v>16963</v>
          </cell>
          <cell r="I864">
            <v>0</v>
          </cell>
        </row>
        <row r="865">
          <cell r="A865" t="str">
            <v>1300|448002</v>
          </cell>
          <cell r="B865" t="str">
            <v>1300</v>
          </cell>
          <cell r="C865">
            <v>448002</v>
          </cell>
          <cell r="D865">
            <v>41244</v>
          </cell>
          <cell r="E865">
            <v>12314417</v>
          </cell>
          <cell r="F865">
            <v>12314417</v>
          </cell>
          <cell r="G865">
            <v>6672700</v>
          </cell>
          <cell r="H865">
            <v>1026201</v>
          </cell>
          <cell r="I865">
            <v>3773600</v>
          </cell>
        </row>
        <row r="866">
          <cell r="A866" t="str">
            <v>1300|448003</v>
          </cell>
          <cell r="B866" t="str">
            <v>1300</v>
          </cell>
          <cell r="C866">
            <v>448003</v>
          </cell>
          <cell r="D866">
            <v>41244</v>
          </cell>
          <cell r="E866">
            <v>14712992</v>
          </cell>
          <cell r="F866">
            <v>14712992</v>
          </cell>
          <cell r="G866">
            <v>6058400</v>
          </cell>
          <cell r="H866">
            <v>1226083</v>
          </cell>
          <cell r="I866">
            <v>1146600</v>
          </cell>
        </row>
        <row r="867">
          <cell r="A867" t="str">
            <v>1300|449022</v>
          </cell>
          <cell r="B867" t="str">
            <v>1300</v>
          </cell>
          <cell r="C867">
            <v>449022</v>
          </cell>
          <cell r="D867">
            <v>41244</v>
          </cell>
          <cell r="E867">
            <v>3960000</v>
          </cell>
          <cell r="F867">
            <v>3960000</v>
          </cell>
          <cell r="G867">
            <v>3723000</v>
          </cell>
          <cell r="H867">
            <v>330000</v>
          </cell>
          <cell r="I867">
            <v>289000</v>
          </cell>
        </row>
        <row r="868">
          <cell r="A868" t="str">
            <v>1300|449023</v>
          </cell>
          <cell r="B868" t="str">
            <v>1300</v>
          </cell>
          <cell r="C868">
            <v>449023</v>
          </cell>
          <cell r="D868">
            <v>41244</v>
          </cell>
          <cell r="E868">
            <v>33450000</v>
          </cell>
          <cell r="F868">
            <v>33450000</v>
          </cell>
          <cell r="G868">
            <v>35647081</v>
          </cell>
          <cell r="H868">
            <v>2787500</v>
          </cell>
          <cell r="I868">
            <v>2300000</v>
          </cell>
        </row>
        <row r="869">
          <cell r="A869" t="str">
            <v>1300|449032</v>
          </cell>
          <cell r="B869" t="str">
            <v>1300</v>
          </cell>
          <cell r="C869">
            <v>449032</v>
          </cell>
          <cell r="D869">
            <v>41244</v>
          </cell>
          <cell r="E869">
            <v>3678847</v>
          </cell>
          <cell r="F869">
            <v>3678847</v>
          </cell>
          <cell r="G869">
            <v>900000</v>
          </cell>
          <cell r="H869">
            <v>306570</v>
          </cell>
          <cell r="I869">
            <v>900000</v>
          </cell>
        </row>
        <row r="870">
          <cell r="A870" t="str">
            <v>1300|449050</v>
          </cell>
          <cell r="B870" t="str">
            <v>1300</v>
          </cell>
          <cell r="C870">
            <v>449050</v>
          </cell>
          <cell r="D870">
            <v>41244</v>
          </cell>
          <cell r="E870">
            <v>38400000</v>
          </cell>
          <cell r="F870">
            <v>38400000</v>
          </cell>
          <cell r="G870">
            <v>35200000</v>
          </cell>
          <cell r="H870">
            <v>3200000</v>
          </cell>
          <cell r="I870">
            <v>3200000</v>
          </cell>
        </row>
        <row r="871">
          <cell r="A871" t="str">
            <v>1300|449061</v>
          </cell>
          <cell r="B871" t="str">
            <v>1300</v>
          </cell>
          <cell r="C871">
            <v>449061</v>
          </cell>
          <cell r="D871">
            <v>41244</v>
          </cell>
          <cell r="E871">
            <v>12258700</v>
          </cell>
          <cell r="F871">
            <v>12258700</v>
          </cell>
          <cell r="G871">
            <v>11662400</v>
          </cell>
          <cell r="H871">
            <v>1021558</v>
          </cell>
          <cell r="I871">
            <v>594000</v>
          </cell>
        </row>
        <row r="872">
          <cell r="A872" t="str">
            <v>1300|451000</v>
          </cell>
          <cell r="B872" t="str">
            <v>1300</v>
          </cell>
          <cell r="C872">
            <v>451000</v>
          </cell>
          <cell r="D872">
            <v>41244</v>
          </cell>
          <cell r="E872">
            <v>18000</v>
          </cell>
          <cell r="F872">
            <v>18000</v>
          </cell>
          <cell r="G872">
            <v>0</v>
          </cell>
          <cell r="H872">
            <v>1500</v>
          </cell>
          <cell r="I872">
            <v>0</v>
          </cell>
        </row>
        <row r="873">
          <cell r="A873" t="str">
            <v>1300|470102</v>
          </cell>
          <cell r="B873" t="str">
            <v>1300</v>
          </cell>
          <cell r="C873">
            <v>470102</v>
          </cell>
          <cell r="D873">
            <v>41244</v>
          </cell>
          <cell r="E873">
            <v>254400</v>
          </cell>
          <cell r="F873">
            <v>254400</v>
          </cell>
          <cell r="G873">
            <v>0</v>
          </cell>
          <cell r="H873">
            <v>21200</v>
          </cell>
          <cell r="I873">
            <v>0</v>
          </cell>
        </row>
        <row r="874">
          <cell r="A874" t="str">
            <v>1300|473000</v>
          </cell>
          <cell r="B874" t="str">
            <v>1300</v>
          </cell>
          <cell r="C874">
            <v>473000</v>
          </cell>
          <cell r="D874">
            <v>41244</v>
          </cell>
          <cell r="E874">
            <v>1588593</v>
          </cell>
          <cell r="F874">
            <v>1588593</v>
          </cell>
          <cell r="G874">
            <v>1164000</v>
          </cell>
          <cell r="H874">
            <v>132383</v>
          </cell>
          <cell r="I874">
            <v>300000</v>
          </cell>
        </row>
        <row r="875">
          <cell r="A875" t="str">
            <v>1300|473120</v>
          </cell>
          <cell r="B875" t="str">
            <v>1300</v>
          </cell>
          <cell r="C875">
            <v>473120</v>
          </cell>
          <cell r="D875">
            <v>41244</v>
          </cell>
          <cell r="E875">
            <v>1590446</v>
          </cell>
          <cell r="F875">
            <v>1590446</v>
          </cell>
          <cell r="G875">
            <v>936647</v>
          </cell>
          <cell r="H875">
            <v>132537</v>
          </cell>
          <cell r="I875">
            <v>60603</v>
          </cell>
        </row>
        <row r="876">
          <cell r="A876" t="str">
            <v>1300|474101</v>
          </cell>
          <cell r="B876" t="str">
            <v>1300</v>
          </cell>
          <cell r="C876">
            <v>474101</v>
          </cell>
          <cell r="D876">
            <v>41244</v>
          </cell>
          <cell r="E876">
            <v>0</v>
          </cell>
          <cell r="F876">
            <v>0</v>
          </cell>
          <cell r="G876">
            <v>-850000</v>
          </cell>
          <cell r="H876">
            <v>0</v>
          </cell>
          <cell r="I876">
            <v>0</v>
          </cell>
        </row>
        <row r="877">
          <cell r="A877" t="str">
            <v>1300|475003</v>
          </cell>
          <cell r="B877" t="str">
            <v>1300</v>
          </cell>
          <cell r="C877">
            <v>475003</v>
          </cell>
          <cell r="D877">
            <v>41244</v>
          </cell>
          <cell r="E877">
            <v>250000</v>
          </cell>
          <cell r="F877">
            <v>250000</v>
          </cell>
          <cell r="G877">
            <v>700000</v>
          </cell>
          <cell r="H877">
            <v>20833</v>
          </cell>
          <cell r="I877">
            <v>350000</v>
          </cell>
        </row>
        <row r="878">
          <cell r="A878" t="str">
            <v>1300|475006</v>
          </cell>
          <cell r="B878" t="str">
            <v>1300</v>
          </cell>
          <cell r="C878">
            <v>475006</v>
          </cell>
          <cell r="D878">
            <v>41244</v>
          </cell>
          <cell r="E878">
            <v>3124125</v>
          </cell>
          <cell r="F878">
            <v>3124125</v>
          </cell>
          <cell r="G878">
            <v>2748756</v>
          </cell>
          <cell r="H878">
            <v>260344</v>
          </cell>
          <cell r="I878">
            <v>229063</v>
          </cell>
        </row>
        <row r="879">
          <cell r="A879" t="str">
            <v>1300|476000</v>
          </cell>
          <cell r="B879" t="str">
            <v>1300</v>
          </cell>
          <cell r="C879">
            <v>476000</v>
          </cell>
          <cell r="D879">
            <v>41244</v>
          </cell>
          <cell r="E879">
            <v>425770</v>
          </cell>
          <cell r="F879">
            <v>425770</v>
          </cell>
          <cell r="G879">
            <v>283200</v>
          </cell>
          <cell r="H879">
            <v>35481</v>
          </cell>
          <cell r="I879">
            <v>0</v>
          </cell>
        </row>
        <row r="880">
          <cell r="A880" t="str">
            <v>1300|476001</v>
          </cell>
          <cell r="B880" t="str">
            <v>1300</v>
          </cell>
          <cell r="C880">
            <v>476001</v>
          </cell>
          <cell r="D880">
            <v>41244</v>
          </cell>
          <cell r="E880">
            <v>202736</v>
          </cell>
          <cell r="F880">
            <v>202736</v>
          </cell>
          <cell r="G880">
            <v>308062</v>
          </cell>
          <cell r="H880">
            <v>16895</v>
          </cell>
          <cell r="I880">
            <v>262162</v>
          </cell>
        </row>
        <row r="881">
          <cell r="A881" t="str">
            <v>1300|476201</v>
          </cell>
          <cell r="B881" t="str">
            <v>1300</v>
          </cell>
          <cell r="C881">
            <v>476201</v>
          </cell>
          <cell r="D881">
            <v>41244</v>
          </cell>
          <cell r="E881">
            <v>6000000</v>
          </cell>
          <cell r="F881">
            <v>6000000</v>
          </cell>
          <cell r="G881">
            <v>1000000</v>
          </cell>
          <cell r="H881">
            <v>500000</v>
          </cell>
          <cell r="I881">
            <v>0</v>
          </cell>
        </row>
        <row r="882">
          <cell r="A882" t="str">
            <v>1300|476220</v>
          </cell>
          <cell r="B882" t="str">
            <v>1300</v>
          </cell>
          <cell r="C882">
            <v>476220</v>
          </cell>
          <cell r="D882">
            <v>41244</v>
          </cell>
          <cell r="E882">
            <v>1237372</v>
          </cell>
          <cell r="F882">
            <v>1237372</v>
          </cell>
          <cell r="G882">
            <v>23685609</v>
          </cell>
          <cell r="H882">
            <v>103114</v>
          </cell>
          <cell r="I882">
            <v>6306503</v>
          </cell>
        </row>
        <row r="883">
          <cell r="A883" t="str">
            <v>1300|476900</v>
          </cell>
          <cell r="B883" t="str">
            <v>1300</v>
          </cell>
          <cell r="C883">
            <v>476900</v>
          </cell>
          <cell r="D883">
            <v>41244</v>
          </cell>
          <cell r="E883">
            <v>3597495</v>
          </cell>
          <cell r="F883">
            <v>3597495</v>
          </cell>
          <cell r="G883">
            <v>226050</v>
          </cell>
          <cell r="H883">
            <v>299791</v>
          </cell>
          <cell r="I883">
            <v>226050</v>
          </cell>
        </row>
        <row r="884">
          <cell r="A884" t="str">
            <v>1400|211100</v>
          </cell>
          <cell r="B884" t="str">
            <v>1400</v>
          </cell>
          <cell r="C884">
            <v>211100</v>
          </cell>
          <cell r="D884">
            <v>41244</v>
          </cell>
          <cell r="E884">
            <v>12467493</v>
          </cell>
          <cell r="F884">
            <v>12467493</v>
          </cell>
          <cell r="G884">
            <v>13078079</v>
          </cell>
          <cell r="H884">
            <v>1038958</v>
          </cell>
          <cell r="I884">
            <v>1089843</v>
          </cell>
        </row>
        <row r="885">
          <cell r="A885" t="str">
            <v>1400|246000</v>
          </cell>
          <cell r="B885" t="str">
            <v>1400</v>
          </cell>
          <cell r="C885">
            <v>246000</v>
          </cell>
          <cell r="D885">
            <v>41244</v>
          </cell>
          <cell r="E885">
            <v>2000000</v>
          </cell>
          <cell r="F885">
            <v>2000000</v>
          </cell>
          <cell r="G885">
            <v>700000</v>
          </cell>
          <cell r="H885">
            <v>166666</v>
          </cell>
          <cell r="I885">
            <v>0</v>
          </cell>
        </row>
        <row r="886">
          <cell r="A886" t="str">
            <v>1400|405200</v>
          </cell>
          <cell r="B886" t="str">
            <v>1400</v>
          </cell>
          <cell r="C886">
            <v>405200</v>
          </cell>
          <cell r="D886">
            <v>41244</v>
          </cell>
          <cell r="E886">
            <v>1000000</v>
          </cell>
          <cell r="F886">
            <v>1000000</v>
          </cell>
          <cell r="G886">
            <v>0</v>
          </cell>
          <cell r="H886">
            <v>83333</v>
          </cell>
          <cell r="I886">
            <v>0</v>
          </cell>
        </row>
        <row r="887">
          <cell r="A887" t="str">
            <v>1400|420002</v>
          </cell>
          <cell r="B887" t="str">
            <v>1400</v>
          </cell>
          <cell r="C887">
            <v>420002</v>
          </cell>
          <cell r="D887">
            <v>41244</v>
          </cell>
          <cell r="E887">
            <v>427823085</v>
          </cell>
          <cell r="F887">
            <v>427823085</v>
          </cell>
          <cell r="G887">
            <v>418823650</v>
          </cell>
          <cell r="H887">
            <v>35651924</v>
          </cell>
          <cell r="I887">
            <v>29773150</v>
          </cell>
        </row>
        <row r="888">
          <cell r="A888" t="str">
            <v>1400|420003</v>
          </cell>
          <cell r="B888" t="str">
            <v>1400</v>
          </cell>
          <cell r="C888">
            <v>420003</v>
          </cell>
          <cell r="D888">
            <v>41244</v>
          </cell>
          <cell r="E888">
            <v>1237949681</v>
          </cell>
          <cell r="F888">
            <v>1237949681</v>
          </cell>
          <cell r="G888">
            <v>1193199089</v>
          </cell>
          <cell r="H888">
            <v>103162473</v>
          </cell>
          <cell r="I888">
            <v>111733621</v>
          </cell>
        </row>
        <row r="889">
          <cell r="A889" t="str">
            <v>1400|422002</v>
          </cell>
          <cell r="B889" t="str">
            <v>1400</v>
          </cell>
          <cell r="C889">
            <v>422002</v>
          </cell>
          <cell r="D889">
            <v>41244</v>
          </cell>
          <cell r="E889">
            <v>1354906</v>
          </cell>
          <cell r="F889">
            <v>1354906</v>
          </cell>
          <cell r="G889">
            <v>809550</v>
          </cell>
          <cell r="H889">
            <v>112909</v>
          </cell>
          <cell r="I889">
            <v>0</v>
          </cell>
        </row>
        <row r="890">
          <cell r="A890" t="str">
            <v>1400|422003</v>
          </cell>
          <cell r="B890" t="str">
            <v>1400</v>
          </cell>
          <cell r="C890">
            <v>422003</v>
          </cell>
          <cell r="D890">
            <v>41244</v>
          </cell>
          <cell r="E890">
            <v>323568</v>
          </cell>
          <cell r="F890">
            <v>323568</v>
          </cell>
          <cell r="G890">
            <v>83100</v>
          </cell>
          <cell r="H890">
            <v>26964</v>
          </cell>
          <cell r="I890">
            <v>0</v>
          </cell>
        </row>
        <row r="891">
          <cell r="A891" t="str">
            <v>1400|430010</v>
          </cell>
          <cell r="B891" t="str">
            <v>1400</v>
          </cell>
          <cell r="C891">
            <v>430010</v>
          </cell>
          <cell r="D891">
            <v>41244</v>
          </cell>
          <cell r="E891">
            <v>50000000</v>
          </cell>
          <cell r="F891">
            <v>50000000</v>
          </cell>
          <cell r="G891">
            <v>28106000</v>
          </cell>
          <cell r="H891">
            <v>4166667</v>
          </cell>
          <cell r="I891">
            <v>0</v>
          </cell>
        </row>
        <row r="892">
          <cell r="A892" t="str">
            <v>1400|431002</v>
          </cell>
          <cell r="B892" t="str">
            <v>1400</v>
          </cell>
          <cell r="C892">
            <v>431002</v>
          </cell>
          <cell r="D892">
            <v>41244</v>
          </cell>
          <cell r="E892">
            <v>39488522</v>
          </cell>
          <cell r="F892">
            <v>39488522</v>
          </cell>
          <cell r="G892">
            <v>90104678</v>
          </cell>
          <cell r="H892">
            <v>3290710</v>
          </cell>
          <cell r="I892">
            <v>4738153</v>
          </cell>
        </row>
        <row r="893">
          <cell r="A893" t="str">
            <v>1400|433002</v>
          </cell>
          <cell r="B893" t="str">
            <v>1400</v>
          </cell>
          <cell r="C893">
            <v>433002</v>
          </cell>
          <cell r="D893">
            <v>41244</v>
          </cell>
          <cell r="E893">
            <v>4235169</v>
          </cell>
          <cell r="F893">
            <v>4235169</v>
          </cell>
          <cell r="G893">
            <v>4609050</v>
          </cell>
          <cell r="H893">
            <v>352931</v>
          </cell>
          <cell r="I893">
            <v>387500</v>
          </cell>
        </row>
        <row r="894">
          <cell r="A894" t="str">
            <v>1400|434012</v>
          </cell>
          <cell r="B894" t="str">
            <v>1400</v>
          </cell>
          <cell r="C894">
            <v>434012</v>
          </cell>
          <cell r="D894">
            <v>41244</v>
          </cell>
          <cell r="E894">
            <v>0</v>
          </cell>
          <cell r="F894">
            <v>0</v>
          </cell>
          <cell r="G894">
            <v>18049864</v>
          </cell>
          <cell r="H894">
            <v>0</v>
          </cell>
          <cell r="I894">
            <v>5892872</v>
          </cell>
        </row>
        <row r="895">
          <cell r="A895" t="str">
            <v>1400|434013</v>
          </cell>
          <cell r="B895" t="str">
            <v>1400</v>
          </cell>
          <cell r="C895">
            <v>434013</v>
          </cell>
          <cell r="D895">
            <v>41244</v>
          </cell>
          <cell r="E895">
            <v>54995000</v>
          </cell>
          <cell r="F895">
            <v>54995000</v>
          </cell>
          <cell r="G895">
            <v>51198988</v>
          </cell>
          <cell r="H895">
            <v>4582917</v>
          </cell>
          <cell r="I895">
            <v>9566174</v>
          </cell>
        </row>
        <row r="896">
          <cell r="A896" t="str">
            <v>1400|435002</v>
          </cell>
          <cell r="B896" t="str">
            <v>1400</v>
          </cell>
          <cell r="C896">
            <v>435002</v>
          </cell>
          <cell r="D896">
            <v>41244</v>
          </cell>
          <cell r="E896">
            <v>35651924</v>
          </cell>
          <cell r="F896">
            <v>35651924</v>
          </cell>
          <cell r="G896">
            <v>26691500</v>
          </cell>
          <cell r="H896">
            <v>2970994</v>
          </cell>
          <cell r="I896">
            <v>24685000</v>
          </cell>
        </row>
        <row r="897">
          <cell r="A897" t="str">
            <v>1400|435003</v>
          </cell>
          <cell r="B897" t="str">
            <v>1400</v>
          </cell>
          <cell r="C897">
            <v>435003</v>
          </cell>
          <cell r="D897">
            <v>41244</v>
          </cell>
          <cell r="E897">
            <v>169044082</v>
          </cell>
          <cell r="F897">
            <v>169044082</v>
          </cell>
          <cell r="G897">
            <v>149036209</v>
          </cell>
          <cell r="H897">
            <v>14087007</v>
          </cell>
          <cell r="I897">
            <v>20906586</v>
          </cell>
        </row>
        <row r="898">
          <cell r="A898" t="str">
            <v>1400|439003</v>
          </cell>
          <cell r="B898" t="str">
            <v>1400</v>
          </cell>
          <cell r="C898">
            <v>439003</v>
          </cell>
          <cell r="D898">
            <v>41244</v>
          </cell>
          <cell r="E898">
            <v>308389437</v>
          </cell>
          <cell r="F898">
            <v>308389437</v>
          </cell>
          <cell r="G898">
            <v>429075126</v>
          </cell>
          <cell r="H898">
            <v>25699120</v>
          </cell>
          <cell r="I898">
            <v>58076198</v>
          </cell>
        </row>
        <row r="899">
          <cell r="A899" t="str">
            <v>1400|439008</v>
          </cell>
          <cell r="B899" t="str">
            <v>1400</v>
          </cell>
          <cell r="C899">
            <v>439008</v>
          </cell>
          <cell r="D899">
            <v>41244</v>
          </cell>
          <cell r="E899">
            <v>98213430</v>
          </cell>
          <cell r="F899">
            <v>98213430</v>
          </cell>
          <cell r="G899">
            <v>120995059</v>
          </cell>
          <cell r="H899">
            <v>8184452</v>
          </cell>
          <cell r="I899">
            <v>0</v>
          </cell>
        </row>
        <row r="900">
          <cell r="A900" t="str">
            <v>1400|439103</v>
          </cell>
          <cell r="B900" t="str">
            <v>1400</v>
          </cell>
          <cell r="C900">
            <v>439103</v>
          </cell>
          <cell r="D900">
            <v>41244</v>
          </cell>
          <cell r="E900">
            <v>0</v>
          </cell>
          <cell r="F900">
            <v>0</v>
          </cell>
          <cell r="G900">
            <v>500000</v>
          </cell>
          <cell r="H900">
            <v>0</v>
          </cell>
          <cell r="I900">
            <v>0</v>
          </cell>
        </row>
        <row r="901">
          <cell r="A901" t="str">
            <v>1400|439202</v>
          </cell>
          <cell r="B901" t="str">
            <v>1400</v>
          </cell>
          <cell r="C901">
            <v>439202</v>
          </cell>
          <cell r="D901">
            <v>41244</v>
          </cell>
          <cell r="E901">
            <v>0</v>
          </cell>
          <cell r="F901">
            <v>0</v>
          </cell>
          <cell r="G901">
            <v>1254000</v>
          </cell>
          <cell r="H901">
            <v>0</v>
          </cell>
          <cell r="I901">
            <v>0</v>
          </cell>
        </row>
        <row r="902">
          <cell r="A902" t="str">
            <v>1400|439203</v>
          </cell>
          <cell r="B902" t="str">
            <v>1400</v>
          </cell>
          <cell r="C902">
            <v>439203</v>
          </cell>
          <cell r="D902">
            <v>41244</v>
          </cell>
          <cell r="E902">
            <v>0</v>
          </cell>
          <cell r="F902">
            <v>0</v>
          </cell>
          <cell r="G902">
            <v>5172449</v>
          </cell>
          <cell r="H902">
            <v>0</v>
          </cell>
          <cell r="I902">
            <v>143000</v>
          </cell>
        </row>
        <row r="903">
          <cell r="A903" t="str">
            <v>1400|440002</v>
          </cell>
          <cell r="B903" t="str">
            <v>1400</v>
          </cell>
          <cell r="C903">
            <v>440002</v>
          </cell>
          <cell r="D903">
            <v>41244</v>
          </cell>
          <cell r="E903">
            <v>85651924</v>
          </cell>
          <cell r="F903">
            <v>85651924</v>
          </cell>
          <cell r="G903">
            <v>50969536</v>
          </cell>
          <cell r="H903">
            <v>7137661</v>
          </cell>
          <cell r="I903">
            <v>3350907</v>
          </cell>
        </row>
        <row r="904">
          <cell r="A904" t="str">
            <v>1400|440003</v>
          </cell>
          <cell r="B904" t="str">
            <v>1400</v>
          </cell>
          <cell r="C904">
            <v>440003</v>
          </cell>
          <cell r="D904">
            <v>41244</v>
          </cell>
          <cell r="E904">
            <v>134304466</v>
          </cell>
          <cell r="F904">
            <v>134304466</v>
          </cell>
          <cell r="G904">
            <v>88469450</v>
          </cell>
          <cell r="H904">
            <v>11192039</v>
          </cell>
          <cell r="I904">
            <v>10323078</v>
          </cell>
        </row>
        <row r="905">
          <cell r="A905" t="str">
            <v>1400|446002</v>
          </cell>
          <cell r="B905" t="str">
            <v>1400</v>
          </cell>
          <cell r="C905">
            <v>446002</v>
          </cell>
          <cell r="D905">
            <v>41244</v>
          </cell>
          <cell r="E905">
            <v>17825962</v>
          </cell>
          <cell r="F905">
            <v>17825962</v>
          </cell>
          <cell r="G905">
            <v>4720715</v>
          </cell>
          <cell r="H905">
            <v>1485497</v>
          </cell>
          <cell r="I905">
            <v>300000</v>
          </cell>
        </row>
        <row r="906">
          <cell r="A906" t="str">
            <v>1400|447002</v>
          </cell>
          <cell r="B906" t="str">
            <v>1400</v>
          </cell>
          <cell r="C906">
            <v>447002</v>
          </cell>
          <cell r="D906">
            <v>41244</v>
          </cell>
          <cell r="E906">
            <v>12435910</v>
          </cell>
          <cell r="F906">
            <v>12435910</v>
          </cell>
          <cell r="G906">
            <v>3236089</v>
          </cell>
          <cell r="H906">
            <v>1036326</v>
          </cell>
          <cell r="I906">
            <v>320791</v>
          </cell>
        </row>
        <row r="907">
          <cell r="A907" t="str">
            <v>1400|447003</v>
          </cell>
          <cell r="B907" t="str">
            <v>1400</v>
          </cell>
          <cell r="C907">
            <v>447003</v>
          </cell>
          <cell r="D907">
            <v>41244</v>
          </cell>
          <cell r="E907">
            <v>21015685</v>
          </cell>
          <cell r="F907">
            <v>21015685</v>
          </cell>
          <cell r="G907">
            <v>15951186</v>
          </cell>
          <cell r="H907">
            <v>1751308</v>
          </cell>
          <cell r="I907">
            <v>1426456</v>
          </cell>
        </row>
        <row r="908">
          <cell r="A908" t="str">
            <v>1400|447012</v>
          </cell>
          <cell r="B908" t="str">
            <v>1400</v>
          </cell>
          <cell r="C908">
            <v>447012</v>
          </cell>
          <cell r="D908">
            <v>41244</v>
          </cell>
          <cell r="E908">
            <v>29307559</v>
          </cell>
          <cell r="F908">
            <v>29307559</v>
          </cell>
          <cell r="G908">
            <v>12392890</v>
          </cell>
          <cell r="H908">
            <v>2442297</v>
          </cell>
          <cell r="I908">
            <v>1107596</v>
          </cell>
        </row>
        <row r="909">
          <cell r="A909" t="str">
            <v>1400|447013</v>
          </cell>
          <cell r="B909" t="str">
            <v>1400</v>
          </cell>
          <cell r="C909">
            <v>447013</v>
          </cell>
          <cell r="D909">
            <v>41244</v>
          </cell>
          <cell r="E909">
            <v>40363508</v>
          </cell>
          <cell r="F909">
            <v>40363508</v>
          </cell>
          <cell r="G909">
            <v>42213434</v>
          </cell>
          <cell r="H909">
            <v>3363626</v>
          </cell>
          <cell r="I909">
            <v>3750248</v>
          </cell>
        </row>
        <row r="910">
          <cell r="A910" t="str">
            <v>1400|447022</v>
          </cell>
          <cell r="B910" t="str">
            <v>1400</v>
          </cell>
          <cell r="C910">
            <v>447022</v>
          </cell>
          <cell r="D910">
            <v>41244</v>
          </cell>
          <cell r="E910">
            <v>1243591</v>
          </cell>
          <cell r="F910">
            <v>1243591</v>
          </cell>
          <cell r="G910">
            <v>335397</v>
          </cell>
          <cell r="H910">
            <v>103633</v>
          </cell>
          <cell r="I910">
            <v>22350</v>
          </cell>
        </row>
        <row r="911">
          <cell r="A911" t="str">
            <v>1400|447023</v>
          </cell>
          <cell r="B911" t="str">
            <v>1400</v>
          </cell>
          <cell r="C911">
            <v>447023</v>
          </cell>
          <cell r="D911">
            <v>41244</v>
          </cell>
          <cell r="E911">
            <v>1101568</v>
          </cell>
          <cell r="F911">
            <v>1101568</v>
          </cell>
          <cell r="G911">
            <v>3303886</v>
          </cell>
          <cell r="H911">
            <v>91797</v>
          </cell>
          <cell r="I911">
            <v>66150</v>
          </cell>
        </row>
        <row r="912">
          <cell r="A912" t="str">
            <v>1400|448002</v>
          </cell>
          <cell r="B912" t="str">
            <v>1400</v>
          </cell>
          <cell r="C912">
            <v>448002</v>
          </cell>
          <cell r="D912">
            <v>41244</v>
          </cell>
          <cell r="E912">
            <v>73886501</v>
          </cell>
          <cell r="F912">
            <v>73886501</v>
          </cell>
          <cell r="G912">
            <v>36834302</v>
          </cell>
          <cell r="H912">
            <v>6157208</v>
          </cell>
          <cell r="I912">
            <v>12947942</v>
          </cell>
        </row>
        <row r="913">
          <cell r="A913" t="str">
            <v>1400|448003</v>
          </cell>
          <cell r="B913" t="str">
            <v>1400</v>
          </cell>
          <cell r="C913">
            <v>448003</v>
          </cell>
          <cell r="D913">
            <v>41244</v>
          </cell>
          <cell r="E913">
            <v>97763853</v>
          </cell>
          <cell r="F913">
            <v>97763853</v>
          </cell>
          <cell r="G913">
            <v>70580508</v>
          </cell>
          <cell r="H913">
            <v>8146987</v>
          </cell>
          <cell r="I913">
            <v>2841200</v>
          </cell>
        </row>
        <row r="914">
          <cell r="A914" t="str">
            <v>1400|449022</v>
          </cell>
          <cell r="B914" t="str">
            <v>1400</v>
          </cell>
          <cell r="C914">
            <v>449022</v>
          </cell>
          <cell r="D914">
            <v>41244</v>
          </cell>
          <cell r="E914">
            <v>23760000</v>
          </cell>
          <cell r="F914">
            <v>23760000</v>
          </cell>
          <cell r="G914">
            <v>23226000</v>
          </cell>
          <cell r="H914">
            <v>1980000</v>
          </cell>
          <cell r="I914">
            <v>2243000</v>
          </cell>
        </row>
        <row r="915">
          <cell r="A915" t="str">
            <v>1400|449023</v>
          </cell>
          <cell r="B915" t="str">
            <v>1400</v>
          </cell>
          <cell r="C915">
            <v>449023</v>
          </cell>
          <cell r="D915">
            <v>41244</v>
          </cell>
          <cell r="E915">
            <v>82740000</v>
          </cell>
          <cell r="F915">
            <v>82740000</v>
          </cell>
          <cell r="G915">
            <v>66879614</v>
          </cell>
          <cell r="H915">
            <v>6895000</v>
          </cell>
          <cell r="I915">
            <v>6145450</v>
          </cell>
        </row>
        <row r="916">
          <cell r="A916" t="str">
            <v>1400|449032</v>
          </cell>
          <cell r="B916" t="str">
            <v>1400</v>
          </cell>
          <cell r="C916">
            <v>449032</v>
          </cell>
          <cell r="D916">
            <v>41244</v>
          </cell>
          <cell r="E916">
            <v>11886541</v>
          </cell>
          <cell r="F916">
            <v>11886541</v>
          </cell>
          <cell r="G916">
            <v>10458000</v>
          </cell>
          <cell r="H916">
            <v>990545</v>
          </cell>
          <cell r="I916">
            <v>9700000</v>
          </cell>
        </row>
        <row r="917">
          <cell r="A917" t="str">
            <v>1400|449040</v>
          </cell>
          <cell r="B917" t="str">
            <v>1400</v>
          </cell>
          <cell r="C917">
            <v>449040</v>
          </cell>
          <cell r="D917">
            <v>41244</v>
          </cell>
          <cell r="E917">
            <v>35747664</v>
          </cell>
          <cell r="F917">
            <v>35747664</v>
          </cell>
          <cell r="G917">
            <v>11242500</v>
          </cell>
          <cell r="H917">
            <v>2978972</v>
          </cell>
          <cell r="I917">
            <v>0</v>
          </cell>
        </row>
        <row r="918">
          <cell r="A918" t="str">
            <v>1400|449050</v>
          </cell>
          <cell r="B918" t="str">
            <v>1400</v>
          </cell>
          <cell r="C918">
            <v>449050</v>
          </cell>
          <cell r="D918">
            <v>41244</v>
          </cell>
          <cell r="E918">
            <v>150179158</v>
          </cell>
          <cell r="F918">
            <v>150179158</v>
          </cell>
          <cell r="G918">
            <v>115727658</v>
          </cell>
          <cell r="H918">
            <v>12514930</v>
          </cell>
          <cell r="I918">
            <v>68853183</v>
          </cell>
        </row>
        <row r="919">
          <cell r="A919" t="str">
            <v>1400|449061</v>
          </cell>
          <cell r="B919" t="str">
            <v>1400</v>
          </cell>
          <cell r="C919">
            <v>449061</v>
          </cell>
          <cell r="D919">
            <v>41244</v>
          </cell>
          <cell r="E919">
            <v>57171750</v>
          </cell>
          <cell r="F919">
            <v>57171750</v>
          </cell>
          <cell r="G919">
            <v>118116100</v>
          </cell>
          <cell r="H919">
            <v>4764312</v>
          </cell>
          <cell r="I919">
            <v>10645500</v>
          </cell>
        </row>
        <row r="920">
          <cell r="A920" t="str">
            <v>1400|459000</v>
          </cell>
          <cell r="B920" t="str">
            <v>1400</v>
          </cell>
          <cell r="C920">
            <v>459000</v>
          </cell>
          <cell r="D920">
            <v>41244</v>
          </cell>
          <cell r="E920">
            <v>25000</v>
          </cell>
          <cell r="F920">
            <v>25000</v>
          </cell>
          <cell r="G920">
            <v>1300000</v>
          </cell>
          <cell r="H920">
            <v>2083</v>
          </cell>
          <cell r="I920">
            <v>0</v>
          </cell>
        </row>
        <row r="921">
          <cell r="A921" t="str">
            <v>1400|459005</v>
          </cell>
          <cell r="B921" t="str">
            <v>1400</v>
          </cell>
          <cell r="C921">
            <v>459005</v>
          </cell>
          <cell r="D921">
            <v>41244</v>
          </cell>
          <cell r="E921">
            <v>760750</v>
          </cell>
          <cell r="F921">
            <v>760750</v>
          </cell>
          <cell r="G921">
            <v>0</v>
          </cell>
          <cell r="H921">
            <v>63396</v>
          </cell>
          <cell r="I921">
            <v>0</v>
          </cell>
        </row>
        <row r="922">
          <cell r="A922" t="str">
            <v>1400|471000</v>
          </cell>
          <cell r="B922" t="str">
            <v>1400</v>
          </cell>
          <cell r="C922">
            <v>471000</v>
          </cell>
          <cell r="D922">
            <v>41244</v>
          </cell>
          <cell r="E922">
            <v>9381950</v>
          </cell>
          <cell r="F922">
            <v>9381950</v>
          </cell>
          <cell r="G922">
            <v>6574375</v>
          </cell>
          <cell r="H922">
            <v>781829</v>
          </cell>
          <cell r="I922">
            <v>0</v>
          </cell>
        </row>
        <row r="923">
          <cell r="A923" t="str">
            <v>1400|472000</v>
          </cell>
          <cell r="B923" t="str">
            <v>1400</v>
          </cell>
          <cell r="C923">
            <v>472000</v>
          </cell>
          <cell r="D923">
            <v>41244</v>
          </cell>
          <cell r="E923">
            <v>0</v>
          </cell>
          <cell r="F923">
            <v>0</v>
          </cell>
          <cell r="G923">
            <v>172033</v>
          </cell>
          <cell r="H923">
            <v>0</v>
          </cell>
          <cell r="I923">
            <v>0</v>
          </cell>
        </row>
        <row r="924">
          <cell r="A924" t="str">
            <v>1400|473000</v>
          </cell>
          <cell r="B924" t="str">
            <v>1400</v>
          </cell>
          <cell r="C924">
            <v>473000</v>
          </cell>
          <cell r="D924">
            <v>41244</v>
          </cell>
          <cell r="E924">
            <v>323358</v>
          </cell>
          <cell r="F924">
            <v>323358</v>
          </cell>
          <cell r="G924">
            <v>24000</v>
          </cell>
          <cell r="H924">
            <v>26946</v>
          </cell>
          <cell r="I924">
            <v>0</v>
          </cell>
        </row>
        <row r="925">
          <cell r="A925" t="str">
            <v>1400|473120</v>
          </cell>
          <cell r="B925" t="str">
            <v>1400</v>
          </cell>
          <cell r="C925">
            <v>473120</v>
          </cell>
          <cell r="D925">
            <v>41244</v>
          </cell>
          <cell r="E925">
            <v>36776233</v>
          </cell>
          <cell r="F925">
            <v>36776233</v>
          </cell>
          <cell r="G925">
            <v>15535646</v>
          </cell>
          <cell r="H925">
            <v>3064686</v>
          </cell>
          <cell r="I925">
            <v>3770828</v>
          </cell>
        </row>
        <row r="926">
          <cell r="A926" t="str">
            <v>1400|474100</v>
          </cell>
          <cell r="B926" t="str">
            <v>1400</v>
          </cell>
          <cell r="C926">
            <v>474100</v>
          </cell>
          <cell r="D926">
            <v>41244</v>
          </cell>
          <cell r="E926">
            <v>149733567</v>
          </cell>
          <cell r="F926">
            <v>149733567</v>
          </cell>
          <cell r="G926">
            <v>26996505</v>
          </cell>
          <cell r="H926">
            <v>12477797</v>
          </cell>
          <cell r="I926">
            <v>0</v>
          </cell>
        </row>
        <row r="927">
          <cell r="A927" t="str">
            <v>1400|474101</v>
          </cell>
          <cell r="B927" t="str">
            <v>1400</v>
          </cell>
          <cell r="C927">
            <v>474101</v>
          </cell>
          <cell r="D927">
            <v>41244</v>
          </cell>
          <cell r="E927">
            <v>210000</v>
          </cell>
          <cell r="F927">
            <v>210000</v>
          </cell>
          <cell r="G927">
            <v>0</v>
          </cell>
          <cell r="H927">
            <v>17500</v>
          </cell>
          <cell r="I927">
            <v>0</v>
          </cell>
        </row>
        <row r="928">
          <cell r="A928" t="str">
            <v>1400|474110</v>
          </cell>
          <cell r="B928" t="str">
            <v>1400</v>
          </cell>
          <cell r="C928">
            <v>474110</v>
          </cell>
          <cell r="D928">
            <v>41244</v>
          </cell>
          <cell r="E928">
            <v>3690772</v>
          </cell>
          <cell r="F928">
            <v>3690772</v>
          </cell>
          <cell r="G928">
            <v>0</v>
          </cell>
          <cell r="H928">
            <v>307564</v>
          </cell>
          <cell r="I928">
            <v>0</v>
          </cell>
        </row>
        <row r="929">
          <cell r="A929" t="str">
            <v>1400|475002</v>
          </cell>
          <cell r="B929" t="str">
            <v>1400</v>
          </cell>
          <cell r="C929">
            <v>475002</v>
          </cell>
          <cell r="D929">
            <v>41244</v>
          </cell>
          <cell r="E929">
            <v>0</v>
          </cell>
          <cell r="F929">
            <v>0</v>
          </cell>
          <cell r="G929">
            <v>1338733</v>
          </cell>
          <cell r="H929">
            <v>0</v>
          </cell>
          <cell r="I929">
            <v>0</v>
          </cell>
        </row>
        <row r="930">
          <cell r="A930" t="str">
            <v>1400|475003</v>
          </cell>
          <cell r="B930" t="str">
            <v>1400</v>
          </cell>
          <cell r="C930">
            <v>475003</v>
          </cell>
          <cell r="D930">
            <v>41244</v>
          </cell>
          <cell r="E930">
            <v>1400000</v>
          </cell>
          <cell r="F930">
            <v>1400000</v>
          </cell>
          <cell r="G930">
            <v>0</v>
          </cell>
          <cell r="H930">
            <v>116667</v>
          </cell>
          <cell r="I930">
            <v>0</v>
          </cell>
        </row>
        <row r="931">
          <cell r="A931" t="str">
            <v>1400|475004</v>
          </cell>
          <cell r="B931" t="str">
            <v>1400</v>
          </cell>
          <cell r="C931">
            <v>475004</v>
          </cell>
          <cell r="D931">
            <v>41244</v>
          </cell>
          <cell r="E931">
            <v>26155740</v>
          </cell>
          <cell r="F931">
            <v>26155740</v>
          </cell>
          <cell r="G931">
            <v>42727726</v>
          </cell>
          <cell r="H931">
            <v>2179645</v>
          </cell>
          <cell r="I931">
            <v>7689500</v>
          </cell>
        </row>
        <row r="932">
          <cell r="A932" t="str">
            <v>1400|475005</v>
          </cell>
          <cell r="B932" t="str">
            <v>1400</v>
          </cell>
          <cell r="C932">
            <v>475005</v>
          </cell>
          <cell r="D932">
            <v>41244</v>
          </cell>
          <cell r="E932">
            <v>6095000</v>
          </cell>
          <cell r="F932">
            <v>6095000</v>
          </cell>
          <cell r="G932">
            <v>0</v>
          </cell>
          <cell r="H932">
            <v>507917</v>
          </cell>
          <cell r="I932">
            <v>0</v>
          </cell>
        </row>
        <row r="933">
          <cell r="A933" t="str">
            <v>1400|475006</v>
          </cell>
          <cell r="B933" t="str">
            <v>1400</v>
          </cell>
          <cell r="C933">
            <v>475006</v>
          </cell>
          <cell r="D933">
            <v>41244</v>
          </cell>
          <cell r="E933">
            <v>13060483</v>
          </cell>
          <cell r="F933">
            <v>13060483</v>
          </cell>
          <cell r="G933">
            <v>10899384</v>
          </cell>
          <cell r="H933">
            <v>1088374</v>
          </cell>
          <cell r="I933">
            <v>908282</v>
          </cell>
        </row>
        <row r="934">
          <cell r="A934" t="str">
            <v>1400|476000</v>
          </cell>
          <cell r="B934" t="str">
            <v>1400</v>
          </cell>
          <cell r="C934">
            <v>476000</v>
          </cell>
          <cell r="D934">
            <v>41244</v>
          </cell>
          <cell r="E934">
            <v>0</v>
          </cell>
          <cell r="F934">
            <v>0</v>
          </cell>
          <cell r="G934">
            <v>3016430</v>
          </cell>
          <cell r="H934">
            <v>0</v>
          </cell>
          <cell r="I934">
            <v>619760</v>
          </cell>
        </row>
        <row r="935">
          <cell r="A935" t="str">
            <v>1400|476001</v>
          </cell>
          <cell r="B935" t="str">
            <v>1400</v>
          </cell>
          <cell r="C935">
            <v>476001</v>
          </cell>
          <cell r="D935">
            <v>41244</v>
          </cell>
          <cell r="E935">
            <v>809199</v>
          </cell>
          <cell r="F935">
            <v>809199</v>
          </cell>
          <cell r="G935">
            <v>804346</v>
          </cell>
          <cell r="H935">
            <v>67433</v>
          </cell>
          <cell r="I935">
            <v>716483</v>
          </cell>
        </row>
        <row r="936">
          <cell r="A936" t="str">
            <v>1400|476002</v>
          </cell>
          <cell r="B936" t="str">
            <v>1400</v>
          </cell>
          <cell r="C936">
            <v>476002</v>
          </cell>
          <cell r="D936">
            <v>41244</v>
          </cell>
          <cell r="E936">
            <v>527323</v>
          </cell>
          <cell r="F936">
            <v>527323</v>
          </cell>
          <cell r="G936">
            <v>0</v>
          </cell>
          <cell r="H936">
            <v>43944</v>
          </cell>
          <cell r="I936">
            <v>0</v>
          </cell>
        </row>
        <row r="937">
          <cell r="A937" t="str">
            <v>1400|476220</v>
          </cell>
          <cell r="B937" t="str">
            <v>1400</v>
          </cell>
          <cell r="C937">
            <v>476220</v>
          </cell>
          <cell r="D937">
            <v>41244</v>
          </cell>
          <cell r="E937">
            <v>3281544</v>
          </cell>
          <cell r="F937">
            <v>3281544</v>
          </cell>
          <cell r="G937">
            <v>16930232</v>
          </cell>
          <cell r="H937">
            <v>273462</v>
          </cell>
          <cell r="I937">
            <v>0</v>
          </cell>
        </row>
        <row r="938">
          <cell r="A938" t="str">
            <v>1400|476900</v>
          </cell>
          <cell r="B938" t="str">
            <v>1400</v>
          </cell>
          <cell r="C938">
            <v>476900</v>
          </cell>
          <cell r="D938">
            <v>41244</v>
          </cell>
          <cell r="E938">
            <v>1978350</v>
          </cell>
          <cell r="F938">
            <v>1978350</v>
          </cell>
          <cell r="G938">
            <v>0</v>
          </cell>
          <cell r="H938">
            <v>164862</v>
          </cell>
          <cell r="I938">
            <v>0</v>
          </cell>
        </row>
        <row r="939">
          <cell r="A939" t="str">
            <v>1500|211100</v>
          </cell>
          <cell r="B939" t="str">
            <v>1500</v>
          </cell>
          <cell r="C939">
            <v>211100</v>
          </cell>
          <cell r="D939">
            <v>41244</v>
          </cell>
          <cell r="E939">
            <v>1078794289</v>
          </cell>
          <cell r="F939">
            <v>1078794289</v>
          </cell>
          <cell r="G939">
            <v>203268865</v>
          </cell>
          <cell r="H939">
            <v>89899524</v>
          </cell>
          <cell r="I939">
            <v>16686162</v>
          </cell>
        </row>
        <row r="940">
          <cell r="A940" t="str">
            <v>1500|246000</v>
          </cell>
          <cell r="B940" t="str">
            <v>1500</v>
          </cell>
          <cell r="C940">
            <v>246000</v>
          </cell>
          <cell r="D940">
            <v>41244</v>
          </cell>
          <cell r="E940">
            <v>18000000</v>
          </cell>
          <cell r="F940">
            <v>18000000</v>
          </cell>
          <cell r="G940">
            <v>0</v>
          </cell>
          <cell r="H940">
            <v>1500000</v>
          </cell>
          <cell r="I940">
            <v>0</v>
          </cell>
        </row>
        <row r="941">
          <cell r="A941" t="str">
            <v>1500|420002</v>
          </cell>
          <cell r="B941" t="str">
            <v>1500</v>
          </cell>
          <cell r="C941">
            <v>420002</v>
          </cell>
          <cell r="D941">
            <v>41244</v>
          </cell>
          <cell r="E941">
            <v>142607695</v>
          </cell>
          <cell r="F941">
            <v>142607695</v>
          </cell>
          <cell r="G941">
            <v>194918000</v>
          </cell>
          <cell r="H941">
            <v>11883975</v>
          </cell>
          <cell r="I941">
            <v>13341000</v>
          </cell>
        </row>
        <row r="942">
          <cell r="A942" t="str">
            <v>1500|420003</v>
          </cell>
          <cell r="B942" t="str">
            <v>1500</v>
          </cell>
          <cell r="C942">
            <v>420003</v>
          </cell>
          <cell r="D942">
            <v>41244</v>
          </cell>
          <cell r="E942">
            <v>129650465</v>
          </cell>
          <cell r="F942">
            <v>129650465</v>
          </cell>
          <cell r="G942">
            <v>127734765</v>
          </cell>
          <cell r="H942">
            <v>10804205</v>
          </cell>
          <cell r="I942">
            <v>10711937</v>
          </cell>
        </row>
        <row r="943">
          <cell r="A943" t="str">
            <v>1500|422002</v>
          </cell>
          <cell r="B943" t="str">
            <v>1500</v>
          </cell>
          <cell r="C943">
            <v>422002</v>
          </cell>
          <cell r="D943">
            <v>41244</v>
          </cell>
          <cell r="E943">
            <v>127810</v>
          </cell>
          <cell r="F943">
            <v>127810</v>
          </cell>
          <cell r="G943">
            <v>83100</v>
          </cell>
          <cell r="H943">
            <v>10651</v>
          </cell>
          <cell r="I943">
            <v>0</v>
          </cell>
        </row>
        <row r="944">
          <cell r="A944" t="str">
            <v>1500|422003</v>
          </cell>
          <cell r="B944" t="str">
            <v>1500</v>
          </cell>
          <cell r="C944">
            <v>422003</v>
          </cell>
          <cell r="D944">
            <v>41244</v>
          </cell>
          <cell r="E944">
            <v>742335</v>
          </cell>
          <cell r="F944">
            <v>742335</v>
          </cell>
          <cell r="G944">
            <v>429600</v>
          </cell>
          <cell r="H944">
            <v>61861</v>
          </cell>
          <cell r="I944">
            <v>0</v>
          </cell>
        </row>
        <row r="945">
          <cell r="A945" t="str">
            <v>1500|431002</v>
          </cell>
          <cell r="B945" t="str">
            <v>1500</v>
          </cell>
          <cell r="C945">
            <v>431002</v>
          </cell>
          <cell r="D945">
            <v>41244</v>
          </cell>
          <cell r="E945">
            <v>15974050</v>
          </cell>
          <cell r="F945">
            <v>15974050</v>
          </cell>
          <cell r="G945">
            <v>3497102</v>
          </cell>
          <cell r="H945">
            <v>1331171</v>
          </cell>
          <cell r="I945">
            <v>0</v>
          </cell>
        </row>
        <row r="946">
          <cell r="A946" t="str">
            <v>1500|434012</v>
          </cell>
          <cell r="B946" t="str">
            <v>1500</v>
          </cell>
          <cell r="C946">
            <v>434012</v>
          </cell>
          <cell r="D946">
            <v>41244</v>
          </cell>
          <cell r="E946">
            <v>11970750</v>
          </cell>
          <cell r="F946">
            <v>11970750</v>
          </cell>
          <cell r="G946">
            <v>16126846</v>
          </cell>
          <cell r="H946">
            <v>997562</v>
          </cell>
          <cell r="I946">
            <v>982145</v>
          </cell>
        </row>
        <row r="947">
          <cell r="A947" t="str">
            <v>1500|434013</v>
          </cell>
          <cell r="B947" t="str">
            <v>1500</v>
          </cell>
          <cell r="C947">
            <v>434013</v>
          </cell>
          <cell r="D947">
            <v>41244</v>
          </cell>
          <cell r="E947">
            <v>0</v>
          </cell>
          <cell r="F947">
            <v>0</v>
          </cell>
          <cell r="G947">
            <v>4244886</v>
          </cell>
          <cell r="H947">
            <v>0</v>
          </cell>
          <cell r="I947">
            <v>1366596</v>
          </cell>
        </row>
        <row r="948">
          <cell r="A948" t="str">
            <v>1500|435002</v>
          </cell>
          <cell r="B948" t="str">
            <v>1500</v>
          </cell>
          <cell r="C948">
            <v>435002</v>
          </cell>
          <cell r="D948">
            <v>41244</v>
          </cell>
          <cell r="E948">
            <v>11883975</v>
          </cell>
          <cell r="F948">
            <v>11883975</v>
          </cell>
          <cell r="G948">
            <v>13341000</v>
          </cell>
          <cell r="H948">
            <v>990331</v>
          </cell>
          <cell r="I948">
            <v>13341000</v>
          </cell>
        </row>
        <row r="949">
          <cell r="A949" t="str">
            <v>1500|435003</v>
          </cell>
          <cell r="B949" t="str">
            <v>1500</v>
          </cell>
          <cell r="C949">
            <v>435003</v>
          </cell>
          <cell r="D949">
            <v>41244</v>
          </cell>
          <cell r="E949">
            <v>16206308</v>
          </cell>
          <cell r="F949">
            <v>16206308</v>
          </cell>
          <cell r="G949">
            <v>11893392</v>
          </cell>
          <cell r="H949">
            <v>1350526</v>
          </cell>
          <cell r="I949">
            <v>0</v>
          </cell>
        </row>
        <row r="950">
          <cell r="A950" t="str">
            <v>1500|439003</v>
          </cell>
          <cell r="B950" t="str">
            <v>1500</v>
          </cell>
          <cell r="C950">
            <v>439003</v>
          </cell>
          <cell r="D950">
            <v>41244</v>
          </cell>
          <cell r="E950">
            <v>44055634</v>
          </cell>
          <cell r="F950">
            <v>44055634</v>
          </cell>
          <cell r="G950">
            <v>67228313</v>
          </cell>
          <cell r="H950">
            <v>3671303</v>
          </cell>
          <cell r="I950">
            <v>8296600</v>
          </cell>
        </row>
        <row r="951">
          <cell r="A951" t="str">
            <v>1500|439008</v>
          </cell>
          <cell r="B951" t="str">
            <v>1500</v>
          </cell>
          <cell r="C951">
            <v>439008</v>
          </cell>
          <cell r="D951">
            <v>41244</v>
          </cell>
          <cell r="E951">
            <v>32737810</v>
          </cell>
          <cell r="F951">
            <v>32737810</v>
          </cell>
          <cell r="G951">
            <v>30157733</v>
          </cell>
          <cell r="H951">
            <v>2728151</v>
          </cell>
          <cell r="I951">
            <v>0</v>
          </cell>
        </row>
        <row r="952">
          <cell r="A952" t="str">
            <v>1500|439102</v>
          </cell>
          <cell r="B952" t="str">
            <v>1500</v>
          </cell>
          <cell r="C952">
            <v>439102</v>
          </cell>
          <cell r="D952">
            <v>41244</v>
          </cell>
          <cell r="E952">
            <v>0</v>
          </cell>
          <cell r="F952">
            <v>0</v>
          </cell>
          <cell r="G952">
            <v>500000</v>
          </cell>
          <cell r="H952">
            <v>0</v>
          </cell>
          <cell r="I952">
            <v>0</v>
          </cell>
        </row>
        <row r="953">
          <cell r="A953" t="str">
            <v>1500|439202</v>
          </cell>
          <cell r="B953" t="str">
            <v>1500</v>
          </cell>
          <cell r="C953">
            <v>439202</v>
          </cell>
          <cell r="D953">
            <v>41244</v>
          </cell>
          <cell r="E953">
            <v>0</v>
          </cell>
          <cell r="F953">
            <v>0</v>
          </cell>
          <cell r="G953">
            <v>209000</v>
          </cell>
          <cell r="H953">
            <v>0</v>
          </cell>
          <cell r="I953">
            <v>0</v>
          </cell>
        </row>
        <row r="954">
          <cell r="A954" t="str">
            <v>1500|439203</v>
          </cell>
          <cell r="B954" t="str">
            <v>1500</v>
          </cell>
          <cell r="C954">
            <v>439203</v>
          </cell>
          <cell r="D954">
            <v>41244</v>
          </cell>
          <cell r="E954">
            <v>0</v>
          </cell>
          <cell r="F954">
            <v>0</v>
          </cell>
          <cell r="G954">
            <v>316000</v>
          </cell>
          <cell r="H954">
            <v>0</v>
          </cell>
          <cell r="I954">
            <v>0</v>
          </cell>
        </row>
        <row r="955">
          <cell r="A955" t="str">
            <v>1500|440002</v>
          </cell>
          <cell r="B955" t="str">
            <v>1500</v>
          </cell>
          <cell r="C955">
            <v>440002</v>
          </cell>
          <cell r="D955">
            <v>41244</v>
          </cell>
          <cell r="E955">
            <v>21883975</v>
          </cell>
          <cell r="F955">
            <v>21883975</v>
          </cell>
          <cell r="G955">
            <v>16576365</v>
          </cell>
          <cell r="H955">
            <v>1823664</v>
          </cell>
          <cell r="I955">
            <v>558485</v>
          </cell>
        </row>
        <row r="956">
          <cell r="A956" t="str">
            <v>1500|440003</v>
          </cell>
          <cell r="B956" t="str">
            <v>1500</v>
          </cell>
          <cell r="C956">
            <v>440003</v>
          </cell>
          <cell r="D956">
            <v>41244</v>
          </cell>
          <cell r="E956">
            <v>16206308</v>
          </cell>
          <cell r="F956">
            <v>16206308</v>
          </cell>
          <cell r="G956">
            <v>8703246</v>
          </cell>
          <cell r="H956">
            <v>1350526</v>
          </cell>
          <cell r="I956">
            <v>989677</v>
          </cell>
        </row>
        <row r="957">
          <cell r="A957" t="str">
            <v>1500|446002</v>
          </cell>
          <cell r="B957" t="str">
            <v>1500</v>
          </cell>
          <cell r="C957">
            <v>446002</v>
          </cell>
          <cell r="D957">
            <v>41244</v>
          </cell>
          <cell r="E957">
            <v>11223487</v>
          </cell>
          <cell r="F957">
            <v>11223487</v>
          </cell>
          <cell r="G957">
            <v>6675247</v>
          </cell>
          <cell r="H957">
            <v>935291</v>
          </cell>
          <cell r="I957">
            <v>150000</v>
          </cell>
        </row>
        <row r="958">
          <cell r="A958" t="str">
            <v>1500|447002</v>
          </cell>
          <cell r="B958" t="str">
            <v>1500</v>
          </cell>
          <cell r="C958">
            <v>447002</v>
          </cell>
          <cell r="D958">
            <v>41244</v>
          </cell>
          <cell r="E958">
            <v>4145303</v>
          </cell>
          <cell r="F958">
            <v>4145303</v>
          </cell>
          <cell r="G958">
            <v>1052554</v>
          </cell>
          <cell r="H958">
            <v>345442</v>
          </cell>
          <cell r="I958">
            <v>72041</v>
          </cell>
        </row>
        <row r="959">
          <cell r="A959" t="str">
            <v>1500|447003</v>
          </cell>
          <cell r="B959" t="str">
            <v>1500</v>
          </cell>
          <cell r="C959">
            <v>447003</v>
          </cell>
          <cell r="D959">
            <v>41244</v>
          </cell>
          <cell r="E959">
            <v>829090</v>
          </cell>
          <cell r="F959">
            <v>829090</v>
          </cell>
          <cell r="G959">
            <v>1570314</v>
          </cell>
          <cell r="H959">
            <v>69091</v>
          </cell>
          <cell r="I959">
            <v>132021</v>
          </cell>
        </row>
        <row r="960">
          <cell r="A960" t="str">
            <v>1500|447012</v>
          </cell>
          <cell r="B960" t="str">
            <v>1500</v>
          </cell>
          <cell r="C960">
            <v>447012</v>
          </cell>
          <cell r="D960">
            <v>41244</v>
          </cell>
          <cell r="E960">
            <v>9769186</v>
          </cell>
          <cell r="F960">
            <v>9769186</v>
          </cell>
          <cell r="G960">
            <v>7211966</v>
          </cell>
          <cell r="H960">
            <v>814099</v>
          </cell>
          <cell r="I960">
            <v>493617</v>
          </cell>
        </row>
        <row r="961">
          <cell r="A961" t="str">
            <v>1500|447013</v>
          </cell>
          <cell r="B961" t="str">
            <v>1500</v>
          </cell>
          <cell r="C961">
            <v>447013</v>
          </cell>
          <cell r="D961">
            <v>41244</v>
          </cell>
          <cell r="E961">
            <v>3667884</v>
          </cell>
          <cell r="F961">
            <v>3667884</v>
          </cell>
          <cell r="G961">
            <v>3700740</v>
          </cell>
          <cell r="H961">
            <v>305658</v>
          </cell>
          <cell r="I961">
            <v>311133</v>
          </cell>
        </row>
        <row r="962">
          <cell r="A962" t="str">
            <v>1500|447022</v>
          </cell>
          <cell r="B962" t="str">
            <v>1500</v>
          </cell>
          <cell r="C962">
            <v>447022</v>
          </cell>
          <cell r="D962">
            <v>41244</v>
          </cell>
          <cell r="E962">
            <v>414530</v>
          </cell>
          <cell r="F962">
            <v>414530</v>
          </cell>
          <cell r="G962">
            <v>183987</v>
          </cell>
          <cell r="H962">
            <v>34544</v>
          </cell>
          <cell r="I962">
            <v>12600</v>
          </cell>
        </row>
        <row r="963">
          <cell r="A963" t="str">
            <v>1500|447023</v>
          </cell>
          <cell r="B963" t="str">
            <v>1500</v>
          </cell>
          <cell r="C963">
            <v>447023</v>
          </cell>
          <cell r="D963">
            <v>41244</v>
          </cell>
          <cell r="E963">
            <v>82909</v>
          </cell>
          <cell r="F963">
            <v>82909</v>
          </cell>
          <cell r="G963">
            <v>238964</v>
          </cell>
          <cell r="H963">
            <v>6909</v>
          </cell>
          <cell r="I963">
            <v>0</v>
          </cell>
        </row>
        <row r="964">
          <cell r="A964" t="str">
            <v>1500|448002</v>
          </cell>
          <cell r="B964" t="str">
            <v>1500</v>
          </cell>
          <cell r="C964">
            <v>448002</v>
          </cell>
          <cell r="D964">
            <v>41244</v>
          </cell>
          <cell r="E964">
            <v>12914857</v>
          </cell>
          <cell r="F964">
            <v>12914857</v>
          </cell>
          <cell r="G964">
            <v>5525600</v>
          </cell>
          <cell r="H964">
            <v>1076238</v>
          </cell>
          <cell r="I964">
            <v>406800</v>
          </cell>
        </row>
        <row r="965">
          <cell r="A965" t="str">
            <v>1500|448003</v>
          </cell>
          <cell r="B965" t="str">
            <v>1500</v>
          </cell>
          <cell r="C965">
            <v>448003</v>
          </cell>
          <cell r="D965">
            <v>41244</v>
          </cell>
          <cell r="E965">
            <v>15382279</v>
          </cell>
          <cell r="F965">
            <v>15382279</v>
          </cell>
          <cell r="G965">
            <v>2474100</v>
          </cell>
          <cell r="H965">
            <v>1281857</v>
          </cell>
          <cell r="I965">
            <v>0</v>
          </cell>
        </row>
        <row r="966">
          <cell r="A966" t="str">
            <v>1500|449022</v>
          </cell>
          <cell r="B966" t="str">
            <v>1500</v>
          </cell>
          <cell r="C966">
            <v>449022</v>
          </cell>
          <cell r="D966">
            <v>41244</v>
          </cell>
          <cell r="E966">
            <v>7920000</v>
          </cell>
          <cell r="F966">
            <v>7920000</v>
          </cell>
          <cell r="G966">
            <v>4869000</v>
          </cell>
          <cell r="H966">
            <v>660000</v>
          </cell>
          <cell r="I966">
            <v>357000</v>
          </cell>
        </row>
        <row r="967">
          <cell r="A967" t="str">
            <v>1500|449023</v>
          </cell>
          <cell r="B967" t="str">
            <v>1500</v>
          </cell>
          <cell r="C967">
            <v>449023</v>
          </cell>
          <cell r="D967">
            <v>41244</v>
          </cell>
          <cell r="E967">
            <v>3960000</v>
          </cell>
          <cell r="F967">
            <v>3960000</v>
          </cell>
          <cell r="G967">
            <v>4350000</v>
          </cell>
          <cell r="H967">
            <v>330000</v>
          </cell>
          <cell r="I967">
            <v>399000</v>
          </cell>
        </row>
        <row r="968">
          <cell r="A968" t="str">
            <v>1500|449032</v>
          </cell>
          <cell r="B968" t="str">
            <v>1500</v>
          </cell>
          <cell r="C968">
            <v>449032</v>
          </cell>
          <cell r="D968">
            <v>41244</v>
          </cell>
          <cell r="E968">
            <v>5932694</v>
          </cell>
          <cell r="F968">
            <v>5932694</v>
          </cell>
          <cell r="G968">
            <v>8250000</v>
          </cell>
          <cell r="H968">
            <v>494391</v>
          </cell>
          <cell r="I968">
            <v>4650000</v>
          </cell>
        </row>
        <row r="969">
          <cell r="A969" t="str">
            <v>1500|449040</v>
          </cell>
          <cell r="B969" t="str">
            <v>1500</v>
          </cell>
          <cell r="C969">
            <v>449040</v>
          </cell>
          <cell r="D969">
            <v>41244</v>
          </cell>
          <cell r="E969">
            <v>17242500</v>
          </cell>
          <cell r="F969">
            <v>17242500</v>
          </cell>
          <cell r="G969">
            <v>12482500</v>
          </cell>
          <cell r="H969">
            <v>1436875</v>
          </cell>
          <cell r="I969">
            <v>1565000</v>
          </cell>
        </row>
        <row r="970">
          <cell r="A970" t="str">
            <v>1500|449061</v>
          </cell>
          <cell r="B970" t="str">
            <v>1500</v>
          </cell>
          <cell r="C970">
            <v>449061</v>
          </cell>
          <cell r="D970">
            <v>41244</v>
          </cell>
          <cell r="E970">
            <v>10000000</v>
          </cell>
          <cell r="F970">
            <v>10000000</v>
          </cell>
          <cell r="G970">
            <v>9783850</v>
          </cell>
          <cell r="H970">
            <v>833334</v>
          </cell>
          <cell r="I970">
            <v>3006400</v>
          </cell>
        </row>
        <row r="971">
          <cell r="A971" t="str">
            <v>1500|451000</v>
          </cell>
          <cell r="B971" t="str">
            <v>1500</v>
          </cell>
          <cell r="C971">
            <v>451000</v>
          </cell>
          <cell r="D971">
            <v>41244</v>
          </cell>
          <cell r="E971">
            <v>4880500</v>
          </cell>
          <cell r="F971">
            <v>4880500</v>
          </cell>
          <cell r="G971">
            <v>4469500</v>
          </cell>
          <cell r="H971">
            <v>406708</v>
          </cell>
          <cell r="I971">
            <v>4924000</v>
          </cell>
        </row>
        <row r="972">
          <cell r="A972" t="str">
            <v>1500|459000</v>
          </cell>
          <cell r="B972" t="str">
            <v>1500</v>
          </cell>
          <cell r="C972">
            <v>459000</v>
          </cell>
          <cell r="D972">
            <v>41244</v>
          </cell>
          <cell r="E972">
            <v>21417500</v>
          </cell>
          <cell r="F972">
            <v>21417500</v>
          </cell>
          <cell r="G972">
            <v>15950000</v>
          </cell>
          <cell r="H972">
            <v>1784798</v>
          </cell>
          <cell r="I972">
            <v>12750000</v>
          </cell>
        </row>
        <row r="973">
          <cell r="A973" t="str">
            <v>1500|459003</v>
          </cell>
          <cell r="B973" t="str">
            <v>1500</v>
          </cell>
          <cell r="C973">
            <v>459003</v>
          </cell>
          <cell r="D973">
            <v>41244</v>
          </cell>
          <cell r="E973">
            <v>1242775</v>
          </cell>
          <cell r="F973">
            <v>1242775</v>
          </cell>
          <cell r="G973">
            <v>0</v>
          </cell>
          <cell r="H973">
            <v>103565</v>
          </cell>
          <cell r="I973">
            <v>0</v>
          </cell>
        </row>
        <row r="974">
          <cell r="A974" t="str">
            <v>1500|459004</v>
          </cell>
          <cell r="B974" t="str">
            <v>1500</v>
          </cell>
          <cell r="C974">
            <v>459004</v>
          </cell>
          <cell r="D974">
            <v>41244</v>
          </cell>
          <cell r="E974">
            <v>47278842</v>
          </cell>
          <cell r="F974">
            <v>47278842</v>
          </cell>
          <cell r="G974">
            <v>55174370</v>
          </cell>
          <cell r="H974">
            <v>3939903</v>
          </cell>
          <cell r="I974">
            <v>-6305314</v>
          </cell>
        </row>
        <row r="975">
          <cell r="A975" t="str">
            <v>1500|459005</v>
          </cell>
          <cell r="B975" t="str">
            <v>1500</v>
          </cell>
          <cell r="C975">
            <v>459005</v>
          </cell>
          <cell r="D975">
            <v>41244</v>
          </cell>
          <cell r="E975">
            <v>93734100</v>
          </cell>
          <cell r="F975">
            <v>93734100</v>
          </cell>
          <cell r="G975">
            <v>60751000</v>
          </cell>
          <cell r="H975">
            <v>7811174</v>
          </cell>
          <cell r="I975">
            <v>51661250</v>
          </cell>
        </row>
        <row r="976">
          <cell r="A976" t="str">
            <v>1500|470102</v>
          </cell>
          <cell r="B976" t="str">
            <v>1500</v>
          </cell>
          <cell r="C976">
            <v>470102</v>
          </cell>
          <cell r="D976">
            <v>41244</v>
          </cell>
          <cell r="E976">
            <v>3181635</v>
          </cell>
          <cell r="F976">
            <v>3181635</v>
          </cell>
          <cell r="G976">
            <v>3308254</v>
          </cell>
          <cell r="H976">
            <v>265136</v>
          </cell>
          <cell r="I976">
            <v>315001</v>
          </cell>
        </row>
        <row r="977">
          <cell r="A977" t="str">
            <v>1500|471000</v>
          </cell>
          <cell r="B977" t="str">
            <v>1500</v>
          </cell>
          <cell r="C977">
            <v>471000</v>
          </cell>
          <cell r="D977">
            <v>41244</v>
          </cell>
          <cell r="E977">
            <v>9240810</v>
          </cell>
          <cell r="F977">
            <v>9240810</v>
          </cell>
          <cell r="G977">
            <v>4083440</v>
          </cell>
          <cell r="H977">
            <v>770067</v>
          </cell>
          <cell r="I977">
            <v>0</v>
          </cell>
        </row>
        <row r="978">
          <cell r="A978" t="str">
            <v>1500|472000</v>
          </cell>
          <cell r="B978" t="str">
            <v>1500</v>
          </cell>
          <cell r="C978">
            <v>472000</v>
          </cell>
          <cell r="D978">
            <v>41244</v>
          </cell>
          <cell r="E978">
            <v>0</v>
          </cell>
          <cell r="F978">
            <v>0</v>
          </cell>
          <cell r="G978">
            <v>81000</v>
          </cell>
          <cell r="H978">
            <v>0</v>
          </cell>
          <cell r="I978">
            <v>0</v>
          </cell>
        </row>
        <row r="979">
          <cell r="A979" t="str">
            <v>1500|473000</v>
          </cell>
          <cell r="B979" t="str">
            <v>1500</v>
          </cell>
          <cell r="C979">
            <v>473000</v>
          </cell>
          <cell r="D979">
            <v>41244</v>
          </cell>
          <cell r="E979">
            <v>1573956</v>
          </cell>
          <cell r="F979">
            <v>1573956</v>
          </cell>
          <cell r="G979">
            <v>1539774</v>
          </cell>
          <cell r="H979">
            <v>131163</v>
          </cell>
          <cell r="I979">
            <v>172288</v>
          </cell>
        </row>
        <row r="980">
          <cell r="A980" t="str">
            <v>1500|473120</v>
          </cell>
          <cell r="B980" t="str">
            <v>1500</v>
          </cell>
          <cell r="C980">
            <v>473120</v>
          </cell>
          <cell r="D980">
            <v>41244</v>
          </cell>
          <cell r="E980">
            <v>253461200</v>
          </cell>
          <cell r="F980">
            <v>253461200</v>
          </cell>
          <cell r="G980">
            <v>-6066705</v>
          </cell>
          <cell r="H980">
            <v>21121768</v>
          </cell>
          <cell r="I980">
            <v>-78198093</v>
          </cell>
        </row>
        <row r="981">
          <cell r="A981" t="str">
            <v>1500|474100</v>
          </cell>
          <cell r="B981" t="str">
            <v>1500</v>
          </cell>
          <cell r="C981">
            <v>474100</v>
          </cell>
          <cell r="D981">
            <v>41244</v>
          </cell>
          <cell r="E981">
            <v>19950000</v>
          </cell>
          <cell r="F981">
            <v>19950000</v>
          </cell>
          <cell r="G981">
            <v>11283580</v>
          </cell>
          <cell r="H981">
            <v>1662500</v>
          </cell>
          <cell r="I981">
            <v>0</v>
          </cell>
        </row>
        <row r="982">
          <cell r="A982" t="str">
            <v>1500|474101</v>
          </cell>
          <cell r="B982" t="str">
            <v>1500</v>
          </cell>
          <cell r="C982">
            <v>474101</v>
          </cell>
          <cell r="D982">
            <v>41244</v>
          </cell>
          <cell r="E982">
            <v>0</v>
          </cell>
          <cell r="F982">
            <v>0</v>
          </cell>
          <cell r="G982">
            <v>-4350000</v>
          </cell>
          <cell r="H982">
            <v>0</v>
          </cell>
          <cell r="I982">
            <v>0</v>
          </cell>
        </row>
        <row r="983">
          <cell r="A983" t="str">
            <v>1500|475002</v>
          </cell>
          <cell r="B983" t="str">
            <v>1500</v>
          </cell>
          <cell r="C983">
            <v>475002</v>
          </cell>
          <cell r="D983">
            <v>41244</v>
          </cell>
          <cell r="E983">
            <v>0</v>
          </cell>
          <cell r="F983">
            <v>0</v>
          </cell>
          <cell r="G983">
            <v>-2767864</v>
          </cell>
          <cell r="H983">
            <v>0</v>
          </cell>
          <cell r="I983">
            <v>0</v>
          </cell>
        </row>
        <row r="984">
          <cell r="A984" t="str">
            <v>1500|475006</v>
          </cell>
          <cell r="B984" t="str">
            <v>1500</v>
          </cell>
          <cell r="C984">
            <v>475006</v>
          </cell>
          <cell r="D984">
            <v>41244</v>
          </cell>
          <cell r="E984">
            <v>3690281</v>
          </cell>
          <cell r="F984">
            <v>3690281</v>
          </cell>
          <cell r="G984">
            <v>0</v>
          </cell>
          <cell r="H984">
            <v>307523</v>
          </cell>
          <cell r="I984">
            <v>0</v>
          </cell>
        </row>
        <row r="985">
          <cell r="A985" t="str">
            <v>1500|476000</v>
          </cell>
          <cell r="B985" t="str">
            <v>1500</v>
          </cell>
          <cell r="C985">
            <v>476000</v>
          </cell>
          <cell r="D985">
            <v>41244</v>
          </cell>
          <cell r="E985">
            <v>11151300</v>
          </cell>
          <cell r="F985">
            <v>11151300</v>
          </cell>
          <cell r="G985">
            <v>5730269</v>
          </cell>
          <cell r="H985">
            <v>929275</v>
          </cell>
          <cell r="I985">
            <v>0</v>
          </cell>
        </row>
        <row r="986">
          <cell r="A986" t="str">
            <v>1500|476001</v>
          </cell>
          <cell r="B986" t="str">
            <v>1500</v>
          </cell>
          <cell r="C986">
            <v>476001</v>
          </cell>
          <cell r="D986">
            <v>41244</v>
          </cell>
          <cell r="E986">
            <v>756250</v>
          </cell>
          <cell r="F986">
            <v>756250</v>
          </cell>
          <cell r="G986">
            <v>2211575</v>
          </cell>
          <cell r="H986">
            <v>63021</v>
          </cell>
          <cell r="I986">
            <v>1926575</v>
          </cell>
        </row>
        <row r="987">
          <cell r="A987" t="str">
            <v>1500|476002</v>
          </cell>
          <cell r="B987" t="str">
            <v>1500</v>
          </cell>
          <cell r="C987">
            <v>476002</v>
          </cell>
          <cell r="D987">
            <v>41244</v>
          </cell>
          <cell r="E987">
            <v>798791</v>
          </cell>
          <cell r="F987">
            <v>798791</v>
          </cell>
          <cell r="G987">
            <v>0</v>
          </cell>
          <cell r="H987">
            <v>66566</v>
          </cell>
          <cell r="I987">
            <v>0</v>
          </cell>
        </row>
        <row r="988">
          <cell r="A988" t="str">
            <v>1500|476220</v>
          </cell>
          <cell r="B988" t="str">
            <v>1500</v>
          </cell>
          <cell r="C988">
            <v>476220</v>
          </cell>
          <cell r="D988">
            <v>41244</v>
          </cell>
          <cell r="E988">
            <v>17333200</v>
          </cell>
          <cell r="F988">
            <v>17333200</v>
          </cell>
          <cell r="G988">
            <v>9809444</v>
          </cell>
          <cell r="H988">
            <v>1444434</v>
          </cell>
          <cell r="I988">
            <v>8916176</v>
          </cell>
        </row>
        <row r="989">
          <cell r="A989" t="str">
            <v>1510|211100</v>
          </cell>
          <cell r="B989" t="str">
            <v>1510</v>
          </cell>
          <cell r="C989">
            <v>211100</v>
          </cell>
          <cell r="D989">
            <v>41244</v>
          </cell>
          <cell r="E989">
            <v>6002661</v>
          </cell>
          <cell r="F989">
            <v>6002661</v>
          </cell>
          <cell r="G989">
            <v>7151838</v>
          </cell>
          <cell r="H989">
            <v>500222</v>
          </cell>
          <cell r="I989">
            <v>583683</v>
          </cell>
        </row>
        <row r="990">
          <cell r="A990" t="str">
            <v>1510|405200</v>
          </cell>
          <cell r="B990" t="str">
            <v>1510</v>
          </cell>
          <cell r="C990">
            <v>405200</v>
          </cell>
          <cell r="D990">
            <v>41244</v>
          </cell>
          <cell r="E990">
            <v>0</v>
          </cell>
          <cell r="F990">
            <v>0</v>
          </cell>
          <cell r="G990">
            <v>-185000</v>
          </cell>
          <cell r="H990">
            <v>0</v>
          </cell>
          <cell r="I990">
            <v>0</v>
          </cell>
        </row>
        <row r="991">
          <cell r="A991" t="str">
            <v>1510|420002</v>
          </cell>
          <cell r="B991" t="str">
            <v>1510</v>
          </cell>
          <cell r="C991">
            <v>420002</v>
          </cell>
          <cell r="D991">
            <v>41244</v>
          </cell>
          <cell r="E991">
            <v>641734627</v>
          </cell>
          <cell r="F991">
            <v>641734627</v>
          </cell>
          <cell r="G991">
            <v>733270219</v>
          </cell>
          <cell r="H991">
            <v>53477886</v>
          </cell>
          <cell r="I991">
            <v>64492936</v>
          </cell>
        </row>
        <row r="992">
          <cell r="A992" t="str">
            <v>1510|420003</v>
          </cell>
          <cell r="B992" t="str">
            <v>1510</v>
          </cell>
          <cell r="C992">
            <v>420003</v>
          </cell>
          <cell r="D992">
            <v>41244</v>
          </cell>
          <cell r="E992">
            <v>826294745</v>
          </cell>
          <cell r="F992">
            <v>826294745</v>
          </cell>
          <cell r="G992">
            <v>753738261</v>
          </cell>
          <cell r="H992">
            <v>68857895</v>
          </cell>
          <cell r="I992">
            <v>71215726</v>
          </cell>
        </row>
        <row r="993">
          <cell r="A993" t="str">
            <v>1510|422002</v>
          </cell>
          <cell r="B993" t="str">
            <v>1510</v>
          </cell>
          <cell r="C993">
            <v>422002</v>
          </cell>
          <cell r="D993">
            <v>41244</v>
          </cell>
          <cell r="E993">
            <v>1649515</v>
          </cell>
          <cell r="F993">
            <v>1649515</v>
          </cell>
          <cell r="G993">
            <v>1062900</v>
          </cell>
          <cell r="H993">
            <v>137460</v>
          </cell>
          <cell r="I993">
            <v>0</v>
          </cell>
        </row>
        <row r="994">
          <cell r="A994" t="str">
            <v>1510|422003</v>
          </cell>
          <cell r="B994" t="str">
            <v>1510</v>
          </cell>
          <cell r="C994">
            <v>422003</v>
          </cell>
          <cell r="D994">
            <v>41244</v>
          </cell>
          <cell r="E994">
            <v>1133589</v>
          </cell>
          <cell r="F994">
            <v>1133589</v>
          </cell>
          <cell r="G994">
            <v>265200</v>
          </cell>
          <cell r="H994">
            <v>94466</v>
          </cell>
          <cell r="I994">
            <v>0</v>
          </cell>
        </row>
        <row r="995">
          <cell r="A995" t="str">
            <v>1510|431002</v>
          </cell>
          <cell r="B995" t="str">
            <v>1510</v>
          </cell>
          <cell r="C995">
            <v>431002</v>
          </cell>
          <cell r="D995">
            <v>41244</v>
          </cell>
          <cell r="E995">
            <v>85775992</v>
          </cell>
          <cell r="F995">
            <v>85775992</v>
          </cell>
          <cell r="G995">
            <v>129872085</v>
          </cell>
          <cell r="H995">
            <v>7147999</v>
          </cell>
          <cell r="I995">
            <v>7717027</v>
          </cell>
        </row>
        <row r="996">
          <cell r="A996" t="str">
            <v>1510|434012</v>
          </cell>
          <cell r="B996" t="str">
            <v>1510</v>
          </cell>
          <cell r="C996">
            <v>434012</v>
          </cell>
          <cell r="D996">
            <v>41244</v>
          </cell>
          <cell r="E996">
            <v>27252500</v>
          </cell>
          <cell r="F996">
            <v>27252500</v>
          </cell>
          <cell r="G996">
            <v>31853960</v>
          </cell>
          <cell r="H996">
            <v>2271042</v>
          </cell>
          <cell r="I996">
            <v>8839309</v>
          </cell>
        </row>
        <row r="997">
          <cell r="A997" t="str">
            <v>1510|434013</v>
          </cell>
          <cell r="B997" t="str">
            <v>1510</v>
          </cell>
          <cell r="C997">
            <v>434013</v>
          </cell>
          <cell r="D997">
            <v>41244</v>
          </cell>
          <cell r="E997">
            <v>0</v>
          </cell>
          <cell r="F997">
            <v>0</v>
          </cell>
          <cell r="G997">
            <v>16979550</v>
          </cell>
          <cell r="H997">
            <v>0</v>
          </cell>
          <cell r="I997">
            <v>5466384</v>
          </cell>
        </row>
        <row r="998">
          <cell r="A998" t="str">
            <v>1510|435002</v>
          </cell>
          <cell r="B998" t="str">
            <v>1510</v>
          </cell>
          <cell r="C998">
            <v>435002</v>
          </cell>
          <cell r="D998">
            <v>41244</v>
          </cell>
          <cell r="E998">
            <v>53477886</v>
          </cell>
          <cell r="F998">
            <v>53477886</v>
          </cell>
          <cell r="G998">
            <v>61544000</v>
          </cell>
          <cell r="H998">
            <v>4456490</v>
          </cell>
          <cell r="I998">
            <v>61544000</v>
          </cell>
        </row>
        <row r="999">
          <cell r="A999" t="str">
            <v>1510|435003</v>
          </cell>
          <cell r="B999" t="str">
            <v>1510</v>
          </cell>
          <cell r="C999">
            <v>435003</v>
          </cell>
          <cell r="D999">
            <v>41244</v>
          </cell>
          <cell r="E999">
            <v>107743729</v>
          </cell>
          <cell r="F999">
            <v>107743729</v>
          </cell>
          <cell r="G999">
            <v>72810201</v>
          </cell>
          <cell r="H999">
            <v>8978644</v>
          </cell>
          <cell r="I999">
            <v>0</v>
          </cell>
        </row>
        <row r="1000">
          <cell r="A1000" t="str">
            <v>1510|439003</v>
          </cell>
          <cell r="B1000" t="str">
            <v>1510</v>
          </cell>
          <cell r="C1000">
            <v>439003</v>
          </cell>
          <cell r="D1000">
            <v>41244</v>
          </cell>
          <cell r="E1000">
            <v>176222535</v>
          </cell>
          <cell r="F1000">
            <v>176222535</v>
          </cell>
          <cell r="G1000">
            <v>248151720</v>
          </cell>
          <cell r="H1000">
            <v>14685211</v>
          </cell>
          <cell r="I1000">
            <v>33186399</v>
          </cell>
        </row>
        <row r="1001">
          <cell r="A1001" t="str">
            <v>1510|439008</v>
          </cell>
          <cell r="B1001" t="str">
            <v>1510</v>
          </cell>
          <cell r="C1001">
            <v>439008</v>
          </cell>
          <cell r="D1001">
            <v>41244</v>
          </cell>
          <cell r="E1001">
            <v>147320146</v>
          </cell>
          <cell r="F1001">
            <v>147320146</v>
          </cell>
          <cell r="G1001">
            <v>194543215</v>
          </cell>
          <cell r="H1001">
            <v>12276679</v>
          </cell>
          <cell r="I1001">
            <v>0</v>
          </cell>
        </row>
        <row r="1002">
          <cell r="A1002" t="str">
            <v>1510|439202</v>
          </cell>
          <cell r="B1002" t="str">
            <v>1510</v>
          </cell>
          <cell r="C1002">
            <v>439202</v>
          </cell>
          <cell r="D1002">
            <v>41244</v>
          </cell>
          <cell r="E1002">
            <v>18000000</v>
          </cell>
          <cell r="F1002">
            <v>18000000</v>
          </cell>
          <cell r="G1002">
            <v>20444000</v>
          </cell>
          <cell r="H1002">
            <v>1500000</v>
          </cell>
          <cell r="I1002">
            <v>1875000</v>
          </cell>
        </row>
        <row r="1003">
          <cell r="A1003" t="str">
            <v>1510|439203</v>
          </cell>
          <cell r="B1003" t="str">
            <v>1510</v>
          </cell>
          <cell r="C1003">
            <v>439203</v>
          </cell>
          <cell r="D1003">
            <v>41244</v>
          </cell>
          <cell r="E1003">
            <v>6000000</v>
          </cell>
          <cell r="F1003">
            <v>6000000</v>
          </cell>
          <cell r="G1003">
            <v>6016000</v>
          </cell>
          <cell r="H1003">
            <v>500000</v>
          </cell>
          <cell r="I1003">
            <v>500000</v>
          </cell>
        </row>
        <row r="1004">
          <cell r="A1004" t="str">
            <v>1510|440002</v>
          </cell>
          <cell r="B1004" t="str">
            <v>1510</v>
          </cell>
          <cell r="C1004">
            <v>440002</v>
          </cell>
          <cell r="D1004">
            <v>41244</v>
          </cell>
          <cell r="E1004">
            <v>83477886</v>
          </cell>
          <cell r="F1004">
            <v>83477886</v>
          </cell>
          <cell r="G1004">
            <v>67406215</v>
          </cell>
          <cell r="H1004">
            <v>6956490</v>
          </cell>
          <cell r="I1004">
            <v>5026361</v>
          </cell>
        </row>
        <row r="1005">
          <cell r="A1005" t="str">
            <v>1510|440003</v>
          </cell>
          <cell r="B1005" t="str">
            <v>1510</v>
          </cell>
          <cell r="C1005">
            <v>440003</v>
          </cell>
          <cell r="D1005">
            <v>41244</v>
          </cell>
          <cell r="E1005">
            <v>82633358</v>
          </cell>
          <cell r="F1005">
            <v>82633358</v>
          </cell>
          <cell r="G1005">
            <v>50661773</v>
          </cell>
          <cell r="H1005">
            <v>6886113</v>
          </cell>
          <cell r="I1005">
            <v>6579627</v>
          </cell>
        </row>
        <row r="1006">
          <cell r="A1006" t="str">
            <v>1510|446002</v>
          </cell>
          <cell r="B1006" t="str">
            <v>1510</v>
          </cell>
          <cell r="C1006">
            <v>446002</v>
          </cell>
          <cell r="D1006">
            <v>41244</v>
          </cell>
          <cell r="E1006">
            <v>26738943</v>
          </cell>
          <cell r="F1006">
            <v>26738943</v>
          </cell>
          <cell r="G1006">
            <v>20903629</v>
          </cell>
          <cell r="H1006">
            <v>2228245</v>
          </cell>
          <cell r="I1006">
            <v>650000</v>
          </cell>
        </row>
        <row r="1007">
          <cell r="A1007" t="str">
            <v>1510|447002</v>
          </cell>
          <cell r="B1007" t="str">
            <v>1510</v>
          </cell>
          <cell r="C1007">
            <v>447002</v>
          </cell>
          <cell r="D1007">
            <v>41244</v>
          </cell>
          <cell r="E1007">
            <v>18653865</v>
          </cell>
          <cell r="F1007">
            <v>18653865</v>
          </cell>
          <cell r="G1007">
            <v>5395644</v>
          </cell>
          <cell r="H1007">
            <v>1554489</v>
          </cell>
          <cell r="I1007">
            <v>479855</v>
          </cell>
        </row>
        <row r="1008">
          <cell r="A1008" t="str">
            <v>1510|447003</v>
          </cell>
          <cell r="B1008" t="str">
            <v>1510</v>
          </cell>
          <cell r="C1008">
            <v>447003</v>
          </cell>
          <cell r="D1008">
            <v>41244</v>
          </cell>
          <cell r="E1008">
            <v>7321992</v>
          </cell>
          <cell r="F1008">
            <v>7321992</v>
          </cell>
          <cell r="G1008">
            <v>4186280</v>
          </cell>
          <cell r="H1008">
            <v>610166</v>
          </cell>
          <cell r="I1008">
            <v>392182</v>
          </cell>
        </row>
        <row r="1009">
          <cell r="A1009" t="str">
            <v>1510|447012</v>
          </cell>
          <cell r="B1009" t="str">
            <v>1510</v>
          </cell>
          <cell r="C1009">
            <v>447012</v>
          </cell>
          <cell r="D1009">
            <v>41244</v>
          </cell>
          <cell r="E1009">
            <v>43961338</v>
          </cell>
          <cell r="F1009">
            <v>43961338</v>
          </cell>
          <cell r="G1009">
            <v>27168086</v>
          </cell>
          <cell r="H1009">
            <v>3663445</v>
          </cell>
          <cell r="I1009">
            <v>2393679</v>
          </cell>
        </row>
        <row r="1010">
          <cell r="A1010" t="str">
            <v>1510|447013</v>
          </cell>
          <cell r="B1010" t="str">
            <v>1510</v>
          </cell>
          <cell r="C1010">
            <v>447013</v>
          </cell>
          <cell r="D1010">
            <v>41244</v>
          </cell>
          <cell r="E1010">
            <v>22910740</v>
          </cell>
          <cell r="F1010">
            <v>22910740</v>
          </cell>
          <cell r="G1010">
            <v>24243686</v>
          </cell>
          <cell r="H1010">
            <v>1909229</v>
          </cell>
          <cell r="I1010">
            <v>2131386</v>
          </cell>
        </row>
        <row r="1011">
          <cell r="A1011" t="str">
            <v>1510|447022</v>
          </cell>
          <cell r="B1011" t="str">
            <v>1510</v>
          </cell>
          <cell r="C1011">
            <v>447022</v>
          </cell>
          <cell r="D1011">
            <v>41244</v>
          </cell>
          <cell r="E1011">
            <v>1865386</v>
          </cell>
          <cell r="F1011">
            <v>1865386</v>
          </cell>
          <cell r="G1011">
            <v>825301</v>
          </cell>
          <cell r="H1011">
            <v>155449</v>
          </cell>
          <cell r="I1011">
            <v>68050</v>
          </cell>
        </row>
        <row r="1012">
          <cell r="A1012" t="str">
            <v>1510|447023</v>
          </cell>
          <cell r="B1012" t="str">
            <v>1510</v>
          </cell>
          <cell r="C1012">
            <v>447023</v>
          </cell>
          <cell r="D1012">
            <v>41244</v>
          </cell>
          <cell r="E1012">
            <v>732199</v>
          </cell>
          <cell r="F1012">
            <v>732199</v>
          </cell>
          <cell r="G1012">
            <v>918061</v>
          </cell>
          <cell r="H1012">
            <v>61017</v>
          </cell>
          <cell r="I1012">
            <v>45000</v>
          </cell>
        </row>
        <row r="1013">
          <cell r="A1013" t="str">
            <v>1510|448002</v>
          </cell>
          <cell r="B1013" t="str">
            <v>1510</v>
          </cell>
          <cell r="C1013">
            <v>448002</v>
          </cell>
          <cell r="D1013">
            <v>41244</v>
          </cell>
          <cell r="E1013">
            <v>90829751</v>
          </cell>
          <cell r="F1013">
            <v>90829751</v>
          </cell>
          <cell r="G1013">
            <v>56645814</v>
          </cell>
          <cell r="H1013">
            <v>7569146</v>
          </cell>
          <cell r="I1013">
            <v>4786300</v>
          </cell>
        </row>
        <row r="1014">
          <cell r="A1014" t="str">
            <v>1510|448003</v>
          </cell>
          <cell r="B1014" t="str">
            <v>1510</v>
          </cell>
          <cell r="C1014">
            <v>448003</v>
          </cell>
          <cell r="D1014">
            <v>41244</v>
          </cell>
          <cell r="E1014">
            <v>77389289</v>
          </cell>
          <cell r="F1014">
            <v>77389289</v>
          </cell>
          <cell r="G1014">
            <v>8575358</v>
          </cell>
          <cell r="H1014">
            <v>6449107</v>
          </cell>
          <cell r="I1014">
            <v>0</v>
          </cell>
        </row>
        <row r="1015">
          <cell r="A1015" t="str">
            <v>1510|449022</v>
          </cell>
          <cell r="B1015" t="str">
            <v>1510</v>
          </cell>
          <cell r="C1015">
            <v>449022</v>
          </cell>
          <cell r="D1015">
            <v>41244</v>
          </cell>
          <cell r="E1015">
            <v>35640000</v>
          </cell>
          <cell r="F1015">
            <v>35640000</v>
          </cell>
          <cell r="G1015">
            <v>30794000</v>
          </cell>
          <cell r="H1015">
            <v>2970000</v>
          </cell>
          <cell r="I1015">
            <v>2907000</v>
          </cell>
        </row>
        <row r="1016">
          <cell r="A1016" t="str">
            <v>1510|449023</v>
          </cell>
          <cell r="B1016" t="str">
            <v>1510</v>
          </cell>
          <cell r="C1016">
            <v>449023</v>
          </cell>
          <cell r="D1016">
            <v>41244</v>
          </cell>
          <cell r="E1016">
            <v>41370000</v>
          </cell>
          <cell r="F1016">
            <v>41370000</v>
          </cell>
          <cell r="G1016">
            <v>29336762</v>
          </cell>
          <cell r="H1016">
            <v>3447500</v>
          </cell>
          <cell r="I1016">
            <v>2931000</v>
          </cell>
        </row>
        <row r="1017">
          <cell r="A1017" t="str">
            <v>1510|449032</v>
          </cell>
          <cell r="B1017" t="str">
            <v>1510</v>
          </cell>
          <cell r="C1017">
            <v>449032</v>
          </cell>
          <cell r="D1017">
            <v>41244</v>
          </cell>
          <cell r="E1017">
            <v>66922118</v>
          </cell>
          <cell r="F1017">
            <v>66922118</v>
          </cell>
          <cell r="G1017">
            <v>64507410</v>
          </cell>
          <cell r="H1017">
            <v>5576843</v>
          </cell>
          <cell r="I1017">
            <v>40000000</v>
          </cell>
        </row>
        <row r="1018">
          <cell r="A1018" t="str">
            <v>1510|449040</v>
          </cell>
          <cell r="B1018" t="str">
            <v>1510</v>
          </cell>
          <cell r="C1018">
            <v>449040</v>
          </cell>
          <cell r="D1018">
            <v>41244</v>
          </cell>
          <cell r="E1018">
            <v>13071500</v>
          </cell>
          <cell r="F1018">
            <v>13071500</v>
          </cell>
          <cell r="G1018">
            <v>12343600</v>
          </cell>
          <cell r="H1018">
            <v>1089293</v>
          </cell>
          <cell r="I1018">
            <v>0</v>
          </cell>
        </row>
        <row r="1019">
          <cell r="A1019" t="str">
            <v>1510|449050</v>
          </cell>
          <cell r="B1019" t="str">
            <v>1510</v>
          </cell>
          <cell r="C1019">
            <v>449050</v>
          </cell>
          <cell r="D1019">
            <v>41244</v>
          </cell>
          <cell r="E1019">
            <v>17433300</v>
          </cell>
          <cell r="F1019">
            <v>17433300</v>
          </cell>
          <cell r="G1019">
            <v>18733335</v>
          </cell>
          <cell r="H1019">
            <v>1452775</v>
          </cell>
          <cell r="I1019">
            <v>2466667</v>
          </cell>
        </row>
        <row r="1020">
          <cell r="A1020" t="str">
            <v>1510|449061</v>
          </cell>
          <cell r="B1020" t="str">
            <v>1510</v>
          </cell>
          <cell r="C1020">
            <v>449061</v>
          </cell>
          <cell r="D1020">
            <v>41244</v>
          </cell>
          <cell r="E1020">
            <v>61147100</v>
          </cell>
          <cell r="F1020">
            <v>61147100</v>
          </cell>
          <cell r="G1020">
            <v>66404650</v>
          </cell>
          <cell r="H1020">
            <v>5095591</v>
          </cell>
          <cell r="I1020">
            <v>5062300</v>
          </cell>
        </row>
        <row r="1021">
          <cell r="A1021" t="str">
            <v>1510|459000</v>
          </cell>
          <cell r="B1021" t="str">
            <v>1510</v>
          </cell>
          <cell r="C1021">
            <v>459000</v>
          </cell>
          <cell r="D1021">
            <v>41244</v>
          </cell>
          <cell r="E1021">
            <v>3400000</v>
          </cell>
          <cell r="F1021">
            <v>3400000</v>
          </cell>
          <cell r="G1021">
            <v>2545460</v>
          </cell>
          <cell r="H1021">
            <v>283333</v>
          </cell>
          <cell r="I1021">
            <v>0</v>
          </cell>
        </row>
        <row r="1022">
          <cell r="A1022" t="str">
            <v>1510|459002</v>
          </cell>
          <cell r="B1022" t="str">
            <v>1510</v>
          </cell>
          <cell r="C1022">
            <v>459002</v>
          </cell>
          <cell r="D1022">
            <v>41244</v>
          </cell>
          <cell r="E1022">
            <v>474095422</v>
          </cell>
          <cell r="F1022">
            <v>474095422</v>
          </cell>
          <cell r="G1022">
            <v>913546806</v>
          </cell>
          <cell r="H1022">
            <v>39507952</v>
          </cell>
          <cell r="I1022">
            <v>115267400</v>
          </cell>
        </row>
        <row r="1023">
          <cell r="A1023" t="str">
            <v>1510|459003</v>
          </cell>
          <cell r="B1023" t="str">
            <v>1510</v>
          </cell>
          <cell r="C1023">
            <v>459003</v>
          </cell>
          <cell r="D1023">
            <v>41244</v>
          </cell>
          <cell r="E1023">
            <v>806867142</v>
          </cell>
          <cell r="F1023">
            <v>806867142</v>
          </cell>
          <cell r="G1023">
            <v>705908206</v>
          </cell>
          <cell r="H1023">
            <v>67238928</v>
          </cell>
          <cell r="I1023">
            <v>-267629905</v>
          </cell>
        </row>
        <row r="1024">
          <cell r="A1024" t="str">
            <v>1510|459004</v>
          </cell>
          <cell r="B1024" t="str">
            <v>1510</v>
          </cell>
          <cell r="C1024">
            <v>459004</v>
          </cell>
          <cell r="D1024">
            <v>41244</v>
          </cell>
          <cell r="E1024">
            <v>1581446962</v>
          </cell>
          <cell r="F1024">
            <v>1581446962</v>
          </cell>
          <cell r="G1024">
            <v>1819093492</v>
          </cell>
          <cell r="H1024">
            <v>131787247</v>
          </cell>
          <cell r="I1024">
            <v>169316167</v>
          </cell>
        </row>
        <row r="1025">
          <cell r="A1025" t="str">
            <v>1510|459005</v>
          </cell>
          <cell r="B1025" t="str">
            <v>1510</v>
          </cell>
          <cell r="C1025">
            <v>459005</v>
          </cell>
          <cell r="D1025">
            <v>41244</v>
          </cell>
          <cell r="E1025">
            <v>1175000</v>
          </cell>
          <cell r="F1025">
            <v>1175000</v>
          </cell>
          <cell r="G1025">
            <v>976751</v>
          </cell>
          <cell r="H1025">
            <v>97916</v>
          </cell>
          <cell r="I1025">
            <v>880692</v>
          </cell>
        </row>
        <row r="1026">
          <cell r="A1026" t="str">
            <v>1510|459006</v>
          </cell>
          <cell r="B1026" t="str">
            <v>1510</v>
          </cell>
          <cell r="C1026">
            <v>459006</v>
          </cell>
          <cell r="D1026">
            <v>41244</v>
          </cell>
          <cell r="E1026">
            <v>0</v>
          </cell>
          <cell r="F1026">
            <v>0</v>
          </cell>
          <cell r="G1026">
            <v>226997687</v>
          </cell>
          <cell r="H1026">
            <v>0</v>
          </cell>
          <cell r="I1026">
            <v>-105827600</v>
          </cell>
        </row>
        <row r="1027">
          <cell r="A1027" t="str">
            <v>1510|470102</v>
          </cell>
          <cell r="B1027" t="str">
            <v>1510</v>
          </cell>
          <cell r="C1027">
            <v>470102</v>
          </cell>
          <cell r="D1027">
            <v>41244</v>
          </cell>
          <cell r="E1027">
            <v>339723</v>
          </cell>
          <cell r="F1027">
            <v>339723</v>
          </cell>
          <cell r="G1027">
            <v>285676</v>
          </cell>
          <cell r="H1027">
            <v>28311</v>
          </cell>
          <cell r="I1027">
            <v>139470</v>
          </cell>
        </row>
        <row r="1028">
          <cell r="A1028" t="str">
            <v>1510|473000</v>
          </cell>
          <cell r="B1028" t="str">
            <v>1510</v>
          </cell>
          <cell r="C1028">
            <v>473000</v>
          </cell>
          <cell r="D1028">
            <v>41244</v>
          </cell>
          <cell r="E1028">
            <v>2753499</v>
          </cell>
          <cell r="F1028">
            <v>2753499</v>
          </cell>
          <cell r="G1028">
            <v>126277</v>
          </cell>
          <cell r="H1028">
            <v>229458</v>
          </cell>
          <cell r="I1028">
            <v>6000</v>
          </cell>
        </row>
        <row r="1029">
          <cell r="A1029" t="str">
            <v>1510|473120</v>
          </cell>
          <cell r="B1029" t="str">
            <v>1510</v>
          </cell>
          <cell r="C1029">
            <v>473120</v>
          </cell>
          <cell r="D1029">
            <v>41244</v>
          </cell>
          <cell r="E1029">
            <v>20469218</v>
          </cell>
          <cell r="F1029">
            <v>20469218</v>
          </cell>
          <cell r="G1029">
            <v>28535180</v>
          </cell>
          <cell r="H1029">
            <v>1705768</v>
          </cell>
          <cell r="I1029">
            <v>8358314</v>
          </cell>
        </row>
        <row r="1030">
          <cell r="A1030" t="str">
            <v>1510|474100</v>
          </cell>
          <cell r="B1030" t="str">
            <v>1510</v>
          </cell>
          <cell r="C1030">
            <v>474100</v>
          </cell>
          <cell r="D1030">
            <v>41244</v>
          </cell>
          <cell r="E1030">
            <v>163831000</v>
          </cell>
          <cell r="F1030">
            <v>163831000</v>
          </cell>
          <cell r="G1030">
            <v>114797706</v>
          </cell>
          <cell r="H1030">
            <v>13652582</v>
          </cell>
          <cell r="I1030">
            <v>18638360</v>
          </cell>
        </row>
        <row r="1031">
          <cell r="A1031" t="str">
            <v>1510|474101</v>
          </cell>
          <cell r="B1031" t="str">
            <v>1510</v>
          </cell>
          <cell r="C1031">
            <v>474101</v>
          </cell>
          <cell r="D1031">
            <v>41244</v>
          </cell>
          <cell r="E1031">
            <v>10942000</v>
          </cell>
          <cell r="F1031">
            <v>10942000</v>
          </cell>
          <cell r="G1031">
            <v>2809367</v>
          </cell>
          <cell r="H1031">
            <v>911834</v>
          </cell>
          <cell r="I1031">
            <v>472000</v>
          </cell>
        </row>
        <row r="1032">
          <cell r="A1032" t="str">
            <v>1510|475002</v>
          </cell>
          <cell r="B1032" t="str">
            <v>1510</v>
          </cell>
          <cell r="C1032">
            <v>475002</v>
          </cell>
          <cell r="D1032">
            <v>41244</v>
          </cell>
          <cell r="E1032">
            <v>0</v>
          </cell>
          <cell r="F1032">
            <v>0</v>
          </cell>
          <cell r="G1032">
            <v>1170079</v>
          </cell>
          <cell r="H1032">
            <v>0</v>
          </cell>
          <cell r="I1032">
            <v>0</v>
          </cell>
        </row>
        <row r="1033">
          <cell r="A1033" t="str">
            <v>1510|475003</v>
          </cell>
          <cell r="B1033" t="str">
            <v>1510</v>
          </cell>
          <cell r="C1033">
            <v>475003</v>
          </cell>
          <cell r="D1033">
            <v>41244</v>
          </cell>
          <cell r="E1033">
            <v>577696</v>
          </cell>
          <cell r="F1033">
            <v>577696</v>
          </cell>
          <cell r="G1033">
            <v>1050000</v>
          </cell>
          <cell r="H1033">
            <v>48141</v>
          </cell>
          <cell r="I1033">
            <v>0</v>
          </cell>
        </row>
        <row r="1034">
          <cell r="A1034" t="str">
            <v>1510|475004</v>
          </cell>
          <cell r="B1034" t="str">
            <v>1510</v>
          </cell>
          <cell r="C1034">
            <v>475004</v>
          </cell>
          <cell r="D1034">
            <v>41244</v>
          </cell>
          <cell r="E1034">
            <v>24906000</v>
          </cell>
          <cell r="F1034">
            <v>24906000</v>
          </cell>
          <cell r="G1034">
            <v>24185938</v>
          </cell>
          <cell r="H1034">
            <v>2075500</v>
          </cell>
          <cell r="I1034">
            <v>0</v>
          </cell>
        </row>
        <row r="1035">
          <cell r="A1035" t="str">
            <v>1510|475005</v>
          </cell>
          <cell r="B1035" t="str">
            <v>1510</v>
          </cell>
          <cell r="C1035">
            <v>475005</v>
          </cell>
          <cell r="D1035">
            <v>41244</v>
          </cell>
          <cell r="E1035">
            <v>1966567</v>
          </cell>
          <cell r="F1035">
            <v>1966567</v>
          </cell>
          <cell r="G1035">
            <v>0</v>
          </cell>
          <cell r="H1035">
            <v>163881</v>
          </cell>
          <cell r="I1035">
            <v>0</v>
          </cell>
        </row>
        <row r="1036">
          <cell r="A1036" t="str">
            <v>1510|475006</v>
          </cell>
          <cell r="B1036" t="str">
            <v>1510</v>
          </cell>
          <cell r="C1036">
            <v>475006</v>
          </cell>
          <cell r="D1036">
            <v>41244</v>
          </cell>
          <cell r="E1036">
            <v>8527200</v>
          </cell>
          <cell r="F1036">
            <v>8527200</v>
          </cell>
          <cell r="G1036">
            <v>5148756</v>
          </cell>
          <cell r="H1036">
            <v>710600</v>
          </cell>
          <cell r="I1036">
            <v>429063</v>
          </cell>
        </row>
        <row r="1037">
          <cell r="A1037" t="str">
            <v>1510|476000</v>
          </cell>
          <cell r="B1037" t="str">
            <v>1510</v>
          </cell>
          <cell r="C1037">
            <v>476000</v>
          </cell>
          <cell r="D1037">
            <v>41244</v>
          </cell>
          <cell r="E1037">
            <v>24634800</v>
          </cell>
          <cell r="F1037">
            <v>24634800</v>
          </cell>
          <cell r="G1037">
            <v>25354346</v>
          </cell>
          <cell r="H1037">
            <v>2052901</v>
          </cell>
          <cell r="I1037">
            <v>7804297</v>
          </cell>
        </row>
        <row r="1038">
          <cell r="A1038" t="str">
            <v>1510|476001</v>
          </cell>
          <cell r="B1038" t="str">
            <v>1510</v>
          </cell>
          <cell r="C1038">
            <v>476001</v>
          </cell>
          <cell r="D1038">
            <v>41244</v>
          </cell>
          <cell r="E1038">
            <v>1324065</v>
          </cell>
          <cell r="F1038">
            <v>1324065</v>
          </cell>
          <cell r="G1038">
            <v>858774</v>
          </cell>
          <cell r="H1038">
            <v>110339</v>
          </cell>
          <cell r="I1038">
            <v>0</v>
          </cell>
        </row>
        <row r="1039">
          <cell r="A1039" t="str">
            <v>1510|476220</v>
          </cell>
          <cell r="B1039" t="str">
            <v>1510</v>
          </cell>
          <cell r="C1039">
            <v>476220</v>
          </cell>
          <cell r="D1039">
            <v>41244</v>
          </cell>
          <cell r="E1039">
            <v>1800000</v>
          </cell>
          <cell r="F1039">
            <v>1800000</v>
          </cell>
          <cell r="G1039">
            <v>1717423</v>
          </cell>
          <cell r="H1039">
            <v>150000</v>
          </cell>
          <cell r="I1039">
            <v>128296</v>
          </cell>
        </row>
        <row r="1040">
          <cell r="A1040" t="str">
            <v>1510|476900</v>
          </cell>
          <cell r="B1040" t="str">
            <v>1510</v>
          </cell>
          <cell r="C1040">
            <v>476900</v>
          </cell>
          <cell r="D1040">
            <v>41244</v>
          </cell>
          <cell r="E1040">
            <v>7066000</v>
          </cell>
          <cell r="F1040">
            <v>7066000</v>
          </cell>
          <cell r="G1040">
            <v>6933019</v>
          </cell>
          <cell r="H1040">
            <v>588837</v>
          </cell>
          <cell r="I1040">
            <v>0</v>
          </cell>
        </row>
        <row r="1041">
          <cell r="A1041" t="str">
            <v>1550|211100</v>
          </cell>
          <cell r="B1041" t="str">
            <v>1550</v>
          </cell>
          <cell r="C1041">
            <v>211100</v>
          </cell>
          <cell r="D1041">
            <v>41244</v>
          </cell>
          <cell r="E1041">
            <v>4113811231</v>
          </cell>
          <cell r="F1041">
            <v>4113811231</v>
          </cell>
          <cell r="G1041">
            <v>4164865659</v>
          </cell>
          <cell r="H1041">
            <v>342817602</v>
          </cell>
          <cell r="I1041">
            <v>349419794</v>
          </cell>
        </row>
        <row r="1042">
          <cell r="A1042" t="str">
            <v>1550|246000</v>
          </cell>
          <cell r="B1042" t="str">
            <v>1550</v>
          </cell>
          <cell r="C1042">
            <v>246000</v>
          </cell>
          <cell r="D1042">
            <v>41244</v>
          </cell>
          <cell r="E1042">
            <v>24500000</v>
          </cell>
          <cell r="F1042">
            <v>24500000</v>
          </cell>
          <cell r="G1042">
            <v>0</v>
          </cell>
          <cell r="H1042">
            <v>2041667</v>
          </cell>
          <cell r="I1042">
            <v>0</v>
          </cell>
        </row>
        <row r="1043">
          <cell r="A1043" t="str">
            <v>1550|400040</v>
          </cell>
          <cell r="B1043" t="str">
            <v>1550</v>
          </cell>
          <cell r="C1043">
            <v>400040</v>
          </cell>
          <cell r="D1043">
            <v>41244</v>
          </cell>
          <cell r="E1043">
            <v>5000000</v>
          </cell>
          <cell r="F1043">
            <v>5000000</v>
          </cell>
          <cell r="G1043">
            <v>6665721</v>
          </cell>
          <cell r="H1043">
            <v>416667</v>
          </cell>
          <cell r="I1043">
            <v>344291</v>
          </cell>
        </row>
        <row r="1044">
          <cell r="A1044" t="str">
            <v>1550|420002</v>
          </cell>
          <cell r="B1044" t="str">
            <v>1550</v>
          </cell>
          <cell r="C1044">
            <v>420002</v>
          </cell>
          <cell r="D1044">
            <v>41244</v>
          </cell>
          <cell r="E1044">
            <v>348950767</v>
          </cell>
          <cell r="F1044">
            <v>348950767</v>
          </cell>
          <cell r="G1044">
            <v>367821000</v>
          </cell>
          <cell r="H1044">
            <v>29079230</v>
          </cell>
          <cell r="I1044">
            <v>35924000</v>
          </cell>
        </row>
        <row r="1045">
          <cell r="A1045" t="str">
            <v>1550|420003</v>
          </cell>
          <cell r="B1045" t="str">
            <v>1550</v>
          </cell>
          <cell r="C1045">
            <v>420003</v>
          </cell>
          <cell r="D1045">
            <v>41244</v>
          </cell>
          <cell r="E1045">
            <v>360752357</v>
          </cell>
          <cell r="F1045">
            <v>360752357</v>
          </cell>
          <cell r="G1045">
            <v>355421921</v>
          </cell>
          <cell r="H1045">
            <v>30062696</v>
          </cell>
          <cell r="I1045">
            <v>29805959</v>
          </cell>
        </row>
        <row r="1046">
          <cell r="A1046" t="str">
            <v>1550|422002</v>
          </cell>
          <cell r="B1046" t="str">
            <v>1550</v>
          </cell>
          <cell r="C1046">
            <v>422002</v>
          </cell>
          <cell r="D1046">
            <v>41244</v>
          </cell>
          <cell r="E1046">
            <v>762465</v>
          </cell>
          <cell r="F1046">
            <v>762465</v>
          </cell>
          <cell r="G1046">
            <v>437850</v>
          </cell>
          <cell r="H1046">
            <v>63539</v>
          </cell>
          <cell r="I1046">
            <v>0</v>
          </cell>
        </row>
        <row r="1047">
          <cell r="A1047" t="str">
            <v>1550|422003</v>
          </cell>
          <cell r="B1047" t="str">
            <v>1550</v>
          </cell>
          <cell r="C1047">
            <v>422003</v>
          </cell>
          <cell r="D1047">
            <v>41244</v>
          </cell>
          <cell r="E1047">
            <v>791036</v>
          </cell>
          <cell r="F1047">
            <v>791036</v>
          </cell>
          <cell r="G1047">
            <v>319200</v>
          </cell>
          <cell r="H1047">
            <v>65920</v>
          </cell>
          <cell r="I1047">
            <v>0</v>
          </cell>
        </row>
        <row r="1048">
          <cell r="A1048" t="str">
            <v>1550|431002</v>
          </cell>
          <cell r="B1048" t="str">
            <v>1550</v>
          </cell>
          <cell r="C1048">
            <v>431002</v>
          </cell>
          <cell r="D1048">
            <v>41244</v>
          </cell>
          <cell r="E1048">
            <v>100037156</v>
          </cell>
          <cell r="F1048">
            <v>100037156</v>
          </cell>
          <cell r="G1048">
            <v>199964950</v>
          </cell>
          <cell r="H1048">
            <v>8336430</v>
          </cell>
          <cell r="I1048">
            <v>22197424</v>
          </cell>
        </row>
        <row r="1049">
          <cell r="A1049" t="str">
            <v>1550|433003</v>
          </cell>
          <cell r="B1049" t="str">
            <v>1550</v>
          </cell>
          <cell r="C1049">
            <v>433003</v>
          </cell>
          <cell r="D1049">
            <v>41244</v>
          </cell>
          <cell r="E1049">
            <v>11746148</v>
          </cell>
          <cell r="F1049">
            <v>11746148</v>
          </cell>
          <cell r="G1049">
            <v>12109350</v>
          </cell>
          <cell r="H1049">
            <v>978846</v>
          </cell>
          <cell r="I1049">
            <v>1018075</v>
          </cell>
        </row>
        <row r="1050">
          <cell r="A1050" t="str">
            <v>1550|434012</v>
          </cell>
          <cell r="B1050" t="str">
            <v>1550</v>
          </cell>
          <cell r="C1050">
            <v>434012</v>
          </cell>
          <cell r="D1050">
            <v>41244</v>
          </cell>
          <cell r="E1050">
            <v>21072750</v>
          </cell>
          <cell r="F1050">
            <v>21072750</v>
          </cell>
          <cell r="G1050">
            <v>19950775</v>
          </cell>
          <cell r="H1050">
            <v>1756061</v>
          </cell>
          <cell r="I1050">
            <v>4910727</v>
          </cell>
        </row>
        <row r="1051">
          <cell r="A1051" t="str">
            <v>1550|434013</v>
          </cell>
          <cell r="B1051" t="str">
            <v>1550</v>
          </cell>
          <cell r="C1051">
            <v>434013</v>
          </cell>
          <cell r="D1051">
            <v>41244</v>
          </cell>
          <cell r="E1051">
            <v>0</v>
          </cell>
          <cell r="F1051">
            <v>0</v>
          </cell>
          <cell r="G1051">
            <v>8489777</v>
          </cell>
          <cell r="H1051">
            <v>0</v>
          </cell>
          <cell r="I1051">
            <v>2733193</v>
          </cell>
        </row>
        <row r="1052">
          <cell r="A1052" t="str">
            <v>1550|435002</v>
          </cell>
          <cell r="B1052" t="str">
            <v>1550</v>
          </cell>
          <cell r="C1052">
            <v>435002</v>
          </cell>
          <cell r="D1052">
            <v>41244</v>
          </cell>
          <cell r="E1052">
            <v>29709936</v>
          </cell>
          <cell r="F1052">
            <v>29709936</v>
          </cell>
          <cell r="G1052">
            <v>30879208</v>
          </cell>
          <cell r="H1052">
            <v>2475828</v>
          </cell>
          <cell r="I1052">
            <v>30879208</v>
          </cell>
        </row>
        <row r="1053">
          <cell r="A1053" t="str">
            <v>1550|435003</v>
          </cell>
          <cell r="B1053" t="str">
            <v>1550</v>
          </cell>
          <cell r="C1053">
            <v>435003</v>
          </cell>
          <cell r="D1053">
            <v>41244</v>
          </cell>
          <cell r="E1053">
            <v>45094045</v>
          </cell>
          <cell r="F1053">
            <v>45094045</v>
          </cell>
          <cell r="G1053">
            <v>48498244</v>
          </cell>
          <cell r="H1053">
            <v>3757837</v>
          </cell>
          <cell r="I1053">
            <v>0</v>
          </cell>
        </row>
        <row r="1054">
          <cell r="A1054" t="str">
            <v>1550|439003</v>
          </cell>
          <cell r="B1054" t="str">
            <v>1550</v>
          </cell>
          <cell r="C1054">
            <v>439003</v>
          </cell>
          <cell r="D1054">
            <v>41244</v>
          </cell>
          <cell r="E1054">
            <v>88111268</v>
          </cell>
          <cell r="F1054">
            <v>88111268</v>
          </cell>
          <cell r="G1054">
            <v>134456622</v>
          </cell>
          <cell r="H1054">
            <v>7342606</v>
          </cell>
          <cell r="I1054">
            <v>16593200</v>
          </cell>
        </row>
        <row r="1055">
          <cell r="A1055" t="str">
            <v>1550|439008</v>
          </cell>
          <cell r="B1055" t="str">
            <v>1550</v>
          </cell>
          <cell r="C1055">
            <v>439008</v>
          </cell>
          <cell r="D1055">
            <v>41244</v>
          </cell>
          <cell r="E1055">
            <v>81844525</v>
          </cell>
          <cell r="F1055">
            <v>81844525</v>
          </cell>
          <cell r="G1055">
            <v>92828515</v>
          </cell>
          <cell r="H1055">
            <v>6820377</v>
          </cell>
          <cell r="I1055">
            <v>0</v>
          </cell>
        </row>
        <row r="1056">
          <cell r="A1056" t="str">
            <v>1550|439102</v>
          </cell>
          <cell r="B1056" t="str">
            <v>1550</v>
          </cell>
          <cell r="C1056">
            <v>439102</v>
          </cell>
          <cell r="D1056">
            <v>41244</v>
          </cell>
          <cell r="E1056">
            <v>0</v>
          </cell>
          <cell r="F1056">
            <v>0</v>
          </cell>
          <cell r="G1056">
            <v>500000</v>
          </cell>
          <cell r="H1056">
            <v>0</v>
          </cell>
          <cell r="I1056">
            <v>0</v>
          </cell>
        </row>
        <row r="1057">
          <cell r="A1057" t="str">
            <v>1550|439202</v>
          </cell>
          <cell r="B1057" t="str">
            <v>1550</v>
          </cell>
          <cell r="C1057">
            <v>439202</v>
          </cell>
          <cell r="D1057">
            <v>41244</v>
          </cell>
          <cell r="E1057">
            <v>0</v>
          </cell>
          <cell r="F1057">
            <v>0</v>
          </cell>
          <cell r="G1057">
            <v>1162000</v>
          </cell>
          <cell r="H1057">
            <v>0</v>
          </cell>
          <cell r="I1057">
            <v>0</v>
          </cell>
        </row>
        <row r="1058">
          <cell r="A1058" t="str">
            <v>1550|439203</v>
          </cell>
          <cell r="B1058" t="str">
            <v>1550</v>
          </cell>
          <cell r="C1058">
            <v>439203</v>
          </cell>
          <cell r="D1058">
            <v>41244</v>
          </cell>
          <cell r="E1058">
            <v>0</v>
          </cell>
          <cell r="F1058">
            <v>0</v>
          </cell>
          <cell r="G1058">
            <v>1302000</v>
          </cell>
          <cell r="H1058">
            <v>0</v>
          </cell>
          <cell r="I1058">
            <v>0</v>
          </cell>
        </row>
        <row r="1059">
          <cell r="A1059" t="str">
            <v>1550|440002</v>
          </cell>
          <cell r="B1059" t="str">
            <v>1550</v>
          </cell>
          <cell r="C1059">
            <v>440002</v>
          </cell>
          <cell r="D1059">
            <v>41244</v>
          </cell>
          <cell r="E1059">
            <v>29709936</v>
          </cell>
          <cell r="F1059">
            <v>29709936</v>
          </cell>
          <cell r="G1059">
            <v>27226084</v>
          </cell>
          <cell r="H1059">
            <v>2475828</v>
          </cell>
          <cell r="I1059">
            <v>2792423</v>
          </cell>
        </row>
        <row r="1060">
          <cell r="A1060" t="str">
            <v>1550|440003</v>
          </cell>
          <cell r="B1060" t="str">
            <v>1550</v>
          </cell>
          <cell r="C1060">
            <v>440003</v>
          </cell>
          <cell r="D1060">
            <v>41244</v>
          </cell>
          <cell r="E1060">
            <v>35464799</v>
          </cell>
          <cell r="F1060">
            <v>35464799</v>
          </cell>
          <cell r="G1060">
            <v>33647740</v>
          </cell>
          <cell r="H1060">
            <v>2955400</v>
          </cell>
          <cell r="I1060">
            <v>2753775</v>
          </cell>
        </row>
        <row r="1061">
          <cell r="A1061" t="str">
            <v>1550|446002</v>
          </cell>
          <cell r="B1061" t="str">
            <v>1550</v>
          </cell>
          <cell r="C1061">
            <v>446002</v>
          </cell>
          <cell r="D1061">
            <v>41244</v>
          </cell>
          <cell r="E1061">
            <v>14854968</v>
          </cell>
          <cell r="F1061">
            <v>14854968</v>
          </cell>
          <cell r="G1061">
            <v>10747994</v>
          </cell>
          <cell r="H1061">
            <v>1237914</v>
          </cell>
          <cell r="I1061">
            <v>200000</v>
          </cell>
        </row>
        <row r="1062">
          <cell r="A1062" t="str">
            <v>1550|447002</v>
          </cell>
          <cell r="B1062" t="str">
            <v>1550</v>
          </cell>
          <cell r="C1062">
            <v>447002</v>
          </cell>
          <cell r="D1062">
            <v>41244</v>
          </cell>
          <cell r="E1062">
            <v>10363258</v>
          </cell>
          <cell r="F1062">
            <v>10363258</v>
          </cell>
          <cell r="G1062">
            <v>3506628</v>
          </cell>
          <cell r="H1062">
            <v>863605</v>
          </cell>
          <cell r="I1062">
            <v>373315</v>
          </cell>
        </row>
        <row r="1063">
          <cell r="A1063" t="str">
            <v>1550|447003</v>
          </cell>
          <cell r="B1063" t="str">
            <v>1550</v>
          </cell>
          <cell r="C1063">
            <v>447003</v>
          </cell>
          <cell r="D1063">
            <v>41244</v>
          </cell>
          <cell r="E1063">
            <v>2864602</v>
          </cell>
          <cell r="F1063">
            <v>2864602</v>
          </cell>
          <cell r="G1063">
            <v>2108598</v>
          </cell>
          <cell r="H1063">
            <v>238717</v>
          </cell>
          <cell r="I1063">
            <v>177278</v>
          </cell>
        </row>
        <row r="1064">
          <cell r="A1064" t="str">
            <v>1550|447012</v>
          </cell>
          <cell r="B1064" t="str">
            <v>1550</v>
          </cell>
          <cell r="C1064">
            <v>447012</v>
          </cell>
          <cell r="D1064">
            <v>41244</v>
          </cell>
          <cell r="E1064">
            <v>24422965</v>
          </cell>
          <cell r="F1064">
            <v>24422965</v>
          </cell>
          <cell r="G1064">
            <v>13609392</v>
          </cell>
          <cell r="H1064">
            <v>2035247</v>
          </cell>
          <cell r="I1064">
            <v>1329190</v>
          </cell>
        </row>
        <row r="1065">
          <cell r="A1065" t="str">
            <v>1550|447013</v>
          </cell>
          <cell r="B1065" t="str">
            <v>1550</v>
          </cell>
          <cell r="C1065">
            <v>447013</v>
          </cell>
          <cell r="D1065">
            <v>41244</v>
          </cell>
          <cell r="E1065">
            <v>14319444</v>
          </cell>
          <cell r="F1065">
            <v>14319444</v>
          </cell>
          <cell r="G1065">
            <v>14447766</v>
          </cell>
          <cell r="H1065">
            <v>1193287</v>
          </cell>
          <cell r="I1065">
            <v>1214674</v>
          </cell>
        </row>
        <row r="1066">
          <cell r="A1066" t="str">
            <v>1550|447022</v>
          </cell>
          <cell r="B1066" t="str">
            <v>1550</v>
          </cell>
          <cell r="C1066">
            <v>447022</v>
          </cell>
          <cell r="D1066">
            <v>41244</v>
          </cell>
          <cell r="E1066">
            <v>1036326</v>
          </cell>
          <cell r="F1066">
            <v>1036326</v>
          </cell>
          <cell r="G1066">
            <v>469371</v>
          </cell>
          <cell r="H1066">
            <v>86360</v>
          </cell>
          <cell r="I1066">
            <v>43900</v>
          </cell>
        </row>
        <row r="1067">
          <cell r="A1067" t="str">
            <v>1550|447023</v>
          </cell>
          <cell r="B1067" t="str">
            <v>1550</v>
          </cell>
          <cell r="C1067">
            <v>447023</v>
          </cell>
          <cell r="D1067">
            <v>41244</v>
          </cell>
          <cell r="E1067">
            <v>286460</v>
          </cell>
          <cell r="F1067">
            <v>286460</v>
          </cell>
          <cell r="G1067">
            <v>463627</v>
          </cell>
          <cell r="H1067">
            <v>23872</v>
          </cell>
          <cell r="I1067">
            <v>36750</v>
          </cell>
        </row>
        <row r="1068">
          <cell r="A1068" t="str">
            <v>1550|448002</v>
          </cell>
          <cell r="B1068" t="str">
            <v>1550</v>
          </cell>
          <cell r="C1068">
            <v>448002</v>
          </cell>
          <cell r="D1068">
            <v>41244</v>
          </cell>
          <cell r="E1068">
            <v>46572084</v>
          </cell>
          <cell r="F1068">
            <v>46572084</v>
          </cell>
          <cell r="G1068">
            <v>16475200</v>
          </cell>
          <cell r="H1068">
            <v>3881007</v>
          </cell>
          <cell r="I1068">
            <v>1839600</v>
          </cell>
        </row>
        <row r="1069">
          <cell r="A1069" t="str">
            <v>1550|448003</v>
          </cell>
          <cell r="B1069" t="str">
            <v>1550</v>
          </cell>
          <cell r="C1069">
            <v>448003</v>
          </cell>
          <cell r="D1069">
            <v>41244</v>
          </cell>
          <cell r="E1069">
            <v>34992284</v>
          </cell>
          <cell r="F1069">
            <v>34992284</v>
          </cell>
          <cell r="G1069">
            <v>14335865</v>
          </cell>
          <cell r="H1069">
            <v>2916024</v>
          </cell>
          <cell r="I1069">
            <v>1288800</v>
          </cell>
        </row>
        <row r="1070">
          <cell r="A1070" t="str">
            <v>1550|449022</v>
          </cell>
          <cell r="B1070" t="str">
            <v>1550</v>
          </cell>
          <cell r="C1070">
            <v>449022</v>
          </cell>
          <cell r="D1070">
            <v>41244</v>
          </cell>
          <cell r="E1070">
            <v>19800000</v>
          </cell>
          <cell r="F1070">
            <v>19800000</v>
          </cell>
          <cell r="G1070">
            <v>14729000</v>
          </cell>
          <cell r="H1070">
            <v>1650000</v>
          </cell>
          <cell r="I1070">
            <v>1632000</v>
          </cell>
        </row>
        <row r="1071">
          <cell r="A1071" t="str">
            <v>1550|449023</v>
          </cell>
          <cell r="B1071" t="str">
            <v>1550</v>
          </cell>
          <cell r="C1071">
            <v>449023</v>
          </cell>
          <cell r="D1071">
            <v>41244</v>
          </cell>
          <cell r="E1071">
            <v>37410000</v>
          </cell>
          <cell r="F1071">
            <v>37410000</v>
          </cell>
          <cell r="G1071">
            <v>37468159</v>
          </cell>
          <cell r="H1071">
            <v>3117500</v>
          </cell>
          <cell r="I1071">
            <v>3228250</v>
          </cell>
        </row>
        <row r="1072">
          <cell r="A1072" t="str">
            <v>1550|449032</v>
          </cell>
          <cell r="B1072" t="str">
            <v>1550</v>
          </cell>
          <cell r="C1072">
            <v>449032</v>
          </cell>
          <cell r="D1072">
            <v>41244</v>
          </cell>
          <cell r="E1072">
            <v>1753847</v>
          </cell>
          <cell r="F1072">
            <v>1753847</v>
          </cell>
          <cell r="G1072">
            <v>800000</v>
          </cell>
          <cell r="H1072">
            <v>146154</v>
          </cell>
          <cell r="I1072">
            <v>0</v>
          </cell>
        </row>
        <row r="1073">
          <cell r="A1073" t="str">
            <v>1550|449040</v>
          </cell>
          <cell r="B1073" t="str">
            <v>1550</v>
          </cell>
          <cell r="C1073">
            <v>449040</v>
          </cell>
          <cell r="D1073">
            <v>41244</v>
          </cell>
          <cell r="E1073">
            <v>2557500</v>
          </cell>
          <cell r="F1073">
            <v>2557500</v>
          </cell>
          <cell r="G1073">
            <v>1957500</v>
          </cell>
          <cell r="H1073">
            <v>213125</v>
          </cell>
          <cell r="I1073">
            <v>0</v>
          </cell>
        </row>
        <row r="1074">
          <cell r="A1074" t="str">
            <v>1550|449050</v>
          </cell>
          <cell r="B1074" t="str">
            <v>1550</v>
          </cell>
          <cell r="C1074">
            <v>449050</v>
          </cell>
          <cell r="D1074">
            <v>41244</v>
          </cell>
          <cell r="E1074">
            <v>25599996</v>
          </cell>
          <cell r="F1074">
            <v>25599996</v>
          </cell>
          <cell r="G1074">
            <v>28600002</v>
          </cell>
          <cell r="H1074">
            <v>2133333</v>
          </cell>
          <cell r="I1074">
            <v>2466667</v>
          </cell>
        </row>
        <row r="1075">
          <cell r="A1075" t="str">
            <v>1550|449060</v>
          </cell>
          <cell r="B1075" t="str">
            <v>1550</v>
          </cell>
          <cell r="C1075">
            <v>449060</v>
          </cell>
          <cell r="D1075">
            <v>41244</v>
          </cell>
          <cell r="E1075">
            <v>600000</v>
          </cell>
          <cell r="F1075">
            <v>600000</v>
          </cell>
          <cell r="G1075">
            <v>0</v>
          </cell>
          <cell r="H1075">
            <v>50000</v>
          </cell>
          <cell r="I1075">
            <v>0</v>
          </cell>
        </row>
        <row r="1076">
          <cell r="A1076" t="str">
            <v>1550|449061</v>
          </cell>
          <cell r="B1076" t="str">
            <v>1550</v>
          </cell>
          <cell r="C1076">
            <v>449061</v>
          </cell>
          <cell r="D1076">
            <v>41244</v>
          </cell>
          <cell r="E1076">
            <v>57129000</v>
          </cell>
          <cell r="F1076">
            <v>57129000</v>
          </cell>
          <cell r="G1076">
            <v>68247300</v>
          </cell>
          <cell r="H1076">
            <v>4760750</v>
          </cell>
          <cell r="I1076">
            <v>7159500</v>
          </cell>
        </row>
        <row r="1077">
          <cell r="A1077" t="str">
            <v>1550|451000</v>
          </cell>
          <cell r="B1077" t="str">
            <v>1550</v>
          </cell>
          <cell r="C1077">
            <v>451000</v>
          </cell>
          <cell r="D1077">
            <v>41244</v>
          </cell>
          <cell r="E1077">
            <v>41550500</v>
          </cell>
          <cell r="F1077">
            <v>41550500</v>
          </cell>
          <cell r="G1077">
            <v>38692850</v>
          </cell>
          <cell r="H1077">
            <v>3462542</v>
          </cell>
          <cell r="I1077">
            <v>16673300</v>
          </cell>
        </row>
        <row r="1078">
          <cell r="A1078" t="str">
            <v>1550|452000</v>
          </cell>
          <cell r="B1078" t="str">
            <v>1550</v>
          </cell>
          <cell r="C1078">
            <v>452000</v>
          </cell>
          <cell r="D1078">
            <v>41244</v>
          </cell>
          <cell r="E1078">
            <v>0</v>
          </cell>
          <cell r="F1078">
            <v>0</v>
          </cell>
          <cell r="G1078">
            <v>-2745600</v>
          </cell>
          <cell r="H1078">
            <v>0</v>
          </cell>
          <cell r="I1078">
            <v>0</v>
          </cell>
        </row>
        <row r="1079">
          <cell r="A1079" t="str">
            <v>1550|455000</v>
          </cell>
          <cell r="B1079" t="str">
            <v>1550</v>
          </cell>
          <cell r="C1079">
            <v>455000</v>
          </cell>
          <cell r="D1079">
            <v>41244</v>
          </cell>
          <cell r="E1079">
            <v>1000000</v>
          </cell>
          <cell r="F1079">
            <v>1000000</v>
          </cell>
          <cell r="G1079">
            <v>10098170</v>
          </cell>
          <cell r="H1079">
            <v>83333</v>
          </cell>
          <cell r="I1079">
            <v>4921050</v>
          </cell>
        </row>
        <row r="1080">
          <cell r="A1080" t="str">
            <v>1550|459000</v>
          </cell>
          <cell r="B1080" t="str">
            <v>1550</v>
          </cell>
          <cell r="C1080">
            <v>459000</v>
          </cell>
          <cell r="D1080">
            <v>41244</v>
          </cell>
          <cell r="E1080">
            <v>151775400</v>
          </cell>
          <cell r="F1080">
            <v>151775400</v>
          </cell>
          <cell r="G1080">
            <v>87367457</v>
          </cell>
          <cell r="H1080">
            <v>12647949</v>
          </cell>
          <cell r="I1080">
            <v>44469727</v>
          </cell>
        </row>
        <row r="1081">
          <cell r="A1081" t="str">
            <v>1550|459002</v>
          </cell>
          <cell r="B1081" t="str">
            <v>1550</v>
          </cell>
          <cell r="C1081">
            <v>459002</v>
          </cell>
          <cell r="D1081">
            <v>41244</v>
          </cell>
          <cell r="E1081">
            <v>346440000</v>
          </cell>
          <cell r="F1081">
            <v>346440000</v>
          </cell>
          <cell r="G1081">
            <v>288702250</v>
          </cell>
          <cell r="H1081">
            <v>28870000</v>
          </cell>
          <cell r="I1081">
            <v>117142250</v>
          </cell>
        </row>
        <row r="1082">
          <cell r="A1082" t="str">
            <v>1550|459003</v>
          </cell>
          <cell r="B1082" t="str">
            <v>1550</v>
          </cell>
          <cell r="C1082">
            <v>459003</v>
          </cell>
          <cell r="D1082">
            <v>41244</v>
          </cell>
          <cell r="E1082">
            <v>939879204</v>
          </cell>
          <cell r="F1082">
            <v>939879204</v>
          </cell>
          <cell r="G1082">
            <v>1180741621</v>
          </cell>
          <cell r="H1082">
            <v>78323267</v>
          </cell>
          <cell r="I1082">
            <v>1080205335</v>
          </cell>
        </row>
        <row r="1083">
          <cell r="A1083" t="str">
            <v>1550|459004</v>
          </cell>
          <cell r="B1083" t="str">
            <v>1550</v>
          </cell>
          <cell r="C1083">
            <v>459004</v>
          </cell>
          <cell r="D1083">
            <v>41244</v>
          </cell>
          <cell r="E1083">
            <v>1276392900</v>
          </cell>
          <cell r="F1083">
            <v>1276392900</v>
          </cell>
          <cell r="G1083">
            <v>2072656925</v>
          </cell>
          <cell r="H1083">
            <v>106366075</v>
          </cell>
          <cell r="I1083">
            <v>-667346695</v>
          </cell>
        </row>
        <row r="1084">
          <cell r="A1084" t="str">
            <v>1550|459005</v>
          </cell>
          <cell r="B1084" t="str">
            <v>1550</v>
          </cell>
          <cell r="C1084">
            <v>459005</v>
          </cell>
          <cell r="D1084">
            <v>41244</v>
          </cell>
          <cell r="E1084">
            <v>54785500</v>
          </cell>
          <cell r="F1084">
            <v>54785500</v>
          </cell>
          <cell r="G1084">
            <v>42329164</v>
          </cell>
          <cell r="H1084">
            <v>4565459</v>
          </cell>
          <cell r="I1084">
            <v>3312284</v>
          </cell>
        </row>
        <row r="1085">
          <cell r="A1085" t="str">
            <v>1550|459006</v>
          </cell>
          <cell r="B1085" t="str">
            <v>1550</v>
          </cell>
          <cell r="C1085">
            <v>459006</v>
          </cell>
          <cell r="D1085">
            <v>41244</v>
          </cell>
          <cell r="E1085">
            <v>3808006443</v>
          </cell>
          <cell r="F1085">
            <v>3808006443</v>
          </cell>
          <cell r="G1085">
            <v>4555491856</v>
          </cell>
          <cell r="H1085">
            <v>317333870</v>
          </cell>
          <cell r="I1085">
            <v>120103332</v>
          </cell>
        </row>
        <row r="1086">
          <cell r="A1086" t="str">
            <v>1550|459007</v>
          </cell>
          <cell r="B1086" t="str">
            <v>1550</v>
          </cell>
          <cell r="C1086">
            <v>459007</v>
          </cell>
          <cell r="D1086">
            <v>41244</v>
          </cell>
          <cell r="E1086">
            <v>992281783</v>
          </cell>
          <cell r="F1086">
            <v>992281783</v>
          </cell>
          <cell r="G1086">
            <v>1093404817</v>
          </cell>
          <cell r="H1086">
            <v>82690149</v>
          </cell>
          <cell r="I1086">
            <v>5016660</v>
          </cell>
        </row>
        <row r="1087">
          <cell r="A1087" t="str">
            <v>1550|472000</v>
          </cell>
          <cell r="B1087" t="str">
            <v>1550</v>
          </cell>
          <cell r="C1087">
            <v>472000</v>
          </cell>
          <cell r="D1087">
            <v>41244</v>
          </cell>
          <cell r="E1087">
            <v>300000</v>
          </cell>
          <cell r="F1087">
            <v>300000</v>
          </cell>
          <cell r="G1087">
            <v>166000</v>
          </cell>
          <cell r="H1087">
            <v>25000</v>
          </cell>
          <cell r="I1087">
            <v>0</v>
          </cell>
        </row>
        <row r="1088">
          <cell r="A1088" t="str">
            <v>1550|473000</v>
          </cell>
          <cell r="B1088" t="str">
            <v>1550</v>
          </cell>
          <cell r="C1088">
            <v>473000</v>
          </cell>
          <cell r="D1088">
            <v>41244</v>
          </cell>
          <cell r="E1088">
            <v>8000</v>
          </cell>
          <cell r="F1088">
            <v>8000</v>
          </cell>
          <cell r="G1088">
            <v>240000</v>
          </cell>
          <cell r="H1088">
            <v>667</v>
          </cell>
          <cell r="I1088">
            <v>12000</v>
          </cell>
        </row>
        <row r="1089">
          <cell r="A1089" t="str">
            <v>1550|473120</v>
          </cell>
          <cell r="B1089" t="str">
            <v>1550</v>
          </cell>
          <cell r="C1089">
            <v>473120</v>
          </cell>
          <cell r="D1089">
            <v>41244</v>
          </cell>
          <cell r="E1089">
            <v>305061938</v>
          </cell>
          <cell r="F1089">
            <v>305061938</v>
          </cell>
          <cell r="G1089">
            <v>728979527</v>
          </cell>
          <cell r="H1089">
            <v>25421828</v>
          </cell>
          <cell r="I1089">
            <v>82206345</v>
          </cell>
        </row>
        <row r="1090">
          <cell r="A1090" t="str">
            <v>1550|474100</v>
          </cell>
          <cell r="B1090" t="str">
            <v>1550</v>
          </cell>
          <cell r="C1090">
            <v>474100</v>
          </cell>
          <cell r="D1090">
            <v>41244</v>
          </cell>
          <cell r="E1090">
            <v>34990400</v>
          </cell>
          <cell r="F1090">
            <v>34990400</v>
          </cell>
          <cell r="G1090">
            <v>22659151</v>
          </cell>
          <cell r="H1090">
            <v>2915866</v>
          </cell>
          <cell r="I1090">
            <v>0</v>
          </cell>
        </row>
        <row r="1091">
          <cell r="A1091" t="str">
            <v>1550|474101</v>
          </cell>
          <cell r="B1091" t="str">
            <v>1550</v>
          </cell>
          <cell r="C1091">
            <v>474101</v>
          </cell>
          <cell r="D1091">
            <v>41244</v>
          </cell>
          <cell r="E1091">
            <v>12812100</v>
          </cell>
          <cell r="F1091">
            <v>12812100</v>
          </cell>
          <cell r="G1091">
            <v>11702034</v>
          </cell>
          <cell r="H1091">
            <v>1067675</v>
          </cell>
          <cell r="I1091">
            <v>4000000</v>
          </cell>
        </row>
        <row r="1092">
          <cell r="A1092" t="str">
            <v>1550|475000</v>
          </cell>
          <cell r="B1092" t="str">
            <v>1550</v>
          </cell>
          <cell r="C1092">
            <v>475000</v>
          </cell>
          <cell r="D1092">
            <v>41244</v>
          </cell>
          <cell r="E1092">
            <v>8560000</v>
          </cell>
          <cell r="F1092">
            <v>8560000</v>
          </cell>
          <cell r="G1092">
            <v>8369491</v>
          </cell>
          <cell r="H1092">
            <v>713334</v>
          </cell>
          <cell r="I1092">
            <v>0</v>
          </cell>
        </row>
        <row r="1093">
          <cell r="A1093" t="str">
            <v>1550|475001</v>
          </cell>
          <cell r="B1093" t="str">
            <v>1550</v>
          </cell>
          <cell r="C1093">
            <v>475001</v>
          </cell>
          <cell r="D1093">
            <v>41244</v>
          </cell>
          <cell r="E1093">
            <v>2308000</v>
          </cell>
          <cell r="F1093">
            <v>2308000</v>
          </cell>
          <cell r="G1093">
            <v>2570900</v>
          </cell>
          <cell r="H1093">
            <v>192334</v>
          </cell>
          <cell r="I1093">
            <v>0</v>
          </cell>
        </row>
        <row r="1094">
          <cell r="A1094" t="str">
            <v>1550|475002</v>
          </cell>
          <cell r="B1094" t="str">
            <v>1550</v>
          </cell>
          <cell r="C1094">
            <v>475002</v>
          </cell>
          <cell r="D1094">
            <v>41244</v>
          </cell>
          <cell r="E1094">
            <v>0</v>
          </cell>
          <cell r="F1094">
            <v>0</v>
          </cell>
          <cell r="G1094">
            <v>1719024</v>
          </cell>
          <cell r="H1094">
            <v>0</v>
          </cell>
          <cell r="I1094">
            <v>0</v>
          </cell>
        </row>
        <row r="1095">
          <cell r="A1095" t="str">
            <v>1550|475004</v>
          </cell>
          <cell r="B1095" t="str">
            <v>1550</v>
          </cell>
          <cell r="C1095">
            <v>475004</v>
          </cell>
          <cell r="D1095">
            <v>41244</v>
          </cell>
          <cell r="E1095">
            <v>3550000</v>
          </cell>
          <cell r="F1095">
            <v>3550000</v>
          </cell>
          <cell r="G1095">
            <v>3100000</v>
          </cell>
          <cell r="H1095">
            <v>295857</v>
          </cell>
          <cell r="I1095">
            <v>0</v>
          </cell>
        </row>
        <row r="1096">
          <cell r="A1096" t="str">
            <v>1550|475006</v>
          </cell>
          <cell r="B1096" t="str">
            <v>1550</v>
          </cell>
          <cell r="C1096">
            <v>475006</v>
          </cell>
          <cell r="D1096">
            <v>41244</v>
          </cell>
          <cell r="E1096">
            <v>1961888</v>
          </cell>
          <cell r="F1096">
            <v>1961888</v>
          </cell>
          <cell r="G1096">
            <v>2214372</v>
          </cell>
          <cell r="H1096">
            <v>163491</v>
          </cell>
          <cell r="I1096">
            <v>184531</v>
          </cell>
        </row>
        <row r="1097">
          <cell r="A1097" t="str">
            <v>1550|476000</v>
          </cell>
          <cell r="B1097" t="str">
            <v>1550</v>
          </cell>
          <cell r="C1097">
            <v>476000</v>
          </cell>
          <cell r="D1097">
            <v>41244</v>
          </cell>
          <cell r="E1097">
            <v>1197320</v>
          </cell>
          <cell r="F1097">
            <v>1197320</v>
          </cell>
          <cell r="G1097">
            <v>844520</v>
          </cell>
          <cell r="H1097">
            <v>99777</v>
          </cell>
          <cell r="I1097">
            <v>0</v>
          </cell>
        </row>
        <row r="1098">
          <cell r="A1098" t="str">
            <v>1550|476001</v>
          </cell>
          <cell r="B1098" t="str">
            <v>1550</v>
          </cell>
          <cell r="C1098">
            <v>476001</v>
          </cell>
          <cell r="D1098">
            <v>41244</v>
          </cell>
          <cell r="E1098">
            <v>1155000</v>
          </cell>
          <cell r="F1098">
            <v>1155000</v>
          </cell>
          <cell r="G1098">
            <v>425000</v>
          </cell>
          <cell r="H1098">
            <v>96250</v>
          </cell>
          <cell r="I1098">
            <v>0</v>
          </cell>
        </row>
        <row r="1099">
          <cell r="A1099" t="str">
            <v>1550|476220</v>
          </cell>
          <cell r="B1099" t="str">
            <v>1550</v>
          </cell>
          <cell r="C1099">
            <v>476220</v>
          </cell>
          <cell r="D1099">
            <v>41244</v>
          </cell>
          <cell r="E1099">
            <v>0</v>
          </cell>
          <cell r="F1099">
            <v>0</v>
          </cell>
          <cell r="G1099">
            <v>3292812</v>
          </cell>
          <cell r="H1099">
            <v>0</v>
          </cell>
          <cell r="I1099">
            <v>364335</v>
          </cell>
        </row>
        <row r="1100">
          <cell r="A1100" t="str">
            <v>1600|211100</v>
          </cell>
          <cell r="B1100" t="str">
            <v>1600</v>
          </cell>
          <cell r="C1100">
            <v>211100</v>
          </cell>
          <cell r="D1100">
            <v>41244</v>
          </cell>
          <cell r="E1100">
            <v>19701349</v>
          </cell>
          <cell r="F1100">
            <v>19701349</v>
          </cell>
          <cell r="G1100">
            <v>22254628</v>
          </cell>
          <cell r="H1100">
            <v>1641779</v>
          </cell>
          <cell r="I1100">
            <v>1854545</v>
          </cell>
        </row>
        <row r="1101">
          <cell r="A1101" t="str">
            <v>1600|246000</v>
          </cell>
          <cell r="B1101" t="str">
            <v>1600</v>
          </cell>
          <cell r="C1101">
            <v>246000</v>
          </cell>
          <cell r="D1101">
            <v>41244</v>
          </cell>
          <cell r="E1101">
            <v>2800000</v>
          </cell>
          <cell r="F1101">
            <v>2800000</v>
          </cell>
          <cell r="G1101">
            <v>-3000</v>
          </cell>
          <cell r="H1101">
            <v>233332</v>
          </cell>
          <cell r="I1101">
            <v>0</v>
          </cell>
        </row>
        <row r="1102">
          <cell r="A1102" t="str">
            <v>1600|400040</v>
          </cell>
          <cell r="B1102" t="str">
            <v>1600</v>
          </cell>
          <cell r="C1102">
            <v>400040</v>
          </cell>
          <cell r="D1102">
            <v>41244</v>
          </cell>
          <cell r="E1102">
            <v>0</v>
          </cell>
          <cell r="F1102">
            <v>0</v>
          </cell>
          <cell r="G1102">
            <v>215000</v>
          </cell>
          <cell r="H1102">
            <v>0</v>
          </cell>
          <cell r="I1102">
            <v>0</v>
          </cell>
        </row>
        <row r="1103">
          <cell r="A1103" t="str">
            <v>1600|405200</v>
          </cell>
          <cell r="B1103" t="str">
            <v>1600</v>
          </cell>
          <cell r="C1103">
            <v>405200</v>
          </cell>
          <cell r="D1103">
            <v>41244</v>
          </cell>
          <cell r="E1103">
            <v>2200000</v>
          </cell>
          <cell r="F1103">
            <v>2200000</v>
          </cell>
          <cell r="G1103">
            <v>-714273</v>
          </cell>
          <cell r="H1103">
            <v>183333</v>
          </cell>
          <cell r="I1103">
            <v>0</v>
          </cell>
        </row>
        <row r="1104">
          <cell r="A1104" t="str">
            <v>1600|420002</v>
          </cell>
          <cell r="B1104" t="str">
            <v>1600</v>
          </cell>
          <cell r="C1104">
            <v>420002</v>
          </cell>
          <cell r="D1104">
            <v>41244</v>
          </cell>
          <cell r="E1104">
            <v>142607695</v>
          </cell>
          <cell r="F1104">
            <v>142607695</v>
          </cell>
          <cell r="G1104">
            <v>167775000</v>
          </cell>
          <cell r="H1104">
            <v>11883975</v>
          </cell>
          <cell r="I1104">
            <v>14105500</v>
          </cell>
        </row>
        <row r="1105">
          <cell r="A1105" t="str">
            <v>1600|420003</v>
          </cell>
          <cell r="B1105" t="str">
            <v>1600</v>
          </cell>
          <cell r="C1105">
            <v>420003</v>
          </cell>
          <cell r="D1105">
            <v>41244</v>
          </cell>
          <cell r="E1105">
            <v>501197478</v>
          </cell>
          <cell r="F1105">
            <v>501197478</v>
          </cell>
          <cell r="G1105">
            <v>493791840</v>
          </cell>
          <cell r="H1105">
            <v>41766456</v>
          </cell>
          <cell r="I1105">
            <v>41409767</v>
          </cell>
        </row>
        <row r="1106">
          <cell r="A1106" t="str">
            <v>1600|422002</v>
          </cell>
          <cell r="B1106" t="str">
            <v>1600</v>
          </cell>
          <cell r="C1106">
            <v>422002</v>
          </cell>
          <cell r="D1106">
            <v>41244</v>
          </cell>
          <cell r="E1106">
            <v>0</v>
          </cell>
          <cell r="F1106">
            <v>0</v>
          </cell>
          <cell r="G1106">
            <v>352650</v>
          </cell>
          <cell r="H1106">
            <v>0</v>
          </cell>
          <cell r="I1106">
            <v>0</v>
          </cell>
        </row>
        <row r="1107">
          <cell r="A1107" t="str">
            <v>1600|422003</v>
          </cell>
          <cell r="B1107" t="str">
            <v>1600</v>
          </cell>
          <cell r="C1107">
            <v>422003</v>
          </cell>
          <cell r="D1107">
            <v>41244</v>
          </cell>
          <cell r="E1107">
            <v>786909</v>
          </cell>
          <cell r="F1107">
            <v>786909</v>
          </cell>
          <cell r="G1107">
            <v>101400</v>
          </cell>
          <cell r="H1107">
            <v>65576</v>
          </cell>
          <cell r="I1107">
            <v>0</v>
          </cell>
        </row>
        <row r="1108">
          <cell r="A1108" t="str">
            <v>1600|431001</v>
          </cell>
          <cell r="B1108" t="str">
            <v>1600</v>
          </cell>
          <cell r="C1108">
            <v>431001</v>
          </cell>
          <cell r="D1108">
            <v>41244</v>
          </cell>
          <cell r="E1108">
            <v>0</v>
          </cell>
          <cell r="F1108">
            <v>0</v>
          </cell>
          <cell r="G1108">
            <v>1545718</v>
          </cell>
          <cell r="H1108">
            <v>0</v>
          </cell>
          <cell r="I1108">
            <v>0</v>
          </cell>
        </row>
        <row r="1109">
          <cell r="A1109" t="str">
            <v>1600|431002</v>
          </cell>
          <cell r="B1109" t="str">
            <v>1600</v>
          </cell>
          <cell r="C1109">
            <v>431002</v>
          </cell>
          <cell r="D1109">
            <v>41244</v>
          </cell>
          <cell r="E1109">
            <v>0</v>
          </cell>
          <cell r="F1109">
            <v>0</v>
          </cell>
          <cell r="G1109">
            <v>2553924</v>
          </cell>
          <cell r="H1109">
            <v>0</v>
          </cell>
          <cell r="I1109">
            <v>50000</v>
          </cell>
        </row>
        <row r="1110">
          <cell r="A1110" t="str">
            <v>1600|434012</v>
          </cell>
          <cell r="B1110" t="str">
            <v>1600</v>
          </cell>
          <cell r="C1110">
            <v>434012</v>
          </cell>
          <cell r="D1110">
            <v>41244</v>
          </cell>
          <cell r="E1110">
            <v>0</v>
          </cell>
          <cell r="F1110">
            <v>0</v>
          </cell>
          <cell r="G1110">
            <v>5599085</v>
          </cell>
          <cell r="H1110">
            <v>0</v>
          </cell>
          <cell r="I1110">
            <v>1964291</v>
          </cell>
        </row>
        <row r="1111">
          <cell r="A1111" t="str">
            <v>1600|434013</v>
          </cell>
          <cell r="B1111" t="str">
            <v>1600</v>
          </cell>
          <cell r="C1111">
            <v>434013</v>
          </cell>
          <cell r="D1111">
            <v>41244</v>
          </cell>
          <cell r="E1111">
            <v>14986500</v>
          </cell>
          <cell r="F1111">
            <v>14986500</v>
          </cell>
          <cell r="G1111">
            <v>17690564</v>
          </cell>
          <cell r="H1111">
            <v>1248875</v>
          </cell>
          <cell r="I1111">
            <v>2733193</v>
          </cell>
        </row>
        <row r="1112">
          <cell r="A1112" t="str">
            <v>1600|435002</v>
          </cell>
          <cell r="B1112" t="str">
            <v>1600</v>
          </cell>
          <cell r="C1112">
            <v>435002</v>
          </cell>
          <cell r="D1112">
            <v>41244</v>
          </cell>
          <cell r="E1112">
            <v>11883975</v>
          </cell>
          <cell r="F1112">
            <v>11883975</v>
          </cell>
          <cell r="G1112">
            <v>14105500</v>
          </cell>
          <cell r="H1112">
            <v>990331</v>
          </cell>
          <cell r="I1112">
            <v>14105500</v>
          </cell>
        </row>
        <row r="1113">
          <cell r="A1113" t="str">
            <v>1600|435003</v>
          </cell>
          <cell r="B1113" t="str">
            <v>1600</v>
          </cell>
          <cell r="C1113">
            <v>435003</v>
          </cell>
          <cell r="D1113">
            <v>41244</v>
          </cell>
          <cell r="E1113">
            <v>62649685</v>
          </cell>
          <cell r="F1113">
            <v>62649685</v>
          </cell>
          <cell r="G1113">
            <v>74699694</v>
          </cell>
          <cell r="H1113">
            <v>5220807</v>
          </cell>
          <cell r="I1113">
            <v>0</v>
          </cell>
        </row>
        <row r="1114">
          <cell r="A1114" t="str">
            <v>1600|439003</v>
          </cell>
          <cell r="B1114" t="str">
            <v>1600</v>
          </cell>
          <cell r="C1114">
            <v>439003</v>
          </cell>
          <cell r="D1114">
            <v>41244</v>
          </cell>
          <cell r="E1114">
            <v>88111268</v>
          </cell>
          <cell r="F1114">
            <v>88111268</v>
          </cell>
          <cell r="G1114">
            <v>134456622</v>
          </cell>
          <cell r="H1114">
            <v>7342606</v>
          </cell>
          <cell r="I1114">
            <v>16593200</v>
          </cell>
        </row>
        <row r="1115">
          <cell r="A1115" t="str">
            <v>1600|439008</v>
          </cell>
          <cell r="B1115" t="str">
            <v>1600</v>
          </cell>
          <cell r="C1115">
            <v>439008</v>
          </cell>
          <cell r="D1115">
            <v>41244</v>
          </cell>
          <cell r="E1115">
            <v>32737810</v>
          </cell>
          <cell r="F1115">
            <v>32737810</v>
          </cell>
          <cell r="G1115">
            <v>44693241</v>
          </cell>
          <cell r="H1115">
            <v>2728151</v>
          </cell>
          <cell r="I1115">
            <v>0</v>
          </cell>
        </row>
        <row r="1116">
          <cell r="A1116" t="str">
            <v>1600|439202</v>
          </cell>
          <cell r="B1116" t="str">
            <v>1600</v>
          </cell>
          <cell r="C1116">
            <v>439202</v>
          </cell>
          <cell r="D1116">
            <v>41244</v>
          </cell>
          <cell r="E1116">
            <v>0</v>
          </cell>
          <cell r="F1116">
            <v>0</v>
          </cell>
          <cell r="G1116">
            <v>416000</v>
          </cell>
          <cell r="H1116">
            <v>0</v>
          </cell>
          <cell r="I1116">
            <v>0</v>
          </cell>
        </row>
        <row r="1117">
          <cell r="A1117" t="str">
            <v>1600|439203</v>
          </cell>
          <cell r="B1117" t="str">
            <v>1600</v>
          </cell>
          <cell r="C1117">
            <v>439203</v>
          </cell>
          <cell r="D1117">
            <v>41244</v>
          </cell>
          <cell r="E1117">
            <v>0</v>
          </cell>
          <cell r="F1117">
            <v>0</v>
          </cell>
          <cell r="G1117">
            <v>418000</v>
          </cell>
          <cell r="H1117">
            <v>0</v>
          </cell>
          <cell r="I1117">
            <v>0</v>
          </cell>
        </row>
        <row r="1118">
          <cell r="A1118" t="str">
            <v>1600|440002</v>
          </cell>
          <cell r="B1118" t="str">
            <v>1600</v>
          </cell>
          <cell r="C1118">
            <v>440002</v>
          </cell>
          <cell r="D1118">
            <v>41244</v>
          </cell>
          <cell r="E1118">
            <v>21883975</v>
          </cell>
          <cell r="F1118">
            <v>21883975</v>
          </cell>
          <cell r="G1118">
            <v>14712248</v>
          </cell>
          <cell r="H1118">
            <v>1823664</v>
          </cell>
          <cell r="I1118">
            <v>1116969</v>
          </cell>
        </row>
        <row r="1119">
          <cell r="A1119" t="str">
            <v>1600|440003</v>
          </cell>
          <cell r="B1119" t="str">
            <v>1600</v>
          </cell>
          <cell r="C1119">
            <v>440003</v>
          </cell>
          <cell r="D1119">
            <v>41244</v>
          </cell>
          <cell r="E1119">
            <v>47168559</v>
          </cell>
          <cell r="F1119">
            <v>47168559</v>
          </cell>
          <cell r="G1119">
            <v>42765485</v>
          </cell>
          <cell r="H1119">
            <v>3930713</v>
          </cell>
          <cell r="I1119">
            <v>3825852</v>
          </cell>
        </row>
        <row r="1120">
          <cell r="A1120" t="str">
            <v>1600|446002</v>
          </cell>
          <cell r="B1120" t="str">
            <v>1600</v>
          </cell>
          <cell r="C1120">
            <v>446002</v>
          </cell>
          <cell r="D1120">
            <v>41244</v>
          </cell>
          <cell r="E1120">
            <v>5941987</v>
          </cell>
          <cell r="F1120">
            <v>5941987</v>
          </cell>
          <cell r="G1120">
            <v>5225351</v>
          </cell>
          <cell r="H1120">
            <v>495166</v>
          </cell>
          <cell r="I1120">
            <v>250000</v>
          </cell>
        </row>
        <row r="1121">
          <cell r="A1121" t="str">
            <v>1600|447002</v>
          </cell>
          <cell r="B1121" t="str">
            <v>1600</v>
          </cell>
          <cell r="C1121">
            <v>447002</v>
          </cell>
          <cell r="D1121">
            <v>41244</v>
          </cell>
          <cell r="E1121">
            <v>4145303</v>
          </cell>
          <cell r="F1121">
            <v>4145303</v>
          </cell>
          <cell r="G1121">
            <v>2634072</v>
          </cell>
          <cell r="H1121">
            <v>345442</v>
          </cell>
          <cell r="I1121">
            <v>221457</v>
          </cell>
        </row>
        <row r="1122">
          <cell r="A1122" t="str">
            <v>1600|447003</v>
          </cell>
          <cell r="B1122" t="str">
            <v>1600</v>
          </cell>
          <cell r="C1122">
            <v>447003</v>
          </cell>
          <cell r="D1122">
            <v>41244</v>
          </cell>
          <cell r="E1122">
            <v>4457390</v>
          </cell>
          <cell r="F1122">
            <v>4457390</v>
          </cell>
          <cell r="G1122">
            <v>7773714</v>
          </cell>
          <cell r="H1122">
            <v>371449</v>
          </cell>
          <cell r="I1122">
            <v>653560</v>
          </cell>
        </row>
        <row r="1123">
          <cell r="A1123" t="str">
            <v>1600|447012</v>
          </cell>
          <cell r="B1123" t="str">
            <v>1600</v>
          </cell>
          <cell r="C1123">
            <v>447012</v>
          </cell>
          <cell r="D1123">
            <v>41244</v>
          </cell>
          <cell r="E1123">
            <v>9769186</v>
          </cell>
          <cell r="F1123">
            <v>9769186</v>
          </cell>
          <cell r="G1123">
            <v>6207684</v>
          </cell>
          <cell r="H1123">
            <v>814099</v>
          </cell>
          <cell r="I1123">
            <v>521904</v>
          </cell>
        </row>
        <row r="1124">
          <cell r="A1124" t="str">
            <v>1600|447013</v>
          </cell>
          <cell r="B1124" t="str">
            <v>1600</v>
          </cell>
          <cell r="C1124">
            <v>447013</v>
          </cell>
          <cell r="D1124">
            <v>41244</v>
          </cell>
          <cell r="E1124">
            <v>10504677</v>
          </cell>
          <cell r="F1124">
            <v>10504677</v>
          </cell>
          <cell r="G1124">
            <v>18320226</v>
          </cell>
          <cell r="H1124">
            <v>875390</v>
          </cell>
          <cell r="I1124">
            <v>1540237</v>
          </cell>
        </row>
        <row r="1125">
          <cell r="A1125" t="str">
            <v>1600|447022</v>
          </cell>
          <cell r="B1125" t="str">
            <v>1600</v>
          </cell>
          <cell r="C1125">
            <v>447022</v>
          </cell>
          <cell r="D1125">
            <v>41244</v>
          </cell>
          <cell r="E1125">
            <v>414530</v>
          </cell>
          <cell r="F1125">
            <v>414530</v>
          </cell>
          <cell r="G1125">
            <v>437938</v>
          </cell>
          <cell r="H1125">
            <v>34544</v>
          </cell>
          <cell r="I1125">
            <v>37050</v>
          </cell>
        </row>
        <row r="1126">
          <cell r="A1126" t="str">
            <v>1600|447023</v>
          </cell>
          <cell r="B1126" t="str">
            <v>1600</v>
          </cell>
          <cell r="C1126">
            <v>447023</v>
          </cell>
          <cell r="D1126">
            <v>41244</v>
          </cell>
          <cell r="E1126">
            <v>445739</v>
          </cell>
          <cell r="F1126">
            <v>445739</v>
          </cell>
          <cell r="G1126">
            <v>2270339</v>
          </cell>
          <cell r="H1126">
            <v>37145</v>
          </cell>
          <cell r="I1126">
            <v>191050</v>
          </cell>
        </row>
        <row r="1127">
          <cell r="A1127" t="str">
            <v>1600|448002</v>
          </cell>
          <cell r="B1127" t="str">
            <v>1600</v>
          </cell>
          <cell r="C1127">
            <v>448002</v>
          </cell>
          <cell r="D1127">
            <v>41244</v>
          </cell>
          <cell r="E1127">
            <v>24628834</v>
          </cell>
          <cell r="F1127">
            <v>24628834</v>
          </cell>
          <cell r="G1127">
            <v>7558200</v>
          </cell>
          <cell r="H1127">
            <v>2052403</v>
          </cell>
          <cell r="I1127">
            <v>201000</v>
          </cell>
        </row>
        <row r="1128">
          <cell r="A1128" t="str">
            <v>1600|448003</v>
          </cell>
          <cell r="B1128" t="str">
            <v>1600</v>
          </cell>
          <cell r="C1128">
            <v>448003</v>
          </cell>
          <cell r="D1128">
            <v>41244</v>
          </cell>
          <cell r="E1128">
            <v>32397005</v>
          </cell>
          <cell r="F1128">
            <v>32397005</v>
          </cell>
          <cell r="G1128">
            <v>27440110</v>
          </cell>
          <cell r="H1128">
            <v>2699751</v>
          </cell>
          <cell r="I1128">
            <v>1750500</v>
          </cell>
        </row>
        <row r="1129">
          <cell r="A1129" t="str">
            <v>1600|449022</v>
          </cell>
          <cell r="B1129" t="str">
            <v>1600</v>
          </cell>
          <cell r="C1129">
            <v>449022</v>
          </cell>
          <cell r="D1129">
            <v>41244</v>
          </cell>
          <cell r="E1129">
            <v>7920000</v>
          </cell>
          <cell r="F1129">
            <v>7920000</v>
          </cell>
          <cell r="G1129">
            <v>9694000</v>
          </cell>
          <cell r="H1129">
            <v>660000</v>
          </cell>
          <cell r="I1129">
            <v>866000</v>
          </cell>
        </row>
        <row r="1130">
          <cell r="A1130" t="str">
            <v>1600|449023</v>
          </cell>
          <cell r="B1130" t="str">
            <v>1600</v>
          </cell>
          <cell r="C1130">
            <v>449023</v>
          </cell>
          <cell r="D1130">
            <v>41244</v>
          </cell>
          <cell r="E1130">
            <v>3960000</v>
          </cell>
          <cell r="F1130">
            <v>3960000</v>
          </cell>
          <cell r="G1130">
            <v>3579000</v>
          </cell>
          <cell r="H1130">
            <v>330000</v>
          </cell>
          <cell r="I1130">
            <v>340000</v>
          </cell>
        </row>
        <row r="1131">
          <cell r="A1131" t="str">
            <v>1600|449032</v>
          </cell>
          <cell r="B1131" t="str">
            <v>1600</v>
          </cell>
          <cell r="C1131">
            <v>449032</v>
          </cell>
          <cell r="D1131">
            <v>41244</v>
          </cell>
          <cell r="E1131">
            <v>1753847</v>
          </cell>
          <cell r="F1131">
            <v>1753847</v>
          </cell>
          <cell r="G1131">
            <v>1294000</v>
          </cell>
          <cell r="H1131">
            <v>146154</v>
          </cell>
          <cell r="I1131">
            <v>0</v>
          </cell>
        </row>
        <row r="1132">
          <cell r="A1132" t="str">
            <v>1600|449040</v>
          </cell>
          <cell r="B1132" t="str">
            <v>1600</v>
          </cell>
          <cell r="C1132">
            <v>449040</v>
          </cell>
          <cell r="D1132">
            <v>41244</v>
          </cell>
          <cell r="E1132">
            <v>2000000</v>
          </cell>
          <cell r="F1132">
            <v>2000000</v>
          </cell>
          <cell r="G1132">
            <v>1567500</v>
          </cell>
          <cell r="H1132">
            <v>166667</v>
          </cell>
          <cell r="I1132">
            <v>0</v>
          </cell>
        </row>
        <row r="1133">
          <cell r="A1133" t="str">
            <v>1600|449061</v>
          </cell>
          <cell r="B1133" t="str">
            <v>1600</v>
          </cell>
          <cell r="C1133">
            <v>449061</v>
          </cell>
          <cell r="D1133">
            <v>41244</v>
          </cell>
          <cell r="E1133">
            <v>6130600</v>
          </cell>
          <cell r="F1133">
            <v>6130600</v>
          </cell>
          <cell r="G1133">
            <v>9163900</v>
          </cell>
          <cell r="H1133">
            <v>510884</v>
          </cell>
          <cell r="I1133">
            <v>1308600</v>
          </cell>
        </row>
        <row r="1134">
          <cell r="A1134" t="str">
            <v>1600|470102</v>
          </cell>
          <cell r="B1134" t="str">
            <v>1600</v>
          </cell>
          <cell r="C1134">
            <v>470102</v>
          </cell>
          <cell r="D1134">
            <v>41244</v>
          </cell>
          <cell r="E1134">
            <v>1577825</v>
          </cell>
          <cell r="F1134">
            <v>1577825</v>
          </cell>
          <cell r="G1134">
            <v>2417050</v>
          </cell>
          <cell r="H1134">
            <v>131485</v>
          </cell>
          <cell r="I1134">
            <v>0</v>
          </cell>
        </row>
        <row r="1135">
          <cell r="A1135" t="str">
            <v>1600|471000</v>
          </cell>
          <cell r="B1135" t="str">
            <v>1600</v>
          </cell>
          <cell r="C1135">
            <v>471000</v>
          </cell>
          <cell r="D1135">
            <v>41244</v>
          </cell>
          <cell r="E1135">
            <v>9950000</v>
          </cell>
          <cell r="F1135">
            <v>9950000</v>
          </cell>
          <cell r="G1135">
            <v>12098340</v>
          </cell>
          <cell r="H1135">
            <v>829153</v>
          </cell>
          <cell r="I1135">
            <v>0</v>
          </cell>
        </row>
        <row r="1136">
          <cell r="A1136" t="str">
            <v>1600|472000</v>
          </cell>
          <cell r="B1136" t="str">
            <v>1600</v>
          </cell>
          <cell r="C1136">
            <v>472000</v>
          </cell>
          <cell r="D1136">
            <v>41244</v>
          </cell>
          <cell r="E1136">
            <v>600000</v>
          </cell>
          <cell r="F1136">
            <v>600000</v>
          </cell>
          <cell r="G1136">
            <v>0</v>
          </cell>
          <cell r="H1136">
            <v>50000</v>
          </cell>
          <cell r="I1136">
            <v>0</v>
          </cell>
        </row>
        <row r="1137">
          <cell r="A1137" t="str">
            <v>1600|473000</v>
          </cell>
          <cell r="B1137" t="str">
            <v>1600</v>
          </cell>
          <cell r="C1137">
            <v>473000</v>
          </cell>
          <cell r="D1137">
            <v>41244</v>
          </cell>
          <cell r="E1137">
            <v>83968</v>
          </cell>
          <cell r="F1137">
            <v>83968</v>
          </cell>
          <cell r="G1137">
            <v>191947</v>
          </cell>
          <cell r="H1137">
            <v>6997</v>
          </cell>
          <cell r="I1137">
            <v>0</v>
          </cell>
        </row>
        <row r="1138">
          <cell r="A1138" t="str">
            <v>1600|473120</v>
          </cell>
          <cell r="B1138" t="str">
            <v>1600</v>
          </cell>
          <cell r="C1138">
            <v>473120</v>
          </cell>
          <cell r="D1138">
            <v>41244</v>
          </cell>
          <cell r="E1138">
            <v>7177524</v>
          </cell>
          <cell r="F1138">
            <v>7177524</v>
          </cell>
          <cell r="G1138">
            <v>9461508</v>
          </cell>
          <cell r="H1138">
            <v>598127</v>
          </cell>
          <cell r="I1138">
            <v>659428</v>
          </cell>
        </row>
        <row r="1139">
          <cell r="A1139" t="str">
            <v>1600|474100</v>
          </cell>
          <cell r="B1139" t="str">
            <v>1600</v>
          </cell>
          <cell r="C1139">
            <v>474100</v>
          </cell>
          <cell r="D1139">
            <v>41244</v>
          </cell>
          <cell r="E1139">
            <v>28000000</v>
          </cell>
          <cell r="F1139">
            <v>28000000</v>
          </cell>
          <cell r="G1139">
            <v>20109613</v>
          </cell>
          <cell r="H1139">
            <v>2333333</v>
          </cell>
          <cell r="I1139">
            <v>4320950</v>
          </cell>
        </row>
        <row r="1140">
          <cell r="A1140" t="str">
            <v>1600|475003</v>
          </cell>
          <cell r="B1140" t="str">
            <v>1600</v>
          </cell>
          <cell r="C1140">
            <v>475003</v>
          </cell>
          <cell r="D1140">
            <v>41244</v>
          </cell>
          <cell r="E1140">
            <v>494300</v>
          </cell>
          <cell r="F1140">
            <v>494300</v>
          </cell>
          <cell r="G1140">
            <v>8037930</v>
          </cell>
          <cell r="H1140">
            <v>41192</v>
          </cell>
          <cell r="I1140">
            <v>3091500</v>
          </cell>
        </row>
        <row r="1141">
          <cell r="A1141" t="str">
            <v>1600|475004</v>
          </cell>
          <cell r="B1141" t="str">
            <v>1600</v>
          </cell>
          <cell r="C1141">
            <v>475004</v>
          </cell>
          <cell r="D1141">
            <v>41244</v>
          </cell>
          <cell r="E1141">
            <v>23522401</v>
          </cell>
          <cell r="F1141">
            <v>23522401</v>
          </cell>
          <cell r="G1141">
            <v>28451613</v>
          </cell>
          <cell r="H1141">
            <v>1960200</v>
          </cell>
          <cell r="I1141">
            <v>1888530</v>
          </cell>
        </row>
        <row r="1142">
          <cell r="A1142" t="str">
            <v>1600|475005</v>
          </cell>
          <cell r="B1142" t="str">
            <v>1600</v>
          </cell>
          <cell r="C1142">
            <v>475005</v>
          </cell>
          <cell r="D1142">
            <v>41244</v>
          </cell>
          <cell r="E1142">
            <v>15000</v>
          </cell>
          <cell r="F1142">
            <v>15000</v>
          </cell>
          <cell r="G1142">
            <v>0</v>
          </cell>
          <cell r="H1142">
            <v>1250</v>
          </cell>
          <cell r="I1142">
            <v>0</v>
          </cell>
        </row>
        <row r="1143">
          <cell r="A1143" t="str">
            <v>1600|475006</v>
          </cell>
          <cell r="B1143" t="str">
            <v>1600</v>
          </cell>
          <cell r="C1143">
            <v>475006</v>
          </cell>
          <cell r="D1143">
            <v>41244</v>
          </cell>
          <cell r="E1143">
            <v>7837670</v>
          </cell>
          <cell r="F1143">
            <v>7837670</v>
          </cell>
          <cell r="G1143">
            <v>5540071</v>
          </cell>
          <cell r="H1143">
            <v>653139</v>
          </cell>
          <cell r="I1143">
            <v>429063</v>
          </cell>
        </row>
        <row r="1144">
          <cell r="A1144" t="str">
            <v>1600|476000</v>
          </cell>
          <cell r="B1144" t="str">
            <v>1600</v>
          </cell>
          <cell r="C1144">
            <v>476000</v>
          </cell>
          <cell r="D1144">
            <v>41244</v>
          </cell>
          <cell r="E1144">
            <v>4179857</v>
          </cell>
          <cell r="F1144">
            <v>4179857</v>
          </cell>
          <cell r="G1144">
            <v>4300789</v>
          </cell>
          <cell r="H1144">
            <v>348321</v>
          </cell>
          <cell r="I1144">
            <v>1000460</v>
          </cell>
        </row>
        <row r="1145">
          <cell r="A1145" t="str">
            <v>1600|476001</v>
          </cell>
          <cell r="B1145" t="str">
            <v>1600</v>
          </cell>
          <cell r="C1145">
            <v>476001</v>
          </cell>
          <cell r="D1145">
            <v>41244</v>
          </cell>
          <cell r="E1145">
            <v>150000</v>
          </cell>
          <cell r="F1145">
            <v>150000</v>
          </cell>
          <cell r="G1145">
            <v>0</v>
          </cell>
          <cell r="H1145">
            <v>12500</v>
          </cell>
          <cell r="I1145">
            <v>0</v>
          </cell>
        </row>
        <row r="1146">
          <cell r="A1146" t="str">
            <v>1600|476220</v>
          </cell>
          <cell r="B1146" t="str">
            <v>1600</v>
          </cell>
          <cell r="C1146">
            <v>476220</v>
          </cell>
          <cell r="D1146">
            <v>41244</v>
          </cell>
          <cell r="E1146">
            <v>0</v>
          </cell>
          <cell r="F1146">
            <v>0</v>
          </cell>
          <cell r="G1146">
            <v>24276</v>
          </cell>
          <cell r="H1146">
            <v>0</v>
          </cell>
          <cell r="I1146">
            <v>0</v>
          </cell>
        </row>
        <row r="1147">
          <cell r="A1147" t="str">
            <v>1600|476900</v>
          </cell>
          <cell r="B1147" t="str">
            <v>1600</v>
          </cell>
          <cell r="C1147">
            <v>476900</v>
          </cell>
          <cell r="D1147">
            <v>41244</v>
          </cell>
          <cell r="E1147">
            <v>1926391</v>
          </cell>
          <cell r="F1147">
            <v>1926391</v>
          </cell>
          <cell r="G1147">
            <v>3875170</v>
          </cell>
          <cell r="H1147">
            <v>160532</v>
          </cell>
          <cell r="I1147">
            <v>0</v>
          </cell>
        </row>
        <row r="1148">
          <cell r="A1148" t="str">
            <v>1600|476910</v>
          </cell>
          <cell r="B1148" t="str">
            <v>1600</v>
          </cell>
          <cell r="C1148">
            <v>476910</v>
          </cell>
          <cell r="D1148">
            <v>41244</v>
          </cell>
          <cell r="E1148">
            <v>0</v>
          </cell>
          <cell r="F1148">
            <v>0</v>
          </cell>
          <cell r="G1148">
            <v>576100</v>
          </cell>
          <cell r="H1148">
            <v>0</v>
          </cell>
          <cell r="I1148">
            <v>0</v>
          </cell>
        </row>
        <row r="1149">
          <cell r="A1149" t="str">
            <v>1600|477500</v>
          </cell>
          <cell r="B1149" t="str">
            <v>1600</v>
          </cell>
          <cell r="C1149">
            <v>477500</v>
          </cell>
          <cell r="D1149">
            <v>41244</v>
          </cell>
          <cell r="E1149">
            <v>0</v>
          </cell>
          <cell r="F1149">
            <v>0</v>
          </cell>
          <cell r="G1149">
            <v>886304</v>
          </cell>
          <cell r="H1149">
            <v>0</v>
          </cell>
          <cell r="I1149">
            <v>0</v>
          </cell>
        </row>
        <row r="1150">
          <cell r="A1150" t="str">
            <v>1610|211100</v>
          </cell>
          <cell r="B1150" t="str">
            <v>1610</v>
          </cell>
          <cell r="C1150">
            <v>211100</v>
          </cell>
          <cell r="D1150">
            <v>41244</v>
          </cell>
          <cell r="E1150">
            <v>810045</v>
          </cell>
          <cell r="F1150">
            <v>810045</v>
          </cell>
          <cell r="G1150">
            <v>810045</v>
          </cell>
          <cell r="H1150">
            <v>67504</v>
          </cell>
          <cell r="I1150">
            <v>67504</v>
          </cell>
        </row>
        <row r="1151">
          <cell r="A1151" t="str">
            <v>1610|400040</v>
          </cell>
          <cell r="B1151" t="str">
            <v>1610</v>
          </cell>
          <cell r="C1151">
            <v>400040</v>
          </cell>
          <cell r="D1151">
            <v>41244</v>
          </cell>
          <cell r="E1151">
            <v>20000000</v>
          </cell>
          <cell r="F1151">
            <v>20000000</v>
          </cell>
          <cell r="G1151">
            <v>389593</v>
          </cell>
          <cell r="H1151">
            <v>1666666</v>
          </cell>
          <cell r="I1151">
            <v>0</v>
          </cell>
        </row>
        <row r="1152">
          <cell r="A1152" t="str">
            <v>1610|420002</v>
          </cell>
          <cell r="B1152" t="str">
            <v>1610</v>
          </cell>
          <cell r="C1152">
            <v>420002</v>
          </cell>
          <cell r="D1152">
            <v>41244</v>
          </cell>
          <cell r="E1152">
            <v>142607695</v>
          </cell>
          <cell r="F1152">
            <v>142607695</v>
          </cell>
          <cell r="G1152">
            <v>192432000</v>
          </cell>
          <cell r="H1152">
            <v>11883975</v>
          </cell>
          <cell r="I1152">
            <v>16178500</v>
          </cell>
        </row>
        <row r="1153">
          <cell r="A1153" t="str">
            <v>1610|420003</v>
          </cell>
          <cell r="B1153" t="str">
            <v>1610</v>
          </cell>
          <cell r="C1153">
            <v>420003</v>
          </cell>
          <cell r="D1153">
            <v>41244</v>
          </cell>
          <cell r="E1153">
            <v>490402822</v>
          </cell>
          <cell r="F1153">
            <v>490402822</v>
          </cell>
          <cell r="G1153">
            <v>483156686</v>
          </cell>
          <cell r="H1153">
            <v>40866902</v>
          </cell>
          <cell r="I1153">
            <v>40517895</v>
          </cell>
        </row>
        <row r="1154">
          <cell r="A1154" t="str">
            <v>1610|422002</v>
          </cell>
          <cell r="B1154" t="str">
            <v>1610</v>
          </cell>
          <cell r="C1154">
            <v>422002</v>
          </cell>
          <cell r="D1154">
            <v>41244</v>
          </cell>
          <cell r="E1154">
            <v>855391</v>
          </cell>
          <cell r="F1154">
            <v>855391</v>
          </cell>
          <cell r="G1154">
            <v>0</v>
          </cell>
          <cell r="H1154">
            <v>71283</v>
          </cell>
          <cell r="I1154">
            <v>0</v>
          </cell>
        </row>
        <row r="1155">
          <cell r="A1155" t="str">
            <v>1610|422003</v>
          </cell>
          <cell r="B1155" t="str">
            <v>1610</v>
          </cell>
          <cell r="C1155">
            <v>422003</v>
          </cell>
          <cell r="D1155">
            <v>41244</v>
          </cell>
          <cell r="E1155">
            <v>0</v>
          </cell>
          <cell r="F1155">
            <v>0</v>
          </cell>
          <cell r="G1155">
            <v>88200</v>
          </cell>
          <cell r="H1155">
            <v>0</v>
          </cell>
          <cell r="I1155">
            <v>0</v>
          </cell>
        </row>
        <row r="1156">
          <cell r="A1156" t="str">
            <v>1610|431002</v>
          </cell>
          <cell r="B1156" t="str">
            <v>1610</v>
          </cell>
          <cell r="C1156">
            <v>431002</v>
          </cell>
          <cell r="D1156">
            <v>41244</v>
          </cell>
          <cell r="E1156">
            <v>0</v>
          </cell>
          <cell r="F1156">
            <v>0</v>
          </cell>
          <cell r="G1156">
            <v>625664</v>
          </cell>
          <cell r="H1156">
            <v>0</v>
          </cell>
          <cell r="I1156">
            <v>0</v>
          </cell>
        </row>
        <row r="1157">
          <cell r="A1157" t="str">
            <v>1610|433002</v>
          </cell>
          <cell r="B1157" t="str">
            <v>1610</v>
          </cell>
          <cell r="C1157">
            <v>433002</v>
          </cell>
          <cell r="D1157">
            <v>41244</v>
          </cell>
          <cell r="E1157">
            <v>4737927</v>
          </cell>
          <cell r="F1157">
            <v>4737927</v>
          </cell>
          <cell r="G1157">
            <v>5156550</v>
          </cell>
          <cell r="H1157">
            <v>394827</v>
          </cell>
          <cell r="I1157">
            <v>433525</v>
          </cell>
        </row>
        <row r="1158">
          <cell r="A1158" t="str">
            <v>1610|434012</v>
          </cell>
          <cell r="B1158" t="str">
            <v>1610</v>
          </cell>
          <cell r="C1158">
            <v>434012</v>
          </cell>
          <cell r="D1158">
            <v>41244</v>
          </cell>
          <cell r="E1158">
            <v>9697500</v>
          </cell>
          <cell r="F1158">
            <v>9697500</v>
          </cell>
          <cell r="G1158">
            <v>16395527</v>
          </cell>
          <cell r="H1158">
            <v>808125</v>
          </cell>
          <cell r="I1158">
            <v>1964291</v>
          </cell>
        </row>
        <row r="1159">
          <cell r="A1159" t="str">
            <v>1610|434013</v>
          </cell>
          <cell r="B1159" t="str">
            <v>1610</v>
          </cell>
          <cell r="C1159">
            <v>434013</v>
          </cell>
          <cell r="D1159">
            <v>41244</v>
          </cell>
          <cell r="E1159">
            <v>14691000</v>
          </cell>
          <cell r="F1159">
            <v>14691000</v>
          </cell>
          <cell r="G1159">
            <v>21754033</v>
          </cell>
          <cell r="H1159">
            <v>1224250</v>
          </cell>
          <cell r="I1159">
            <v>4099789</v>
          </cell>
        </row>
        <row r="1160">
          <cell r="A1160" t="str">
            <v>1610|435002</v>
          </cell>
          <cell r="B1160" t="str">
            <v>1610</v>
          </cell>
          <cell r="C1160">
            <v>435002</v>
          </cell>
          <cell r="D1160">
            <v>41244</v>
          </cell>
          <cell r="E1160">
            <v>11883975</v>
          </cell>
          <cell r="F1160">
            <v>11883975</v>
          </cell>
          <cell r="G1160">
            <v>16178500</v>
          </cell>
          <cell r="H1160">
            <v>990331</v>
          </cell>
          <cell r="I1160">
            <v>16178500</v>
          </cell>
        </row>
        <row r="1161">
          <cell r="A1161" t="str">
            <v>1610|435003</v>
          </cell>
          <cell r="B1161" t="str">
            <v>1610</v>
          </cell>
          <cell r="C1161">
            <v>435003</v>
          </cell>
          <cell r="D1161">
            <v>41244</v>
          </cell>
          <cell r="E1161">
            <v>61300353</v>
          </cell>
          <cell r="F1161">
            <v>61300353</v>
          </cell>
          <cell r="G1161">
            <v>69731910</v>
          </cell>
          <cell r="H1161">
            <v>5108363</v>
          </cell>
          <cell r="I1161">
            <v>0</v>
          </cell>
        </row>
        <row r="1162">
          <cell r="A1162" t="str">
            <v>1610|439003</v>
          </cell>
          <cell r="B1162" t="str">
            <v>1610</v>
          </cell>
          <cell r="C1162">
            <v>439003</v>
          </cell>
          <cell r="D1162">
            <v>41244</v>
          </cell>
          <cell r="E1162">
            <v>132166901</v>
          </cell>
          <cell r="F1162">
            <v>132166901</v>
          </cell>
          <cell r="G1162">
            <v>201684934</v>
          </cell>
          <cell r="H1162">
            <v>11013908</v>
          </cell>
          <cell r="I1162">
            <v>24889799</v>
          </cell>
        </row>
        <row r="1163">
          <cell r="A1163" t="str">
            <v>1610|439008</v>
          </cell>
          <cell r="B1163" t="str">
            <v>1610</v>
          </cell>
          <cell r="C1163">
            <v>439008</v>
          </cell>
          <cell r="D1163">
            <v>41244</v>
          </cell>
          <cell r="E1163">
            <v>32737810</v>
          </cell>
          <cell r="F1163">
            <v>32737810</v>
          </cell>
          <cell r="G1163">
            <v>44693241</v>
          </cell>
          <cell r="H1163">
            <v>2728151</v>
          </cell>
          <cell r="I1163">
            <v>0</v>
          </cell>
        </row>
        <row r="1164">
          <cell r="A1164" t="str">
            <v>1610|439103</v>
          </cell>
          <cell r="B1164" t="str">
            <v>1610</v>
          </cell>
          <cell r="C1164">
            <v>439103</v>
          </cell>
          <cell r="D1164">
            <v>41244</v>
          </cell>
          <cell r="E1164">
            <v>0</v>
          </cell>
          <cell r="F1164">
            <v>0</v>
          </cell>
          <cell r="G1164">
            <v>500000</v>
          </cell>
          <cell r="H1164">
            <v>0</v>
          </cell>
          <cell r="I1164">
            <v>0</v>
          </cell>
        </row>
        <row r="1165">
          <cell r="A1165" t="str">
            <v>1610|439202</v>
          </cell>
          <cell r="B1165" t="str">
            <v>1610</v>
          </cell>
          <cell r="C1165">
            <v>439202</v>
          </cell>
          <cell r="D1165">
            <v>41244</v>
          </cell>
          <cell r="E1165">
            <v>0</v>
          </cell>
          <cell r="F1165">
            <v>0</v>
          </cell>
          <cell r="G1165">
            <v>396000</v>
          </cell>
          <cell r="H1165">
            <v>0</v>
          </cell>
          <cell r="I1165">
            <v>0</v>
          </cell>
        </row>
        <row r="1166">
          <cell r="A1166" t="str">
            <v>1610|439203</v>
          </cell>
          <cell r="B1166" t="str">
            <v>1610</v>
          </cell>
          <cell r="C1166">
            <v>439203</v>
          </cell>
          <cell r="D1166">
            <v>41244</v>
          </cell>
          <cell r="E1166">
            <v>0</v>
          </cell>
          <cell r="F1166">
            <v>0</v>
          </cell>
          <cell r="G1166">
            <v>-1135000</v>
          </cell>
          <cell r="H1166">
            <v>0</v>
          </cell>
          <cell r="I1166">
            <v>0</v>
          </cell>
        </row>
        <row r="1167">
          <cell r="A1167" t="str">
            <v>1610|440002</v>
          </cell>
          <cell r="B1167" t="str">
            <v>1610</v>
          </cell>
          <cell r="C1167">
            <v>440002</v>
          </cell>
          <cell r="D1167">
            <v>41244</v>
          </cell>
          <cell r="E1167">
            <v>26883975</v>
          </cell>
          <cell r="F1167">
            <v>26883975</v>
          </cell>
          <cell r="G1167">
            <v>16785248</v>
          </cell>
          <cell r="H1167">
            <v>2240331</v>
          </cell>
          <cell r="I1167">
            <v>1116969</v>
          </cell>
        </row>
        <row r="1168">
          <cell r="A1168" t="str">
            <v>1610|440003</v>
          </cell>
          <cell r="B1168" t="str">
            <v>1610</v>
          </cell>
          <cell r="C1168">
            <v>440003</v>
          </cell>
          <cell r="D1168">
            <v>41244</v>
          </cell>
          <cell r="E1168">
            <v>51671107</v>
          </cell>
          <cell r="F1168">
            <v>51671107</v>
          </cell>
          <cell r="G1168">
            <v>46621986</v>
          </cell>
          <cell r="H1168">
            <v>4305926</v>
          </cell>
          <cell r="I1168">
            <v>3743452</v>
          </cell>
        </row>
        <row r="1169">
          <cell r="A1169" t="str">
            <v>1610|446002</v>
          </cell>
          <cell r="B1169" t="str">
            <v>1610</v>
          </cell>
          <cell r="C1169">
            <v>446002</v>
          </cell>
          <cell r="D1169">
            <v>41244</v>
          </cell>
          <cell r="E1169">
            <v>12778887</v>
          </cell>
          <cell r="F1169">
            <v>12778887</v>
          </cell>
          <cell r="G1169">
            <v>6643751</v>
          </cell>
          <cell r="H1169">
            <v>1064907</v>
          </cell>
          <cell r="I1169">
            <v>350000</v>
          </cell>
        </row>
        <row r="1170">
          <cell r="A1170" t="str">
            <v>1610|447002</v>
          </cell>
          <cell r="B1170" t="str">
            <v>1610</v>
          </cell>
          <cell r="C1170">
            <v>447002</v>
          </cell>
          <cell r="D1170">
            <v>41244</v>
          </cell>
          <cell r="E1170">
            <v>4145303</v>
          </cell>
          <cell r="F1170">
            <v>4145303</v>
          </cell>
          <cell r="G1170">
            <v>3021192</v>
          </cell>
          <cell r="H1170">
            <v>345442</v>
          </cell>
          <cell r="I1170">
            <v>254003</v>
          </cell>
        </row>
        <row r="1171">
          <cell r="A1171" t="str">
            <v>1610|447003</v>
          </cell>
          <cell r="B1171" t="str">
            <v>1610</v>
          </cell>
          <cell r="C1171">
            <v>447003</v>
          </cell>
          <cell r="D1171">
            <v>41244</v>
          </cell>
          <cell r="E1171">
            <v>3693693</v>
          </cell>
          <cell r="F1171">
            <v>3693693</v>
          </cell>
          <cell r="G1171">
            <v>6763007</v>
          </cell>
          <cell r="H1171">
            <v>307808</v>
          </cell>
          <cell r="I1171">
            <v>568851</v>
          </cell>
        </row>
        <row r="1172">
          <cell r="A1172" t="str">
            <v>1610|447012</v>
          </cell>
          <cell r="B1172" t="str">
            <v>1610</v>
          </cell>
          <cell r="C1172">
            <v>447012</v>
          </cell>
          <cell r="D1172">
            <v>41244</v>
          </cell>
          <cell r="E1172">
            <v>9769186</v>
          </cell>
          <cell r="F1172">
            <v>9769186</v>
          </cell>
          <cell r="G1172">
            <v>7119990</v>
          </cell>
          <cell r="H1172">
            <v>814099</v>
          </cell>
          <cell r="I1172">
            <v>598605</v>
          </cell>
        </row>
        <row r="1173">
          <cell r="A1173" t="str">
            <v>1610|447013</v>
          </cell>
          <cell r="B1173" t="str">
            <v>1610</v>
          </cell>
          <cell r="C1173">
            <v>447013</v>
          </cell>
          <cell r="D1173">
            <v>41244</v>
          </cell>
          <cell r="E1173">
            <v>8704880</v>
          </cell>
          <cell r="F1173">
            <v>8704880</v>
          </cell>
          <cell r="G1173">
            <v>20020804</v>
          </cell>
          <cell r="H1173">
            <v>725407</v>
          </cell>
          <cell r="I1173">
            <v>1683834</v>
          </cell>
        </row>
        <row r="1174">
          <cell r="A1174" t="str">
            <v>1610|447022</v>
          </cell>
          <cell r="B1174" t="str">
            <v>1610</v>
          </cell>
          <cell r="C1174">
            <v>447022</v>
          </cell>
          <cell r="D1174">
            <v>41244</v>
          </cell>
          <cell r="E1174">
            <v>414530</v>
          </cell>
          <cell r="F1174">
            <v>414530</v>
          </cell>
          <cell r="G1174">
            <v>481336</v>
          </cell>
          <cell r="H1174">
            <v>34544</v>
          </cell>
          <cell r="I1174">
            <v>19650</v>
          </cell>
        </row>
        <row r="1175">
          <cell r="A1175" t="str">
            <v>1610|447023</v>
          </cell>
          <cell r="B1175" t="str">
            <v>1610</v>
          </cell>
          <cell r="C1175">
            <v>447023</v>
          </cell>
          <cell r="D1175">
            <v>41244</v>
          </cell>
          <cell r="E1175">
            <v>369369</v>
          </cell>
          <cell r="F1175">
            <v>369369</v>
          </cell>
          <cell r="G1175">
            <v>1457362</v>
          </cell>
          <cell r="H1175">
            <v>30781</v>
          </cell>
          <cell r="I1175">
            <v>151300</v>
          </cell>
        </row>
        <row r="1176">
          <cell r="A1176" t="str">
            <v>1610|448002</v>
          </cell>
          <cell r="B1176" t="str">
            <v>1610</v>
          </cell>
          <cell r="C1176">
            <v>448002</v>
          </cell>
          <cell r="D1176">
            <v>41244</v>
          </cell>
          <cell r="E1176">
            <v>24628834</v>
          </cell>
          <cell r="F1176">
            <v>24628834</v>
          </cell>
          <cell r="G1176">
            <v>28827100</v>
          </cell>
          <cell r="H1176">
            <v>2052403</v>
          </cell>
          <cell r="I1176">
            <v>4823700</v>
          </cell>
        </row>
        <row r="1177">
          <cell r="A1177" t="str">
            <v>1610|448003</v>
          </cell>
          <cell r="B1177" t="str">
            <v>1610</v>
          </cell>
          <cell r="C1177">
            <v>448003</v>
          </cell>
          <cell r="D1177">
            <v>41244</v>
          </cell>
          <cell r="E1177">
            <v>35374563</v>
          </cell>
          <cell r="F1177">
            <v>35374563</v>
          </cell>
          <cell r="G1177">
            <v>18452800</v>
          </cell>
          <cell r="H1177">
            <v>2947880</v>
          </cell>
          <cell r="I1177">
            <v>1614300</v>
          </cell>
        </row>
        <row r="1178">
          <cell r="A1178" t="str">
            <v>1610|449022</v>
          </cell>
          <cell r="B1178" t="str">
            <v>1610</v>
          </cell>
          <cell r="C1178">
            <v>449022</v>
          </cell>
          <cell r="D1178">
            <v>41244</v>
          </cell>
          <cell r="E1178">
            <v>7920000</v>
          </cell>
          <cell r="F1178">
            <v>7920000</v>
          </cell>
          <cell r="G1178">
            <v>7805000</v>
          </cell>
          <cell r="H1178">
            <v>660000</v>
          </cell>
          <cell r="I1178">
            <v>705500</v>
          </cell>
        </row>
        <row r="1179">
          <cell r="A1179" t="str">
            <v>1610|449023</v>
          </cell>
          <cell r="B1179" t="str">
            <v>1610</v>
          </cell>
          <cell r="C1179">
            <v>449023</v>
          </cell>
          <cell r="D1179">
            <v>41244</v>
          </cell>
          <cell r="E1179">
            <v>41370000</v>
          </cell>
          <cell r="F1179">
            <v>41370000</v>
          </cell>
          <cell r="G1179">
            <v>41346287</v>
          </cell>
          <cell r="H1179">
            <v>3447500</v>
          </cell>
          <cell r="I1179">
            <v>3653250</v>
          </cell>
        </row>
        <row r="1180">
          <cell r="A1180" t="str">
            <v>1610|449032</v>
          </cell>
          <cell r="B1180" t="str">
            <v>1610</v>
          </cell>
          <cell r="C1180">
            <v>449032</v>
          </cell>
          <cell r="D1180">
            <v>41244</v>
          </cell>
          <cell r="E1180">
            <v>41938447</v>
          </cell>
          <cell r="F1180">
            <v>41938447</v>
          </cell>
          <cell r="G1180">
            <v>800000</v>
          </cell>
          <cell r="H1180">
            <v>3494874</v>
          </cell>
          <cell r="I1180">
            <v>0</v>
          </cell>
        </row>
        <row r="1181">
          <cell r="A1181" t="str">
            <v>1610|449040</v>
          </cell>
          <cell r="B1181" t="str">
            <v>1610</v>
          </cell>
          <cell r="C1181">
            <v>449040</v>
          </cell>
          <cell r="D1181">
            <v>41244</v>
          </cell>
          <cell r="E1181">
            <v>550000</v>
          </cell>
          <cell r="F1181">
            <v>550000</v>
          </cell>
          <cell r="G1181">
            <v>0</v>
          </cell>
          <cell r="H1181">
            <v>45834</v>
          </cell>
          <cell r="I1181">
            <v>0</v>
          </cell>
        </row>
        <row r="1182">
          <cell r="A1182" t="str">
            <v>1610|449050</v>
          </cell>
          <cell r="B1182" t="str">
            <v>1610</v>
          </cell>
          <cell r="C1182">
            <v>449050</v>
          </cell>
          <cell r="D1182">
            <v>41244</v>
          </cell>
          <cell r="E1182">
            <v>29600004</v>
          </cell>
          <cell r="F1182">
            <v>29600004</v>
          </cell>
          <cell r="G1182">
            <v>29600004</v>
          </cell>
          <cell r="H1182">
            <v>2466667</v>
          </cell>
          <cell r="I1182">
            <v>2466667</v>
          </cell>
        </row>
        <row r="1183">
          <cell r="A1183" t="str">
            <v>1610|449061</v>
          </cell>
          <cell r="B1183" t="str">
            <v>1610</v>
          </cell>
          <cell r="C1183">
            <v>449061</v>
          </cell>
          <cell r="D1183">
            <v>41244</v>
          </cell>
          <cell r="E1183">
            <v>12073400</v>
          </cell>
          <cell r="F1183">
            <v>12073400</v>
          </cell>
          <cell r="G1183">
            <v>28416200</v>
          </cell>
          <cell r="H1183">
            <v>1006116</v>
          </cell>
          <cell r="I1183">
            <v>2879800</v>
          </cell>
        </row>
        <row r="1184">
          <cell r="A1184" t="str">
            <v>1610|470102</v>
          </cell>
          <cell r="B1184" t="str">
            <v>1610</v>
          </cell>
          <cell r="C1184">
            <v>470102</v>
          </cell>
          <cell r="D1184">
            <v>41244</v>
          </cell>
          <cell r="E1184">
            <v>3497273</v>
          </cell>
          <cell r="F1184">
            <v>3497273</v>
          </cell>
          <cell r="G1184">
            <v>5171243</v>
          </cell>
          <cell r="H1184">
            <v>291439</v>
          </cell>
          <cell r="I1184">
            <v>216500</v>
          </cell>
        </row>
        <row r="1185">
          <cell r="A1185" t="str">
            <v>1610|471000</v>
          </cell>
          <cell r="B1185" t="str">
            <v>1610</v>
          </cell>
          <cell r="C1185">
            <v>471000</v>
          </cell>
          <cell r="D1185">
            <v>41244</v>
          </cell>
          <cell r="E1185">
            <v>11940000</v>
          </cell>
          <cell r="F1185">
            <v>11940000</v>
          </cell>
          <cell r="G1185">
            <v>15991630</v>
          </cell>
          <cell r="H1185">
            <v>995000</v>
          </cell>
          <cell r="I1185">
            <v>5970000</v>
          </cell>
        </row>
        <row r="1186">
          <cell r="A1186" t="str">
            <v>1610|472000</v>
          </cell>
          <cell r="B1186" t="str">
            <v>1610</v>
          </cell>
          <cell r="C1186">
            <v>472000</v>
          </cell>
          <cell r="D1186">
            <v>41244</v>
          </cell>
          <cell r="E1186">
            <v>600000</v>
          </cell>
          <cell r="F1186">
            <v>600000</v>
          </cell>
          <cell r="G1186">
            <v>15000</v>
          </cell>
          <cell r="H1186">
            <v>50000</v>
          </cell>
          <cell r="I1186">
            <v>0</v>
          </cell>
        </row>
        <row r="1187">
          <cell r="A1187" t="str">
            <v>1610|473000</v>
          </cell>
          <cell r="B1187" t="str">
            <v>1610</v>
          </cell>
          <cell r="C1187">
            <v>473000</v>
          </cell>
          <cell r="D1187">
            <v>41244</v>
          </cell>
          <cell r="E1187">
            <v>1625000</v>
          </cell>
          <cell r="F1187">
            <v>1625000</v>
          </cell>
          <cell r="G1187">
            <v>1220214</v>
          </cell>
          <cell r="H1187">
            <v>135416</v>
          </cell>
          <cell r="I1187">
            <v>0</v>
          </cell>
        </row>
        <row r="1188">
          <cell r="A1188" t="str">
            <v>1610|473120</v>
          </cell>
          <cell r="B1188" t="str">
            <v>1610</v>
          </cell>
          <cell r="C1188">
            <v>473120</v>
          </cell>
          <cell r="D1188">
            <v>41244</v>
          </cell>
          <cell r="E1188">
            <v>14576737</v>
          </cell>
          <cell r="F1188">
            <v>14576737</v>
          </cell>
          <cell r="G1188">
            <v>11405269</v>
          </cell>
          <cell r="H1188">
            <v>1214728</v>
          </cell>
          <cell r="I1188">
            <v>1015443</v>
          </cell>
        </row>
        <row r="1189">
          <cell r="A1189" t="str">
            <v>1610|475006</v>
          </cell>
          <cell r="B1189" t="str">
            <v>1610</v>
          </cell>
          <cell r="C1189">
            <v>475006</v>
          </cell>
          <cell r="D1189">
            <v>41244</v>
          </cell>
          <cell r="E1189">
            <v>2301750</v>
          </cell>
          <cell r="F1189">
            <v>2301750</v>
          </cell>
          <cell r="G1189">
            <v>2523756</v>
          </cell>
          <cell r="H1189">
            <v>191812</v>
          </cell>
          <cell r="I1189">
            <v>210313</v>
          </cell>
        </row>
        <row r="1190">
          <cell r="A1190" t="str">
            <v>1610|476000</v>
          </cell>
          <cell r="B1190" t="str">
            <v>1610</v>
          </cell>
          <cell r="C1190">
            <v>476000</v>
          </cell>
          <cell r="D1190">
            <v>41244</v>
          </cell>
          <cell r="E1190">
            <v>5127481</v>
          </cell>
          <cell r="F1190">
            <v>5127481</v>
          </cell>
          <cell r="G1190">
            <v>3728897</v>
          </cell>
          <cell r="H1190">
            <v>427290</v>
          </cell>
          <cell r="I1190">
            <v>0</v>
          </cell>
        </row>
        <row r="1191">
          <cell r="A1191" t="str">
            <v>1610|476001</v>
          </cell>
          <cell r="B1191" t="str">
            <v>1610</v>
          </cell>
          <cell r="C1191">
            <v>476001</v>
          </cell>
          <cell r="D1191">
            <v>41244</v>
          </cell>
          <cell r="E1191">
            <v>1162000</v>
          </cell>
          <cell r="F1191">
            <v>1162000</v>
          </cell>
          <cell r="G1191">
            <v>52500</v>
          </cell>
          <cell r="H1191">
            <v>96833</v>
          </cell>
          <cell r="I1191">
            <v>0</v>
          </cell>
        </row>
        <row r="1192">
          <cell r="A1192" t="str">
            <v>1610|476002</v>
          </cell>
          <cell r="B1192" t="str">
            <v>1610</v>
          </cell>
          <cell r="C1192">
            <v>476002</v>
          </cell>
          <cell r="D1192">
            <v>41244</v>
          </cell>
          <cell r="E1192">
            <v>370652</v>
          </cell>
          <cell r="F1192">
            <v>370652</v>
          </cell>
          <cell r="G1192">
            <v>0</v>
          </cell>
          <cell r="H1192">
            <v>30888</v>
          </cell>
          <cell r="I1192">
            <v>0</v>
          </cell>
        </row>
        <row r="1193">
          <cell r="A1193" t="str">
            <v>1610|476220</v>
          </cell>
          <cell r="B1193" t="str">
            <v>1610</v>
          </cell>
          <cell r="C1193">
            <v>476220</v>
          </cell>
          <cell r="D1193">
            <v>41244</v>
          </cell>
          <cell r="E1193">
            <v>499039</v>
          </cell>
          <cell r="F1193">
            <v>499039</v>
          </cell>
          <cell r="G1193">
            <v>286352</v>
          </cell>
          <cell r="H1193">
            <v>41587</v>
          </cell>
          <cell r="I1193">
            <v>0</v>
          </cell>
        </row>
        <row r="1194">
          <cell r="A1194" t="str">
            <v>1610|477500</v>
          </cell>
          <cell r="B1194" t="str">
            <v>1610</v>
          </cell>
          <cell r="C1194">
            <v>477500</v>
          </cell>
          <cell r="D1194">
            <v>41244</v>
          </cell>
          <cell r="E1194">
            <v>0</v>
          </cell>
          <cell r="F1194">
            <v>0</v>
          </cell>
          <cell r="G1194">
            <v>1525178</v>
          </cell>
          <cell r="H1194">
            <v>0</v>
          </cell>
          <cell r="I1194">
            <v>0</v>
          </cell>
        </row>
        <row r="1195">
          <cell r="A1195" t="str">
            <v>1700|211100</v>
          </cell>
          <cell r="B1195" t="str">
            <v>1700</v>
          </cell>
          <cell r="C1195">
            <v>211100</v>
          </cell>
          <cell r="D1195">
            <v>41244</v>
          </cell>
          <cell r="E1195">
            <v>421667</v>
          </cell>
          <cell r="F1195">
            <v>421667</v>
          </cell>
          <cell r="G1195">
            <v>4799498</v>
          </cell>
          <cell r="H1195">
            <v>35139</v>
          </cell>
          <cell r="I1195">
            <v>778793</v>
          </cell>
        </row>
        <row r="1196">
          <cell r="A1196" t="str">
            <v>1700|420002</v>
          </cell>
          <cell r="B1196" t="str">
            <v>1700</v>
          </cell>
          <cell r="C1196">
            <v>420002</v>
          </cell>
          <cell r="D1196">
            <v>41244</v>
          </cell>
          <cell r="E1196">
            <v>71303847</v>
          </cell>
          <cell r="F1196">
            <v>71303847</v>
          </cell>
          <cell r="G1196">
            <v>100407643</v>
          </cell>
          <cell r="H1196">
            <v>5941987</v>
          </cell>
          <cell r="I1196">
            <v>14500000</v>
          </cell>
        </row>
        <row r="1197">
          <cell r="A1197" t="str">
            <v>1700|420003</v>
          </cell>
          <cell r="B1197" t="str">
            <v>1700</v>
          </cell>
          <cell r="C1197">
            <v>420003</v>
          </cell>
          <cell r="D1197">
            <v>41244</v>
          </cell>
          <cell r="E1197">
            <v>501197478</v>
          </cell>
          <cell r="F1197">
            <v>501197478</v>
          </cell>
          <cell r="G1197">
            <v>462282853</v>
          </cell>
          <cell r="H1197">
            <v>41766456</v>
          </cell>
          <cell r="I1197">
            <v>41409767</v>
          </cell>
        </row>
        <row r="1198">
          <cell r="A1198" t="str">
            <v>1700|422002</v>
          </cell>
          <cell r="B1198" t="str">
            <v>1700</v>
          </cell>
          <cell r="C1198">
            <v>422002</v>
          </cell>
          <cell r="D1198">
            <v>41244</v>
          </cell>
          <cell r="E1198">
            <v>120189</v>
          </cell>
          <cell r="F1198">
            <v>120189</v>
          </cell>
          <cell r="G1198">
            <v>244800</v>
          </cell>
          <cell r="H1198">
            <v>10016</v>
          </cell>
          <cell r="I1198">
            <v>0</v>
          </cell>
        </row>
        <row r="1199">
          <cell r="A1199" t="str">
            <v>1700|431000</v>
          </cell>
          <cell r="B1199" t="str">
            <v>1700</v>
          </cell>
          <cell r="C1199">
            <v>431000</v>
          </cell>
          <cell r="D1199">
            <v>41244</v>
          </cell>
          <cell r="E1199">
            <v>0</v>
          </cell>
          <cell r="F1199">
            <v>0</v>
          </cell>
          <cell r="G1199">
            <v>1091764</v>
          </cell>
          <cell r="H1199">
            <v>0</v>
          </cell>
          <cell r="I1199">
            <v>0</v>
          </cell>
        </row>
        <row r="1200">
          <cell r="A1200" t="str">
            <v>1700|431002</v>
          </cell>
          <cell r="B1200" t="str">
            <v>1700</v>
          </cell>
          <cell r="C1200">
            <v>431002</v>
          </cell>
          <cell r="D1200">
            <v>41244</v>
          </cell>
          <cell r="E1200">
            <v>0</v>
          </cell>
          <cell r="F1200">
            <v>0</v>
          </cell>
          <cell r="G1200">
            <v>2133381</v>
          </cell>
          <cell r="H1200">
            <v>0</v>
          </cell>
          <cell r="I1200">
            <v>569240</v>
          </cell>
        </row>
        <row r="1201">
          <cell r="A1201" t="str">
            <v>1700|434013</v>
          </cell>
          <cell r="B1201" t="str">
            <v>1700</v>
          </cell>
          <cell r="C1201">
            <v>434013</v>
          </cell>
          <cell r="D1201">
            <v>41244</v>
          </cell>
          <cell r="E1201">
            <v>39021000</v>
          </cell>
          <cell r="F1201">
            <v>39021000</v>
          </cell>
          <cell r="G1201">
            <v>32446264</v>
          </cell>
          <cell r="H1201">
            <v>3251750</v>
          </cell>
          <cell r="I1201">
            <v>2733193</v>
          </cell>
        </row>
        <row r="1202">
          <cell r="A1202" t="str">
            <v>1700|435002</v>
          </cell>
          <cell r="B1202" t="str">
            <v>1700</v>
          </cell>
          <cell r="C1202">
            <v>435002</v>
          </cell>
          <cell r="D1202">
            <v>41244</v>
          </cell>
          <cell r="E1202">
            <v>5941987</v>
          </cell>
          <cell r="F1202">
            <v>5941987</v>
          </cell>
          <cell r="G1202">
            <v>6111458</v>
          </cell>
          <cell r="H1202">
            <v>495166</v>
          </cell>
          <cell r="I1202">
            <v>2625000</v>
          </cell>
        </row>
        <row r="1203">
          <cell r="A1203" t="str">
            <v>1700|435003</v>
          </cell>
          <cell r="B1203" t="str">
            <v>1700</v>
          </cell>
          <cell r="C1203">
            <v>435003</v>
          </cell>
          <cell r="D1203">
            <v>41244</v>
          </cell>
          <cell r="E1203">
            <v>62649685</v>
          </cell>
          <cell r="F1203">
            <v>62649685</v>
          </cell>
          <cell r="G1203">
            <v>34448198</v>
          </cell>
          <cell r="H1203">
            <v>5220807</v>
          </cell>
          <cell r="I1203">
            <v>0</v>
          </cell>
        </row>
        <row r="1204">
          <cell r="A1204" t="str">
            <v>1700|439003</v>
          </cell>
          <cell r="B1204" t="str">
            <v>1700</v>
          </cell>
          <cell r="C1204">
            <v>439003</v>
          </cell>
          <cell r="D1204">
            <v>41244</v>
          </cell>
          <cell r="E1204">
            <v>88111268</v>
          </cell>
          <cell r="F1204">
            <v>88111268</v>
          </cell>
          <cell r="G1204">
            <v>122122399</v>
          </cell>
          <cell r="H1204">
            <v>7342606</v>
          </cell>
          <cell r="I1204">
            <v>16593200</v>
          </cell>
        </row>
        <row r="1205">
          <cell r="A1205" t="str">
            <v>1700|439008</v>
          </cell>
          <cell r="B1205" t="str">
            <v>1700</v>
          </cell>
          <cell r="C1205">
            <v>439008</v>
          </cell>
          <cell r="D1205">
            <v>41244</v>
          </cell>
          <cell r="E1205">
            <v>16368905</v>
          </cell>
          <cell r="F1205">
            <v>16368905</v>
          </cell>
          <cell r="G1205">
            <v>15770247</v>
          </cell>
          <cell r="H1205">
            <v>1364075</v>
          </cell>
          <cell r="I1205">
            <v>0</v>
          </cell>
        </row>
        <row r="1206">
          <cell r="A1206" t="str">
            <v>1700|439202</v>
          </cell>
          <cell r="B1206" t="str">
            <v>1700</v>
          </cell>
          <cell r="C1206">
            <v>439202</v>
          </cell>
          <cell r="D1206">
            <v>41244</v>
          </cell>
          <cell r="E1206">
            <v>0</v>
          </cell>
          <cell r="F1206">
            <v>0</v>
          </cell>
          <cell r="G1206">
            <v>5115000</v>
          </cell>
          <cell r="H1206">
            <v>0</v>
          </cell>
          <cell r="I1206">
            <v>1050000</v>
          </cell>
        </row>
        <row r="1207">
          <cell r="A1207" t="str">
            <v>1700|439203</v>
          </cell>
          <cell r="B1207" t="str">
            <v>1700</v>
          </cell>
          <cell r="C1207">
            <v>439203</v>
          </cell>
          <cell r="D1207">
            <v>41244</v>
          </cell>
          <cell r="E1207">
            <v>0</v>
          </cell>
          <cell r="F1207">
            <v>0</v>
          </cell>
          <cell r="G1207">
            <v>7455000</v>
          </cell>
          <cell r="H1207">
            <v>0</v>
          </cell>
          <cell r="I1207">
            <v>950000</v>
          </cell>
        </row>
        <row r="1208">
          <cell r="A1208" t="str">
            <v>1700|440002</v>
          </cell>
          <cell r="B1208" t="str">
            <v>1700</v>
          </cell>
          <cell r="C1208">
            <v>440002</v>
          </cell>
          <cell r="D1208">
            <v>41244</v>
          </cell>
          <cell r="E1208">
            <v>5941987</v>
          </cell>
          <cell r="F1208">
            <v>5941987</v>
          </cell>
          <cell r="G1208">
            <v>4994222</v>
          </cell>
          <cell r="H1208">
            <v>495166</v>
          </cell>
          <cell r="I1208">
            <v>558485</v>
          </cell>
        </row>
        <row r="1209">
          <cell r="A1209" t="str">
            <v>1700|440003</v>
          </cell>
          <cell r="B1209" t="str">
            <v>1700</v>
          </cell>
          <cell r="C1209">
            <v>440003</v>
          </cell>
          <cell r="D1209">
            <v>41244</v>
          </cell>
          <cell r="E1209">
            <v>47168559</v>
          </cell>
          <cell r="F1209">
            <v>47168559</v>
          </cell>
          <cell r="G1209">
            <v>37318415</v>
          </cell>
          <cell r="H1209">
            <v>3930713</v>
          </cell>
          <cell r="I1209">
            <v>3825852</v>
          </cell>
        </row>
        <row r="1210">
          <cell r="A1210" t="str">
            <v>1700|446002</v>
          </cell>
          <cell r="B1210" t="str">
            <v>1700</v>
          </cell>
          <cell r="C1210">
            <v>446002</v>
          </cell>
          <cell r="D1210">
            <v>41244</v>
          </cell>
          <cell r="E1210">
            <v>2970994</v>
          </cell>
          <cell r="F1210">
            <v>2970994</v>
          </cell>
          <cell r="G1210">
            <v>2311225</v>
          </cell>
          <cell r="H1210">
            <v>247583</v>
          </cell>
          <cell r="I1210">
            <v>0</v>
          </cell>
        </row>
        <row r="1211">
          <cell r="A1211" t="str">
            <v>1700|447002</v>
          </cell>
          <cell r="B1211" t="str">
            <v>1700</v>
          </cell>
          <cell r="C1211">
            <v>447002</v>
          </cell>
          <cell r="D1211">
            <v>41244</v>
          </cell>
          <cell r="E1211">
            <v>2072652</v>
          </cell>
          <cell r="F1211">
            <v>2072652</v>
          </cell>
          <cell r="G1211">
            <v>1329870</v>
          </cell>
          <cell r="H1211">
            <v>172721</v>
          </cell>
          <cell r="I1211">
            <v>164850</v>
          </cell>
        </row>
        <row r="1212">
          <cell r="A1212" t="str">
            <v>1700|447003</v>
          </cell>
          <cell r="B1212" t="str">
            <v>1700</v>
          </cell>
          <cell r="C1212">
            <v>447003</v>
          </cell>
          <cell r="D1212">
            <v>41244</v>
          </cell>
          <cell r="E1212">
            <v>4457390</v>
          </cell>
          <cell r="F1212">
            <v>4457390</v>
          </cell>
          <cell r="G1212">
            <v>5565551</v>
          </cell>
          <cell r="H1212">
            <v>371449</v>
          </cell>
          <cell r="I1212">
            <v>474520</v>
          </cell>
        </row>
        <row r="1213">
          <cell r="A1213" t="str">
            <v>1700|447012</v>
          </cell>
          <cell r="B1213" t="str">
            <v>1700</v>
          </cell>
          <cell r="C1213">
            <v>447012</v>
          </cell>
          <cell r="D1213">
            <v>41244</v>
          </cell>
          <cell r="E1213">
            <v>4884593</v>
          </cell>
          <cell r="F1213">
            <v>4884593</v>
          </cell>
          <cell r="G1213">
            <v>3134088</v>
          </cell>
          <cell r="H1213">
            <v>407049</v>
          </cell>
          <cell r="I1213">
            <v>388500</v>
          </cell>
        </row>
        <row r="1214">
          <cell r="A1214" t="str">
            <v>1700|447013</v>
          </cell>
          <cell r="B1214" t="str">
            <v>1700</v>
          </cell>
          <cell r="C1214">
            <v>447013</v>
          </cell>
          <cell r="D1214">
            <v>41244</v>
          </cell>
          <cell r="E1214">
            <v>10504677</v>
          </cell>
          <cell r="F1214">
            <v>10504677</v>
          </cell>
          <cell r="G1214">
            <v>15779436</v>
          </cell>
          <cell r="H1214">
            <v>875390</v>
          </cell>
          <cell r="I1214">
            <v>1452047</v>
          </cell>
        </row>
        <row r="1215">
          <cell r="A1215" t="str">
            <v>1700|447022</v>
          </cell>
          <cell r="B1215" t="str">
            <v>1700</v>
          </cell>
          <cell r="C1215">
            <v>447022</v>
          </cell>
          <cell r="D1215">
            <v>41244</v>
          </cell>
          <cell r="E1215">
            <v>207265</v>
          </cell>
          <cell r="F1215">
            <v>207265</v>
          </cell>
          <cell r="G1215">
            <v>158620</v>
          </cell>
          <cell r="H1215">
            <v>17272</v>
          </cell>
          <cell r="I1215">
            <v>8650</v>
          </cell>
        </row>
        <row r="1216">
          <cell r="A1216" t="str">
            <v>1700|447023</v>
          </cell>
          <cell r="B1216" t="str">
            <v>1700</v>
          </cell>
          <cell r="C1216">
            <v>447023</v>
          </cell>
          <cell r="D1216">
            <v>41244</v>
          </cell>
          <cell r="E1216">
            <v>445739</v>
          </cell>
          <cell r="F1216">
            <v>445739</v>
          </cell>
          <cell r="G1216">
            <v>1713502</v>
          </cell>
          <cell r="H1216">
            <v>37145</v>
          </cell>
          <cell r="I1216">
            <v>146550</v>
          </cell>
        </row>
        <row r="1217">
          <cell r="A1217" t="str">
            <v>1700|448002</v>
          </cell>
          <cell r="B1217" t="str">
            <v>1700</v>
          </cell>
          <cell r="C1217">
            <v>448002</v>
          </cell>
          <cell r="D1217">
            <v>41244</v>
          </cell>
          <cell r="E1217">
            <v>12314417</v>
          </cell>
          <cell r="F1217">
            <v>12314417</v>
          </cell>
          <cell r="G1217">
            <v>29790200</v>
          </cell>
          <cell r="H1217">
            <v>1026201</v>
          </cell>
          <cell r="I1217">
            <v>4730600</v>
          </cell>
        </row>
        <row r="1218">
          <cell r="A1218" t="str">
            <v>1700|448003</v>
          </cell>
          <cell r="B1218" t="str">
            <v>1700</v>
          </cell>
          <cell r="C1218">
            <v>448003</v>
          </cell>
          <cell r="D1218">
            <v>41244</v>
          </cell>
          <cell r="E1218">
            <v>42397005</v>
          </cell>
          <cell r="F1218">
            <v>42397005</v>
          </cell>
          <cell r="G1218">
            <v>6820760</v>
          </cell>
          <cell r="H1218">
            <v>3533084</v>
          </cell>
          <cell r="I1218">
            <v>0</v>
          </cell>
        </row>
        <row r="1219">
          <cell r="A1219" t="str">
            <v>1700|449022</v>
          </cell>
          <cell r="B1219" t="str">
            <v>1700</v>
          </cell>
          <cell r="C1219">
            <v>449022</v>
          </cell>
          <cell r="D1219">
            <v>41244</v>
          </cell>
          <cell r="E1219">
            <v>3960000</v>
          </cell>
          <cell r="F1219">
            <v>3960000</v>
          </cell>
          <cell r="G1219">
            <v>4901000</v>
          </cell>
          <cell r="H1219">
            <v>330000</v>
          </cell>
          <cell r="I1219">
            <v>756000</v>
          </cell>
        </row>
        <row r="1220">
          <cell r="A1220" t="str">
            <v>1700|449023</v>
          </cell>
          <cell r="B1220" t="str">
            <v>1700</v>
          </cell>
          <cell r="C1220">
            <v>449023</v>
          </cell>
          <cell r="D1220">
            <v>41244</v>
          </cell>
          <cell r="E1220">
            <v>3960000</v>
          </cell>
          <cell r="F1220">
            <v>3960000</v>
          </cell>
          <cell r="G1220">
            <v>2695000</v>
          </cell>
          <cell r="H1220">
            <v>330000</v>
          </cell>
          <cell r="I1220">
            <v>289000</v>
          </cell>
        </row>
        <row r="1221">
          <cell r="A1221" t="str">
            <v>1700|449040</v>
          </cell>
          <cell r="B1221" t="str">
            <v>1700</v>
          </cell>
          <cell r="C1221">
            <v>449040</v>
          </cell>
          <cell r="D1221">
            <v>41244</v>
          </cell>
          <cell r="E1221">
            <v>1350000</v>
          </cell>
          <cell r="F1221">
            <v>1350000</v>
          </cell>
          <cell r="G1221">
            <v>2190000</v>
          </cell>
          <cell r="H1221">
            <v>112501</v>
          </cell>
          <cell r="I1221">
            <v>0</v>
          </cell>
        </row>
        <row r="1222">
          <cell r="A1222" t="str">
            <v>1700|449061</v>
          </cell>
          <cell r="B1222" t="str">
            <v>1700</v>
          </cell>
          <cell r="C1222">
            <v>449061</v>
          </cell>
          <cell r="D1222">
            <v>41244</v>
          </cell>
          <cell r="E1222">
            <v>8564090</v>
          </cell>
          <cell r="F1222">
            <v>8564090</v>
          </cell>
          <cell r="G1222">
            <v>15648650</v>
          </cell>
          <cell r="H1222">
            <v>713674</v>
          </cell>
          <cell r="I1222">
            <v>2742150</v>
          </cell>
        </row>
        <row r="1223">
          <cell r="A1223" t="str">
            <v>1700|470102</v>
          </cell>
          <cell r="B1223" t="str">
            <v>1700</v>
          </cell>
          <cell r="C1223">
            <v>470102</v>
          </cell>
          <cell r="D1223">
            <v>41244</v>
          </cell>
          <cell r="E1223">
            <v>0</v>
          </cell>
          <cell r="F1223">
            <v>0</v>
          </cell>
          <cell r="G1223">
            <v>227692</v>
          </cell>
          <cell r="H1223">
            <v>0</v>
          </cell>
          <cell r="I1223">
            <v>0</v>
          </cell>
        </row>
        <row r="1224">
          <cell r="A1224" t="str">
            <v>1700|471000</v>
          </cell>
          <cell r="B1224" t="str">
            <v>1700</v>
          </cell>
          <cell r="C1224">
            <v>471000</v>
          </cell>
          <cell r="D1224">
            <v>41244</v>
          </cell>
          <cell r="E1224">
            <v>3980000</v>
          </cell>
          <cell r="F1224">
            <v>3980000</v>
          </cell>
          <cell r="G1224">
            <v>1715000</v>
          </cell>
          <cell r="H1224">
            <v>331667</v>
          </cell>
          <cell r="I1224">
            <v>0</v>
          </cell>
        </row>
        <row r="1225">
          <cell r="A1225" t="str">
            <v>1700|472000</v>
          </cell>
          <cell r="B1225" t="str">
            <v>1700</v>
          </cell>
          <cell r="C1225">
            <v>472000</v>
          </cell>
          <cell r="D1225">
            <v>41244</v>
          </cell>
          <cell r="E1225">
            <v>7500000</v>
          </cell>
          <cell r="F1225">
            <v>7500000</v>
          </cell>
          <cell r="G1225">
            <v>7660297</v>
          </cell>
          <cell r="H1225">
            <v>625000</v>
          </cell>
          <cell r="I1225">
            <v>4874993</v>
          </cell>
        </row>
        <row r="1226">
          <cell r="A1226" t="str">
            <v>1700|473000</v>
          </cell>
          <cell r="B1226" t="str">
            <v>1700</v>
          </cell>
          <cell r="C1226">
            <v>473000</v>
          </cell>
          <cell r="D1226">
            <v>41244</v>
          </cell>
          <cell r="E1226">
            <v>120000</v>
          </cell>
          <cell r="F1226">
            <v>120000</v>
          </cell>
          <cell r="G1226">
            <v>120000</v>
          </cell>
          <cell r="H1226">
            <v>10000</v>
          </cell>
          <cell r="I1226">
            <v>0</v>
          </cell>
        </row>
        <row r="1227">
          <cell r="A1227" t="str">
            <v>1700|473120</v>
          </cell>
          <cell r="B1227" t="str">
            <v>1700</v>
          </cell>
          <cell r="C1227">
            <v>473120</v>
          </cell>
          <cell r="D1227">
            <v>41244</v>
          </cell>
          <cell r="E1227">
            <v>9716300</v>
          </cell>
          <cell r="F1227">
            <v>9716300</v>
          </cell>
          <cell r="G1227">
            <v>19892680</v>
          </cell>
          <cell r="H1227">
            <v>809692</v>
          </cell>
          <cell r="I1227">
            <v>4110132</v>
          </cell>
        </row>
        <row r="1228">
          <cell r="A1228" t="str">
            <v>1700|474100</v>
          </cell>
          <cell r="B1228" t="str">
            <v>1700</v>
          </cell>
          <cell r="C1228">
            <v>474100</v>
          </cell>
          <cell r="D1228">
            <v>41244</v>
          </cell>
          <cell r="E1228">
            <v>84819500</v>
          </cell>
          <cell r="F1228">
            <v>84819500</v>
          </cell>
          <cell r="G1228">
            <v>126226187</v>
          </cell>
          <cell r="H1228">
            <v>7068292</v>
          </cell>
          <cell r="I1228">
            <v>47333916</v>
          </cell>
        </row>
        <row r="1229">
          <cell r="A1229" t="str">
            <v>1700|475004</v>
          </cell>
          <cell r="B1229" t="str">
            <v>1700</v>
          </cell>
          <cell r="C1229">
            <v>475004</v>
          </cell>
          <cell r="D1229">
            <v>41244</v>
          </cell>
          <cell r="E1229">
            <v>18323796</v>
          </cell>
          <cell r="F1229">
            <v>18323796</v>
          </cell>
          <cell r="G1229">
            <v>24404410</v>
          </cell>
          <cell r="H1229">
            <v>1526983</v>
          </cell>
          <cell r="I1229">
            <v>3087200</v>
          </cell>
        </row>
        <row r="1230">
          <cell r="A1230" t="str">
            <v>1700|475006</v>
          </cell>
          <cell r="B1230" t="str">
            <v>1700</v>
          </cell>
          <cell r="C1230">
            <v>475006</v>
          </cell>
          <cell r="D1230">
            <v>41244</v>
          </cell>
          <cell r="E1230">
            <v>4837670</v>
          </cell>
          <cell r="F1230">
            <v>4837670</v>
          </cell>
          <cell r="G1230">
            <v>5148756</v>
          </cell>
          <cell r="H1230">
            <v>403139</v>
          </cell>
          <cell r="I1230">
            <v>429063</v>
          </cell>
        </row>
        <row r="1231">
          <cell r="A1231" t="str">
            <v>1700|476000</v>
          </cell>
          <cell r="B1231" t="str">
            <v>1700</v>
          </cell>
          <cell r="C1231">
            <v>476000</v>
          </cell>
          <cell r="D1231">
            <v>41244</v>
          </cell>
          <cell r="E1231">
            <v>7394932</v>
          </cell>
          <cell r="F1231">
            <v>7394932</v>
          </cell>
          <cell r="G1231">
            <v>3774236</v>
          </cell>
          <cell r="H1231">
            <v>616244</v>
          </cell>
          <cell r="I1231">
            <v>0</v>
          </cell>
        </row>
        <row r="1232">
          <cell r="A1232" t="str">
            <v>1700|476001</v>
          </cell>
          <cell r="B1232" t="str">
            <v>1700</v>
          </cell>
          <cell r="C1232">
            <v>476001</v>
          </cell>
          <cell r="D1232">
            <v>41244</v>
          </cell>
          <cell r="E1232">
            <v>1922100</v>
          </cell>
          <cell r="F1232">
            <v>1922100</v>
          </cell>
          <cell r="G1232">
            <v>856571</v>
          </cell>
          <cell r="H1232">
            <v>160174</v>
          </cell>
          <cell r="I1232">
            <v>35133</v>
          </cell>
        </row>
        <row r="1233">
          <cell r="A1233" t="str">
            <v>1700|476002</v>
          </cell>
          <cell r="B1233" t="str">
            <v>1700</v>
          </cell>
          <cell r="C1233">
            <v>476002</v>
          </cell>
          <cell r="D1233">
            <v>41244</v>
          </cell>
          <cell r="E1233">
            <v>150000</v>
          </cell>
          <cell r="F1233">
            <v>150000</v>
          </cell>
          <cell r="G1233">
            <v>0</v>
          </cell>
          <cell r="H1233">
            <v>12500</v>
          </cell>
          <cell r="I1233">
            <v>0</v>
          </cell>
        </row>
        <row r="1234">
          <cell r="A1234" t="str">
            <v>1700|476201</v>
          </cell>
          <cell r="B1234" t="str">
            <v>1700</v>
          </cell>
          <cell r="C1234">
            <v>476201</v>
          </cell>
          <cell r="D1234">
            <v>41244</v>
          </cell>
          <cell r="E1234">
            <v>38400000</v>
          </cell>
          <cell r="F1234">
            <v>38400000</v>
          </cell>
          <cell r="G1234">
            <v>50612243</v>
          </cell>
          <cell r="H1234">
            <v>3200000</v>
          </cell>
          <cell r="I1234">
            <v>0</v>
          </cell>
        </row>
        <row r="1235">
          <cell r="A1235" t="str">
            <v>1700|476220</v>
          </cell>
          <cell r="B1235" t="str">
            <v>1700</v>
          </cell>
          <cell r="C1235">
            <v>476220</v>
          </cell>
          <cell r="D1235">
            <v>41244</v>
          </cell>
          <cell r="E1235">
            <v>0</v>
          </cell>
          <cell r="F1235">
            <v>0</v>
          </cell>
          <cell r="G1235">
            <v>1401635</v>
          </cell>
          <cell r="H1235">
            <v>0</v>
          </cell>
          <cell r="I1235">
            <v>306500</v>
          </cell>
        </row>
        <row r="1236">
          <cell r="A1236" t="str">
            <v>1700|476900</v>
          </cell>
          <cell r="B1236" t="str">
            <v>1700</v>
          </cell>
          <cell r="C1236">
            <v>476900</v>
          </cell>
          <cell r="D1236">
            <v>41244</v>
          </cell>
          <cell r="E1236">
            <v>3000000</v>
          </cell>
          <cell r="F1236">
            <v>3000000</v>
          </cell>
          <cell r="G1236">
            <v>4788378</v>
          </cell>
          <cell r="H1236">
            <v>249999</v>
          </cell>
          <cell r="I1236">
            <v>0</v>
          </cell>
        </row>
        <row r="1237">
          <cell r="A1237" t="str">
            <v>2100|211100</v>
          </cell>
          <cell r="B1237" t="str">
            <v>2100</v>
          </cell>
          <cell r="C1237">
            <v>211100</v>
          </cell>
          <cell r="D1237">
            <v>41244</v>
          </cell>
          <cell r="E1237">
            <v>27750537</v>
          </cell>
          <cell r="F1237">
            <v>27750537</v>
          </cell>
          <cell r="G1237">
            <v>42494629</v>
          </cell>
          <cell r="H1237">
            <v>2312545</v>
          </cell>
          <cell r="I1237">
            <v>6867293</v>
          </cell>
        </row>
        <row r="1238">
          <cell r="A1238" t="str">
            <v>2100|246000</v>
          </cell>
          <cell r="B1238" t="str">
            <v>2100</v>
          </cell>
          <cell r="C1238">
            <v>246000</v>
          </cell>
          <cell r="D1238">
            <v>41244</v>
          </cell>
          <cell r="E1238">
            <v>200000</v>
          </cell>
          <cell r="F1238">
            <v>200000</v>
          </cell>
          <cell r="G1238">
            <v>8074470</v>
          </cell>
          <cell r="H1238">
            <v>16667</v>
          </cell>
          <cell r="I1238">
            <v>0</v>
          </cell>
        </row>
        <row r="1239">
          <cell r="A1239" t="str">
            <v>2100|246006</v>
          </cell>
          <cell r="B1239" t="str">
            <v>2100</v>
          </cell>
          <cell r="C1239">
            <v>246006</v>
          </cell>
          <cell r="D1239">
            <v>41244</v>
          </cell>
          <cell r="E1239">
            <v>16112500</v>
          </cell>
          <cell r="F1239">
            <v>16112500</v>
          </cell>
          <cell r="G1239">
            <v>13350000</v>
          </cell>
          <cell r="H1239">
            <v>1342708</v>
          </cell>
          <cell r="I1239">
            <v>600000</v>
          </cell>
        </row>
        <row r="1240">
          <cell r="A1240" t="str">
            <v>2100|400040</v>
          </cell>
          <cell r="B1240" t="str">
            <v>2100</v>
          </cell>
          <cell r="C1240">
            <v>400040</v>
          </cell>
          <cell r="D1240">
            <v>41244</v>
          </cell>
          <cell r="E1240">
            <v>19885</v>
          </cell>
          <cell r="F1240">
            <v>19885</v>
          </cell>
          <cell r="G1240">
            <v>49400</v>
          </cell>
          <cell r="H1240">
            <v>1657</v>
          </cell>
          <cell r="I1240">
            <v>0</v>
          </cell>
        </row>
        <row r="1241">
          <cell r="A1241" t="str">
            <v>2100|405200</v>
          </cell>
          <cell r="B1241" t="str">
            <v>2100</v>
          </cell>
          <cell r="C1241">
            <v>405200</v>
          </cell>
          <cell r="D1241">
            <v>41244</v>
          </cell>
          <cell r="E1241">
            <v>0</v>
          </cell>
          <cell r="F1241">
            <v>0</v>
          </cell>
          <cell r="G1241">
            <v>1930909</v>
          </cell>
          <cell r="H1241">
            <v>0</v>
          </cell>
          <cell r="I1241">
            <v>0</v>
          </cell>
        </row>
        <row r="1242">
          <cell r="A1242" t="str">
            <v>2100|420003</v>
          </cell>
          <cell r="B1242" t="str">
            <v>2100</v>
          </cell>
          <cell r="C1242">
            <v>420003</v>
          </cell>
          <cell r="D1242">
            <v>41244</v>
          </cell>
          <cell r="E1242">
            <v>461595290</v>
          </cell>
          <cell r="F1242">
            <v>461595290</v>
          </cell>
          <cell r="G1242">
            <v>238433270</v>
          </cell>
          <cell r="H1242">
            <v>38466274</v>
          </cell>
          <cell r="I1242">
            <v>10711937</v>
          </cell>
        </row>
        <row r="1243">
          <cell r="A1243" t="str">
            <v>2100|422003</v>
          </cell>
          <cell r="B1243" t="str">
            <v>2100</v>
          </cell>
          <cell r="C1243">
            <v>422003</v>
          </cell>
          <cell r="D1243">
            <v>41244</v>
          </cell>
          <cell r="E1243">
            <v>533198552</v>
          </cell>
          <cell r="F1243">
            <v>533198552</v>
          </cell>
          <cell r="G1243">
            <v>0</v>
          </cell>
          <cell r="H1243">
            <v>44433213</v>
          </cell>
          <cell r="I1243">
            <v>0</v>
          </cell>
        </row>
        <row r="1244">
          <cell r="A1244" t="str">
            <v>2100|430010</v>
          </cell>
          <cell r="B1244" t="str">
            <v>2100</v>
          </cell>
          <cell r="C1244">
            <v>430010</v>
          </cell>
          <cell r="D1244">
            <v>41244</v>
          </cell>
          <cell r="E1244">
            <v>0</v>
          </cell>
          <cell r="F1244">
            <v>0</v>
          </cell>
          <cell r="G1244">
            <v>38119500</v>
          </cell>
          <cell r="H1244">
            <v>0</v>
          </cell>
          <cell r="I1244">
            <v>0</v>
          </cell>
        </row>
        <row r="1245">
          <cell r="A1245" t="str">
            <v>2100|431002</v>
          </cell>
          <cell r="B1245" t="str">
            <v>2100</v>
          </cell>
          <cell r="C1245">
            <v>431002</v>
          </cell>
          <cell r="D1245">
            <v>41244</v>
          </cell>
          <cell r="E1245">
            <v>568399</v>
          </cell>
          <cell r="F1245">
            <v>568399</v>
          </cell>
          <cell r="G1245">
            <v>0</v>
          </cell>
          <cell r="H1245">
            <v>47367</v>
          </cell>
          <cell r="I1245">
            <v>0</v>
          </cell>
        </row>
        <row r="1246">
          <cell r="A1246" t="str">
            <v>2100|434013</v>
          </cell>
          <cell r="B1246" t="str">
            <v>2100</v>
          </cell>
          <cell r="C1246">
            <v>434013</v>
          </cell>
          <cell r="D1246">
            <v>41244</v>
          </cell>
          <cell r="E1246">
            <v>0</v>
          </cell>
          <cell r="F1246">
            <v>0</v>
          </cell>
          <cell r="G1246">
            <v>11886263</v>
          </cell>
          <cell r="H1246">
            <v>0</v>
          </cell>
          <cell r="I1246">
            <v>2733193</v>
          </cell>
        </row>
        <row r="1247">
          <cell r="A1247" t="str">
            <v>2100|435003</v>
          </cell>
          <cell r="B1247" t="str">
            <v>2100</v>
          </cell>
          <cell r="C1247">
            <v>435003</v>
          </cell>
          <cell r="D1247">
            <v>41244</v>
          </cell>
          <cell r="E1247">
            <v>62649685</v>
          </cell>
          <cell r="F1247">
            <v>62649685</v>
          </cell>
          <cell r="G1247">
            <v>74500680</v>
          </cell>
          <cell r="H1247">
            <v>5220807</v>
          </cell>
          <cell r="I1247">
            <v>0</v>
          </cell>
        </row>
        <row r="1248">
          <cell r="A1248" t="str">
            <v>2100|439003</v>
          </cell>
          <cell r="B1248" t="str">
            <v>2100</v>
          </cell>
          <cell r="C1248">
            <v>439003</v>
          </cell>
          <cell r="D1248">
            <v>41244</v>
          </cell>
          <cell r="E1248">
            <v>92115925</v>
          </cell>
          <cell r="F1248">
            <v>92115925</v>
          </cell>
          <cell r="G1248">
            <v>117971172</v>
          </cell>
          <cell r="H1248">
            <v>7676327</v>
          </cell>
          <cell r="I1248">
            <v>16593200</v>
          </cell>
        </row>
        <row r="1249">
          <cell r="A1249" t="str">
            <v>2100|440003</v>
          </cell>
          <cell r="B1249" t="str">
            <v>2100</v>
          </cell>
          <cell r="C1249">
            <v>440003</v>
          </cell>
          <cell r="D1249">
            <v>41244</v>
          </cell>
          <cell r="E1249">
            <v>47168559</v>
          </cell>
          <cell r="F1249">
            <v>47168559</v>
          </cell>
          <cell r="G1249">
            <v>60640921</v>
          </cell>
          <cell r="H1249">
            <v>3930713</v>
          </cell>
          <cell r="I1249">
            <v>989677</v>
          </cell>
        </row>
        <row r="1250">
          <cell r="A1250" t="str">
            <v>2100|447003</v>
          </cell>
          <cell r="B1250" t="str">
            <v>2100</v>
          </cell>
          <cell r="C1250">
            <v>447003</v>
          </cell>
          <cell r="D1250">
            <v>41244</v>
          </cell>
          <cell r="E1250">
            <v>4457390</v>
          </cell>
          <cell r="F1250">
            <v>4457390</v>
          </cell>
          <cell r="G1250">
            <v>4102343</v>
          </cell>
          <cell r="H1250">
            <v>371449</v>
          </cell>
          <cell r="I1250">
            <v>387760</v>
          </cell>
        </row>
        <row r="1251">
          <cell r="A1251" t="str">
            <v>2100|447013</v>
          </cell>
          <cell r="B1251" t="str">
            <v>2100</v>
          </cell>
          <cell r="C1251">
            <v>447013</v>
          </cell>
          <cell r="D1251">
            <v>41244</v>
          </cell>
          <cell r="E1251">
            <v>40303423</v>
          </cell>
          <cell r="F1251">
            <v>40303423</v>
          </cell>
          <cell r="G1251">
            <v>23531136</v>
          </cell>
          <cell r="H1251">
            <v>3358620</v>
          </cell>
          <cell r="I1251">
            <v>2082157</v>
          </cell>
        </row>
        <row r="1252">
          <cell r="A1252" t="str">
            <v>2100|447023</v>
          </cell>
          <cell r="B1252" t="str">
            <v>2100</v>
          </cell>
          <cell r="C1252">
            <v>447023</v>
          </cell>
          <cell r="D1252">
            <v>41244</v>
          </cell>
          <cell r="E1252">
            <v>445739</v>
          </cell>
          <cell r="F1252">
            <v>445739</v>
          </cell>
          <cell r="G1252">
            <v>1343725</v>
          </cell>
          <cell r="H1252">
            <v>37145</v>
          </cell>
          <cell r="I1252">
            <v>117700</v>
          </cell>
        </row>
        <row r="1253">
          <cell r="A1253" t="str">
            <v>2100|448000</v>
          </cell>
          <cell r="B1253" t="str">
            <v>2100</v>
          </cell>
          <cell r="C1253">
            <v>448000</v>
          </cell>
          <cell r="D1253">
            <v>41244</v>
          </cell>
          <cell r="E1253">
            <v>0</v>
          </cell>
          <cell r="F1253">
            <v>0</v>
          </cell>
          <cell r="G1253">
            <v>45184642</v>
          </cell>
          <cell r="H1253">
            <v>0</v>
          </cell>
          <cell r="I1253">
            <v>0</v>
          </cell>
        </row>
        <row r="1254">
          <cell r="A1254" t="str">
            <v>2100|448001</v>
          </cell>
          <cell r="B1254" t="str">
            <v>2100</v>
          </cell>
          <cell r="C1254">
            <v>448001</v>
          </cell>
          <cell r="D1254">
            <v>41244</v>
          </cell>
          <cell r="E1254">
            <v>0</v>
          </cell>
          <cell r="F1254">
            <v>0</v>
          </cell>
          <cell r="G1254">
            <v>492466034</v>
          </cell>
          <cell r="H1254">
            <v>0</v>
          </cell>
          <cell r="I1254">
            <v>0</v>
          </cell>
        </row>
        <row r="1255">
          <cell r="A1255" t="str">
            <v>2100|448002</v>
          </cell>
          <cell r="B1255" t="str">
            <v>2100</v>
          </cell>
          <cell r="C1255">
            <v>448002</v>
          </cell>
          <cell r="D1255">
            <v>41244</v>
          </cell>
          <cell r="E1255">
            <v>0</v>
          </cell>
          <cell r="F1255">
            <v>0</v>
          </cell>
          <cell r="G1255">
            <v>22465090</v>
          </cell>
          <cell r="H1255">
            <v>0</v>
          </cell>
          <cell r="I1255">
            <v>0</v>
          </cell>
        </row>
        <row r="1256">
          <cell r="A1256" t="str">
            <v>2100|448003</v>
          </cell>
          <cell r="B1256" t="str">
            <v>2100</v>
          </cell>
          <cell r="C1256">
            <v>448003</v>
          </cell>
          <cell r="D1256">
            <v>41244</v>
          </cell>
          <cell r="E1256">
            <v>44852644</v>
          </cell>
          <cell r="F1256">
            <v>44852644</v>
          </cell>
          <cell r="G1256">
            <v>68676097</v>
          </cell>
          <cell r="H1256">
            <v>3737720</v>
          </cell>
          <cell r="I1256">
            <v>644000</v>
          </cell>
        </row>
        <row r="1257">
          <cell r="A1257" t="str">
            <v>2100|449023</v>
          </cell>
          <cell r="B1257" t="str">
            <v>2100</v>
          </cell>
          <cell r="C1257">
            <v>449023</v>
          </cell>
          <cell r="D1257">
            <v>41244</v>
          </cell>
          <cell r="E1257">
            <v>3960000</v>
          </cell>
          <cell r="F1257">
            <v>3960000</v>
          </cell>
          <cell r="G1257">
            <v>2499000</v>
          </cell>
          <cell r="H1257">
            <v>330000</v>
          </cell>
          <cell r="I1257">
            <v>357000</v>
          </cell>
        </row>
        <row r="1258">
          <cell r="A1258" t="str">
            <v>2100|449040</v>
          </cell>
          <cell r="B1258" t="str">
            <v>2100</v>
          </cell>
          <cell r="C1258">
            <v>449040</v>
          </cell>
          <cell r="D1258">
            <v>41244</v>
          </cell>
          <cell r="E1258">
            <v>26435200</v>
          </cell>
          <cell r="F1258">
            <v>26435200</v>
          </cell>
          <cell r="G1258">
            <v>2850000</v>
          </cell>
          <cell r="H1258">
            <v>2202933</v>
          </cell>
          <cell r="I1258">
            <v>0</v>
          </cell>
        </row>
        <row r="1259">
          <cell r="A1259" t="str">
            <v>2100|449050</v>
          </cell>
          <cell r="B1259" t="str">
            <v>2100</v>
          </cell>
          <cell r="C1259">
            <v>449050</v>
          </cell>
          <cell r="D1259">
            <v>41244</v>
          </cell>
          <cell r="E1259">
            <v>9395717</v>
          </cell>
          <cell r="F1259">
            <v>9395717</v>
          </cell>
          <cell r="G1259">
            <v>7580034</v>
          </cell>
          <cell r="H1259">
            <v>782976</v>
          </cell>
          <cell r="I1259">
            <v>7580034</v>
          </cell>
        </row>
        <row r="1260">
          <cell r="A1260" t="str">
            <v>2100|449061</v>
          </cell>
          <cell r="B1260" t="str">
            <v>2100</v>
          </cell>
          <cell r="C1260">
            <v>449061</v>
          </cell>
          <cell r="D1260">
            <v>41244</v>
          </cell>
          <cell r="E1260">
            <v>20411500</v>
          </cell>
          <cell r="F1260">
            <v>20411500</v>
          </cell>
          <cell r="G1260">
            <v>17713000</v>
          </cell>
          <cell r="H1260">
            <v>1700959</v>
          </cell>
          <cell r="I1260">
            <v>884500</v>
          </cell>
        </row>
        <row r="1261">
          <cell r="A1261" t="str">
            <v>2100|472000</v>
          </cell>
          <cell r="B1261" t="str">
            <v>2100</v>
          </cell>
          <cell r="C1261">
            <v>472000</v>
          </cell>
          <cell r="D1261">
            <v>41244</v>
          </cell>
          <cell r="E1261">
            <v>1886567</v>
          </cell>
          <cell r="F1261">
            <v>1886567</v>
          </cell>
          <cell r="G1261">
            <v>525197</v>
          </cell>
          <cell r="H1261">
            <v>157214</v>
          </cell>
          <cell r="I1261">
            <v>0</v>
          </cell>
        </row>
        <row r="1262">
          <cell r="A1262" t="str">
            <v>2100|473000</v>
          </cell>
          <cell r="B1262" t="str">
            <v>2100</v>
          </cell>
          <cell r="C1262">
            <v>473000</v>
          </cell>
          <cell r="D1262">
            <v>41244</v>
          </cell>
          <cell r="E1262">
            <v>3346392</v>
          </cell>
          <cell r="F1262">
            <v>3346392</v>
          </cell>
          <cell r="G1262">
            <v>570516</v>
          </cell>
          <cell r="H1262">
            <v>278866</v>
          </cell>
          <cell r="I1262">
            <v>0</v>
          </cell>
        </row>
        <row r="1263">
          <cell r="A1263" t="str">
            <v>2100|473120</v>
          </cell>
          <cell r="B1263" t="str">
            <v>2100</v>
          </cell>
          <cell r="C1263">
            <v>473120</v>
          </cell>
          <cell r="D1263">
            <v>41244</v>
          </cell>
          <cell r="E1263">
            <v>29305700</v>
          </cell>
          <cell r="F1263">
            <v>29305700</v>
          </cell>
          <cell r="G1263">
            <v>41764634</v>
          </cell>
          <cell r="H1263">
            <v>2442142</v>
          </cell>
          <cell r="I1263">
            <v>2350826</v>
          </cell>
        </row>
        <row r="1264">
          <cell r="A1264" t="str">
            <v>2100|474100</v>
          </cell>
          <cell r="B1264" t="str">
            <v>2100</v>
          </cell>
          <cell r="C1264">
            <v>474100</v>
          </cell>
          <cell r="D1264">
            <v>41244</v>
          </cell>
          <cell r="E1264">
            <v>77696250</v>
          </cell>
          <cell r="F1264">
            <v>77696250</v>
          </cell>
          <cell r="G1264">
            <v>66548270</v>
          </cell>
          <cell r="H1264">
            <v>6474688</v>
          </cell>
          <cell r="I1264">
            <v>5594200</v>
          </cell>
        </row>
        <row r="1265">
          <cell r="A1265" t="str">
            <v>2100|474101</v>
          </cell>
          <cell r="B1265" t="str">
            <v>2100</v>
          </cell>
          <cell r="C1265">
            <v>474101</v>
          </cell>
          <cell r="D1265">
            <v>41244</v>
          </cell>
          <cell r="E1265">
            <v>0</v>
          </cell>
          <cell r="F1265">
            <v>0</v>
          </cell>
          <cell r="G1265">
            <v>946400</v>
          </cell>
          <cell r="H1265">
            <v>0</v>
          </cell>
          <cell r="I1265">
            <v>0</v>
          </cell>
        </row>
        <row r="1266">
          <cell r="A1266" t="str">
            <v>2100|475003</v>
          </cell>
          <cell r="B1266" t="str">
            <v>2100</v>
          </cell>
          <cell r="C1266">
            <v>475003</v>
          </cell>
          <cell r="D1266">
            <v>41244</v>
          </cell>
          <cell r="E1266">
            <v>3168000</v>
          </cell>
          <cell r="F1266">
            <v>3168000</v>
          </cell>
          <cell r="G1266">
            <v>850000</v>
          </cell>
          <cell r="H1266">
            <v>264000</v>
          </cell>
          <cell r="I1266">
            <v>0</v>
          </cell>
        </row>
        <row r="1267">
          <cell r="A1267" t="str">
            <v>2100|475004</v>
          </cell>
          <cell r="B1267" t="str">
            <v>2100</v>
          </cell>
          <cell r="C1267">
            <v>475004</v>
          </cell>
          <cell r="D1267">
            <v>41244</v>
          </cell>
          <cell r="E1267">
            <v>48277650</v>
          </cell>
          <cell r="F1267">
            <v>48277650</v>
          </cell>
          <cell r="G1267">
            <v>41166249</v>
          </cell>
          <cell r="H1267">
            <v>4023137</v>
          </cell>
          <cell r="I1267">
            <v>300000</v>
          </cell>
        </row>
        <row r="1268">
          <cell r="A1268" t="str">
            <v>2100|475005</v>
          </cell>
          <cell r="B1268" t="str">
            <v>2100</v>
          </cell>
          <cell r="C1268">
            <v>475005</v>
          </cell>
          <cell r="D1268">
            <v>41244</v>
          </cell>
          <cell r="E1268">
            <v>3800000</v>
          </cell>
          <cell r="F1268">
            <v>3800000</v>
          </cell>
          <cell r="G1268">
            <v>0</v>
          </cell>
          <cell r="H1268">
            <v>316667</v>
          </cell>
          <cell r="I1268">
            <v>0</v>
          </cell>
        </row>
        <row r="1269">
          <cell r="A1269" t="str">
            <v>2100|475006</v>
          </cell>
          <cell r="B1269" t="str">
            <v>2100</v>
          </cell>
          <cell r="C1269">
            <v>475006</v>
          </cell>
          <cell r="D1269">
            <v>41244</v>
          </cell>
          <cell r="E1269">
            <v>13393700</v>
          </cell>
          <cell r="F1269">
            <v>13393700</v>
          </cell>
          <cell r="G1269">
            <v>11443647</v>
          </cell>
          <cell r="H1269">
            <v>1116142</v>
          </cell>
          <cell r="I1269">
            <v>494063</v>
          </cell>
        </row>
        <row r="1270">
          <cell r="A1270" t="str">
            <v>2100|476000</v>
          </cell>
          <cell r="B1270" t="str">
            <v>2100</v>
          </cell>
          <cell r="C1270">
            <v>476000</v>
          </cell>
          <cell r="D1270">
            <v>41244</v>
          </cell>
          <cell r="E1270">
            <v>4577700</v>
          </cell>
          <cell r="F1270">
            <v>4577700</v>
          </cell>
          <cell r="G1270">
            <v>1845400</v>
          </cell>
          <cell r="H1270">
            <v>381475</v>
          </cell>
          <cell r="I1270">
            <v>266200</v>
          </cell>
        </row>
        <row r="1271">
          <cell r="A1271" t="str">
            <v>2100|476001</v>
          </cell>
          <cell r="B1271" t="str">
            <v>2100</v>
          </cell>
          <cell r="C1271">
            <v>476001</v>
          </cell>
          <cell r="D1271">
            <v>41244</v>
          </cell>
          <cell r="E1271">
            <v>3080000</v>
          </cell>
          <cell r="F1271">
            <v>3080000</v>
          </cell>
          <cell r="G1271">
            <v>0</v>
          </cell>
          <cell r="H1271">
            <v>256667</v>
          </cell>
          <cell r="I1271">
            <v>0</v>
          </cell>
        </row>
        <row r="1272">
          <cell r="A1272" t="str">
            <v>2100|476201</v>
          </cell>
          <cell r="B1272" t="str">
            <v>2100</v>
          </cell>
          <cell r="C1272">
            <v>476201</v>
          </cell>
          <cell r="D1272">
            <v>41244</v>
          </cell>
          <cell r="E1272">
            <v>186171641</v>
          </cell>
          <cell r="F1272">
            <v>186171641</v>
          </cell>
          <cell r="G1272">
            <v>728578419</v>
          </cell>
          <cell r="H1272">
            <v>15514303</v>
          </cell>
          <cell r="I1272">
            <v>0</v>
          </cell>
        </row>
        <row r="1273">
          <cell r="A1273" t="str">
            <v>2100|476220</v>
          </cell>
          <cell r="B1273" t="str">
            <v>2100</v>
          </cell>
          <cell r="C1273">
            <v>476220</v>
          </cell>
          <cell r="D1273">
            <v>41244</v>
          </cell>
          <cell r="E1273">
            <v>40364500</v>
          </cell>
          <cell r="F1273">
            <v>40364500</v>
          </cell>
          <cell r="G1273">
            <v>44928502</v>
          </cell>
          <cell r="H1273">
            <v>3363708</v>
          </cell>
          <cell r="I1273">
            <v>0</v>
          </cell>
        </row>
        <row r="1274">
          <cell r="A1274" t="str">
            <v>2100|476900</v>
          </cell>
          <cell r="B1274" t="str">
            <v>2100</v>
          </cell>
          <cell r="C1274">
            <v>476900</v>
          </cell>
          <cell r="D1274">
            <v>41244</v>
          </cell>
          <cell r="E1274">
            <v>4562900</v>
          </cell>
          <cell r="F1274">
            <v>4562900</v>
          </cell>
          <cell r="G1274">
            <v>3903457</v>
          </cell>
          <cell r="H1274">
            <v>380242</v>
          </cell>
          <cell r="I1274">
            <v>0</v>
          </cell>
        </row>
        <row r="1275">
          <cell r="A1275" t="str">
            <v>2100|476910</v>
          </cell>
          <cell r="B1275" t="str">
            <v>2100</v>
          </cell>
          <cell r="C1275">
            <v>476910</v>
          </cell>
          <cell r="D1275">
            <v>41244</v>
          </cell>
          <cell r="E1275">
            <v>3341700</v>
          </cell>
          <cell r="F1275">
            <v>3341700</v>
          </cell>
          <cell r="G1275">
            <v>3300000</v>
          </cell>
          <cell r="H1275">
            <v>278475</v>
          </cell>
          <cell r="I1275">
            <v>0</v>
          </cell>
        </row>
        <row r="1276">
          <cell r="A1276" t="str">
            <v>2100|477100</v>
          </cell>
          <cell r="B1276" t="str">
            <v>2100</v>
          </cell>
          <cell r="C1276">
            <v>477100</v>
          </cell>
          <cell r="D1276">
            <v>41244</v>
          </cell>
          <cell r="E1276">
            <v>0</v>
          </cell>
          <cell r="F1276">
            <v>0</v>
          </cell>
          <cell r="G1276">
            <v>288060</v>
          </cell>
          <cell r="H1276">
            <v>0</v>
          </cell>
          <cell r="I1276">
            <v>0</v>
          </cell>
        </row>
        <row r="1277">
          <cell r="A1277" t="str">
            <v>2200|211100</v>
          </cell>
          <cell r="B1277" t="str">
            <v>2200</v>
          </cell>
          <cell r="C1277">
            <v>211100</v>
          </cell>
          <cell r="D1277">
            <v>41244</v>
          </cell>
          <cell r="E1277">
            <v>36392399</v>
          </cell>
          <cell r="F1277">
            <v>36392399</v>
          </cell>
          <cell r="G1277">
            <v>81715872</v>
          </cell>
          <cell r="H1277">
            <v>3032700</v>
          </cell>
          <cell r="I1277">
            <v>9725500</v>
          </cell>
        </row>
        <row r="1278">
          <cell r="A1278" t="str">
            <v>2200|246000</v>
          </cell>
          <cell r="B1278" t="str">
            <v>2200</v>
          </cell>
          <cell r="C1278">
            <v>246000</v>
          </cell>
          <cell r="D1278">
            <v>41244</v>
          </cell>
          <cell r="E1278">
            <v>26189500</v>
          </cell>
          <cell r="F1278">
            <v>26189500</v>
          </cell>
          <cell r="G1278">
            <v>17100000</v>
          </cell>
          <cell r="H1278">
            <v>2182458</v>
          </cell>
          <cell r="I1278">
            <v>0</v>
          </cell>
        </row>
        <row r="1279">
          <cell r="A1279" t="str">
            <v>2200|246003</v>
          </cell>
          <cell r="B1279" t="str">
            <v>2200</v>
          </cell>
          <cell r="C1279">
            <v>246003</v>
          </cell>
          <cell r="D1279">
            <v>41244</v>
          </cell>
          <cell r="E1279">
            <v>30000000</v>
          </cell>
          <cell r="F1279">
            <v>30000000</v>
          </cell>
          <cell r="G1279">
            <v>-1000000</v>
          </cell>
          <cell r="H1279">
            <v>2500000</v>
          </cell>
          <cell r="I1279">
            <v>0</v>
          </cell>
        </row>
        <row r="1280">
          <cell r="A1280" t="str">
            <v>2200|246006</v>
          </cell>
          <cell r="B1280" t="str">
            <v>2200</v>
          </cell>
          <cell r="C1280">
            <v>246006</v>
          </cell>
          <cell r="D1280">
            <v>41244</v>
          </cell>
          <cell r="E1280">
            <v>7900000</v>
          </cell>
          <cell r="F1280">
            <v>7900000</v>
          </cell>
          <cell r="G1280">
            <v>0</v>
          </cell>
          <cell r="H1280">
            <v>658333</v>
          </cell>
          <cell r="I1280">
            <v>0</v>
          </cell>
        </row>
        <row r="1281">
          <cell r="A1281" t="str">
            <v>2200|400040</v>
          </cell>
          <cell r="B1281" t="str">
            <v>2200</v>
          </cell>
          <cell r="C1281">
            <v>400040</v>
          </cell>
          <cell r="D1281">
            <v>41244</v>
          </cell>
          <cell r="E1281">
            <v>3696304</v>
          </cell>
          <cell r="F1281">
            <v>3696304</v>
          </cell>
          <cell r="G1281">
            <v>132516</v>
          </cell>
          <cell r="H1281">
            <v>308025</v>
          </cell>
          <cell r="I1281">
            <v>0</v>
          </cell>
        </row>
        <row r="1282">
          <cell r="A1282" t="str">
            <v>2200|405200</v>
          </cell>
          <cell r="B1282" t="str">
            <v>2200</v>
          </cell>
          <cell r="C1282">
            <v>405200</v>
          </cell>
          <cell r="D1282">
            <v>41244</v>
          </cell>
          <cell r="E1282">
            <v>8518650</v>
          </cell>
          <cell r="F1282">
            <v>8518650</v>
          </cell>
          <cell r="G1282">
            <v>0</v>
          </cell>
          <cell r="H1282">
            <v>709888</v>
          </cell>
          <cell r="I1282">
            <v>0</v>
          </cell>
        </row>
        <row r="1283">
          <cell r="A1283" t="str">
            <v>2200|420002</v>
          </cell>
          <cell r="B1283" t="str">
            <v>2200</v>
          </cell>
          <cell r="C1283">
            <v>420002</v>
          </cell>
          <cell r="D1283">
            <v>41244</v>
          </cell>
          <cell r="E1283">
            <v>71303847</v>
          </cell>
          <cell r="F1283">
            <v>71303847</v>
          </cell>
          <cell r="G1283">
            <v>0</v>
          </cell>
          <cell r="H1283">
            <v>5941987</v>
          </cell>
          <cell r="I1283">
            <v>0</v>
          </cell>
        </row>
        <row r="1284">
          <cell r="A1284" t="str">
            <v>2200|420003</v>
          </cell>
          <cell r="B1284" t="str">
            <v>2200</v>
          </cell>
          <cell r="C1284">
            <v>420003</v>
          </cell>
          <cell r="D1284">
            <v>41244</v>
          </cell>
          <cell r="E1284">
            <v>129650465</v>
          </cell>
          <cell r="F1284">
            <v>129650465</v>
          </cell>
          <cell r="G1284">
            <v>127734765</v>
          </cell>
          <cell r="H1284">
            <v>10804205</v>
          </cell>
          <cell r="I1284">
            <v>10711937</v>
          </cell>
        </row>
        <row r="1285">
          <cell r="A1285" t="str">
            <v>2200|430010</v>
          </cell>
          <cell r="B1285" t="str">
            <v>2200</v>
          </cell>
          <cell r="C1285">
            <v>430010</v>
          </cell>
          <cell r="D1285">
            <v>41244</v>
          </cell>
          <cell r="E1285">
            <v>65067000</v>
          </cell>
          <cell r="F1285">
            <v>65067000</v>
          </cell>
          <cell r="G1285">
            <v>0</v>
          </cell>
          <cell r="H1285">
            <v>5422250</v>
          </cell>
          <cell r="I1285">
            <v>0</v>
          </cell>
        </row>
        <row r="1286">
          <cell r="A1286" t="str">
            <v>2200|431000</v>
          </cell>
          <cell r="B1286" t="str">
            <v>2200</v>
          </cell>
          <cell r="C1286">
            <v>431000</v>
          </cell>
          <cell r="D1286">
            <v>41244</v>
          </cell>
          <cell r="E1286">
            <v>12805623</v>
          </cell>
          <cell r="F1286">
            <v>12805623</v>
          </cell>
          <cell r="G1286">
            <v>0</v>
          </cell>
          <cell r="H1286">
            <v>1067135</v>
          </cell>
          <cell r="I1286">
            <v>0</v>
          </cell>
        </row>
        <row r="1287">
          <cell r="A1287" t="str">
            <v>2200|431002</v>
          </cell>
          <cell r="B1287" t="str">
            <v>2200</v>
          </cell>
          <cell r="C1287">
            <v>431002</v>
          </cell>
          <cell r="D1287">
            <v>41244</v>
          </cell>
          <cell r="E1287">
            <v>20000</v>
          </cell>
          <cell r="F1287">
            <v>20000</v>
          </cell>
          <cell r="G1287">
            <v>0</v>
          </cell>
          <cell r="H1287">
            <v>1667</v>
          </cell>
          <cell r="I1287">
            <v>0</v>
          </cell>
        </row>
        <row r="1288">
          <cell r="A1288" t="str">
            <v>2200|434013</v>
          </cell>
          <cell r="B1288" t="str">
            <v>2200</v>
          </cell>
          <cell r="C1288">
            <v>434013</v>
          </cell>
          <cell r="D1288">
            <v>41244</v>
          </cell>
          <cell r="E1288">
            <v>0</v>
          </cell>
          <cell r="F1288">
            <v>0</v>
          </cell>
          <cell r="G1288">
            <v>4244886</v>
          </cell>
          <cell r="H1288">
            <v>0</v>
          </cell>
          <cell r="I1288">
            <v>1366596</v>
          </cell>
        </row>
        <row r="1289">
          <cell r="A1289" t="str">
            <v>2200|435002</v>
          </cell>
          <cell r="B1289" t="str">
            <v>2200</v>
          </cell>
          <cell r="C1289">
            <v>435002</v>
          </cell>
          <cell r="D1289">
            <v>41244</v>
          </cell>
          <cell r="E1289">
            <v>5941987</v>
          </cell>
          <cell r="F1289">
            <v>5941987</v>
          </cell>
          <cell r="G1289">
            <v>0</v>
          </cell>
          <cell r="H1289">
            <v>495166</v>
          </cell>
          <cell r="I1289">
            <v>0</v>
          </cell>
        </row>
        <row r="1290">
          <cell r="A1290" t="str">
            <v>2200|435003</v>
          </cell>
          <cell r="B1290" t="str">
            <v>2200</v>
          </cell>
          <cell r="C1290">
            <v>435003</v>
          </cell>
          <cell r="D1290">
            <v>41244</v>
          </cell>
          <cell r="E1290">
            <v>16206308</v>
          </cell>
          <cell r="F1290">
            <v>16206308</v>
          </cell>
          <cell r="G1290">
            <v>17794962</v>
          </cell>
          <cell r="H1290">
            <v>1350526</v>
          </cell>
          <cell r="I1290">
            <v>0</v>
          </cell>
        </row>
        <row r="1291">
          <cell r="A1291" t="str">
            <v>2200|439003</v>
          </cell>
          <cell r="B1291" t="str">
            <v>2200</v>
          </cell>
          <cell r="C1291">
            <v>439003</v>
          </cell>
          <cell r="D1291">
            <v>41244</v>
          </cell>
          <cell r="E1291">
            <v>44055634</v>
          </cell>
          <cell r="F1291">
            <v>44055634</v>
          </cell>
          <cell r="G1291">
            <v>67228313</v>
          </cell>
          <cell r="H1291">
            <v>3671303</v>
          </cell>
          <cell r="I1291">
            <v>8296600</v>
          </cell>
        </row>
        <row r="1292">
          <cell r="A1292" t="str">
            <v>2200|439008</v>
          </cell>
          <cell r="B1292" t="str">
            <v>2200</v>
          </cell>
          <cell r="C1292">
            <v>439008</v>
          </cell>
          <cell r="D1292">
            <v>41244</v>
          </cell>
          <cell r="E1292">
            <v>16368905</v>
          </cell>
          <cell r="F1292">
            <v>16368905</v>
          </cell>
          <cell r="G1292">
            <v>0</v>
          </cell>
          <cell r="H1292">
            <v>1364075</v>
          </cell>
          <cell r="I1292">
            <v>0</v>
          </cell>
        </row>
        <row r="1293">
          <cell r="A1293" t="str">
            <v>2200|439100</v>
          </cell>
          <cell r="B1293" t="str">
            <v>2200</v>
          </cell>
          <cell r="C1293">
            <v>439100</v>
          </cell>
          <cell r="D1293">
            <v>41244</v>
          </cell>
          <cell r="E1293">
            <v>5000000</v>
          </cell>
          <cell r="F1293">
            <v>5000000</v>
          </cell>
          <cell r="G1293">
            <v>0</v>
          </cell>
          <cell r="H1293">
            <v>416667</v>
          </cell>
          <cell r="I1293">
            <v>0</v>
          </cell>
        </row>
        <row r="1294">
          <cell r="A1294" t="str">
            <v>2200|439101</v>
          </cell>
          <cell r="B1294" t="str">
            <v>2200</v>
          </cell>
          <cell r="C1294">
            <v>439101</v>
          </cell>
          <cell r="D1294">
            <v>41244</v>
          </cell>
          <cell r="E1294">
            <v>5000000</v>
          </cell>
          <cell r="F1294">
            <v>5000000</v>
          </cell>
          <cell r="G1294">
            <v>0</v>
          </cell>
          <cell r="H1294">
            <v>416667</v>
          </cell>
          <cell r="I1294">
            <v>0</v>
          </cell>
        </row>
        <row r="1295">
          <cell r="A1295" t="str">
            <v>2200|439102</v>
          </cell>
          <cell r="B1295" t="str">
            <v>2200</v>
          </cell>
          <cell r="C1295">
            <v>439102</v>
          </cell>
          <cell r="D1295">
            <v>41244</v>
          </cell>
          <cell r="E1295">
            <v>5000000</v>
          </cell>
          <cell r="F1295">
            <v>5000000</v>
          </cell>
          <cell r="G1295">
            <v>0</v>
          </cell>
          <cell r="H1295">
            <v>416667</v>
          </cell>
          <cell r="I1295">
            <v>0</v>
          </cell>
        </row>
        <row r="1296">
          <cell r="A1296" t="str">
            <v>2200|439103</v>
          </cell>
          <cell r="B1296" t="str">
            <v>2200</v>
          </cell>
          <cell r="C1296">
            <v>439103</v>
          </cell>
          <cell r="D1296">
            <v>41244</v>
          </cell>
          <cell r="E1296">
            <v>5000000</v>
          </cell>
          <cell r="F1296">
            <v>5000000</v>
          </cell>
          <cell r="G1296">
            <v>0</v>
          </cell>
          <cell r="H1296">
            <v>416667</v>
          </cell>
          <cell r="I1296">
            <v>0</v>
          </cell>
        </row>
        <row r="1297">
          <cell r="A1297" t="str">
            <v>2200|439203</v>
          </cell>
          <cell r="B1297" t="str">
            <v>2200</v>
          </cell>
          <cell r="C1297">
            <v>439203</v>
          </cell>
          <cell r="D1297">
            <v>41244</v>
          </cell>
          <cell r="E1297">
            <v>0</v>
          </cell>
          <cell r="F1297">
            <v>0</v>
          </cell>
          <cell r="G1297">
            <v>259000</v>
          </cell>
          <cell r="H1297">
            <v>0</v>
          </cell>
          <cell r="I1297">
            <v>50000</v>
          </cell>
        </row>
        <row r="1298">
          <cell r="A1298" t="str">
            <v>2200|440002</v>
          </cell>
          <cell r="B1298" t="str">
            <v>2200</v>
          </cell>
          <cell r="C1298">
            <v>440002</v>
          </cell>
          <cell r="D1298">
            <v>41244</v>
          </cell>
          <cell r="E1298">
            <v>5941987</v>
          </cell>
          <cell r="F1298">
            <v>5941987</v>
          </cell>
          <cell r="G1298">
            <v>0</v>
          </cell>
          <cell r="H1298">
            <v>495166</v>
          </cell>
          <cell r="I1298">
            <v>0</v>
          </cell>
        </row>
        <row r="1299">
          <cell r="A1299" t="str">
            <v>2200|440003</v>
          </cell>
          <cell r="B1299" t="str">
            <v>2200</v>
          </cell>
          <cell r="C1299">
            <v>440003</v>
          </cell>
          <cell r="D1299">
            <v>41244</v>
          </cell>
          <cell r="E1299">
            <v>16206308</v>
          </cell>
          <cell r="F1299">
            <v>16206308</v>
          </cell>
          <cell r="G1299">
            <v>12109246</v>
          </cell>
          <cell r="H1299">
            <v>1350526</v>
          </cell>
          <cell r="I1299">
            <v>989677</v>
          </cell>
        </row>
        <row r="1300">
          <cell r="A1300" t="str">
            <v>2200|446000</v>
          </cell>
          <cell r="B1300" t="str">
            <v>2200</v>
          </cell>
          <cell r="C1300">
            <v>446000</v>
          </cell>
          <cell r="D1300">
            <v>41244</v>
          </cell>
          <cell r="E1300">
            <v>364184400</v>
          </cell>
          <cell r="F1300">
            <v>364184400</v>
          </cell>
          <cell r="G1300">
            <v>100000</v>
          </cell>
          <cell r="H1300">
            <v>30348700</v>
          </cell>
          <cell r="I1300">
            <v>100000</v>
          </cell>
        </row>
        <row r="1301">
          <cell r="A1301" t="str">
            <v>2200|446001</v>
          </cell>
          <cell r="B1301" t="str">
            <v>2200</v>
          </cell>
          <cell r="C1301">
            <v>446001</v>
          </cell>
          <cell r="D1301">
            <v>41244</v>
          </cell>
          <cell r="E1301">
            <v>328771500</v>
          </cell>
          <cell r="F1301">
            <v>328771500</v>
          </cell>
          <cell r="G1301">
            <v>0</v>
          </cell>
          <cell r="H1301">
            <v>27397625</v>
          </cell>
          <cell r="I1301">
            <v>0</v>
          </cell>
        </row>
        <row r="1302">
          <cell r="A1302" t="str">
            <v>2200|446002</v>
          </cell>
          <cell r="B1302" t="str">
            <v>2200</v>
          </cell>
          <cell r="C1302">
            <v>446002</v>
          </cell>
          <cell r="D1302">
            <v>41244</v>
          </cell>
          <cell r="E1302">
            <v>257310000</v>
          </cell>
          <cell r="F1302">
            <v>257310000</v>
          </cell>
          <cell r="G1302">
            <v>0</v>
          </cell>
          <cell r="H1302">
            <v>21442500</v>
          </cell>
          <cell r="I1302">
            <v>0</v>
          </cell>
        </row>
        <row r="1303">
          <cell r="A1303" t="str">
            <v>2200|446003</v>
          </cell>
          <cell r="B1303" t="str">
            <v>2200</v>
          </cell>
          <cell r="C1303">
            <v>446003</v>
          </cell>
          <cell r="D1303">
            <v>41244</v>
          </cell>
          <cell r="E1303">
            <v>166638600</v>
          </cell>
          <cell r="F1303">
            <v>166638600</v>
          </cell>
          <cell r="G1303">
            <v>156302100</v>
          </cell>
          <cell r="H1303">
            <v>13886550</v>
          </cell>
          <cell r="I1303">
            <v>100000</v>
          </cell>
        </row>
        <row r="1304">
          <cell r="A1304" t="str">
            <v>2200|447002</v>
          </cell>
          <cell r="B1304" t="str">
            <v>2200</v>
          </cell>
          <cell r="C1304">
            <v>447002</v>
          </cell>
          <cell r="D1304">
            <v>41244</v>
          </cell>
          <cell r="E1304">
            <v>2072652</v>
          </cell>
          <cell r="F1304">
            <v>2072652</v>
          </cell>
          <cell r="G1304">
            <v>0</v>
          </cell>
          <cell r="H1304">
            <v>172721</v>
          </cell>
          <cell r="I1304">
            <v>0</v>
          </cell>
        </row>
        <row r="1305">
          <cell r="A1305" t="str">
            <v>2200|447003</v>
          </cell>
          <cell r="B1305" t="str">
            <v>2200</v>
          </cell>
          <cell r="C1305">
            <v>447003</v>
          </cell>
          <cell r="D1305">
            <v>41244</v>
          </cell>
          <cell r="E1305">
            <v>829090</v>
          </cell>
          <cell r="F1305">
            <v>829090</v>
          </cell>
          <cell r="G1305">
            <v>2206356</v>
          </cell>
          <cell r="H1305">
            <v>69091</v>
          </cell>
          <cell r="I1305">
            <v>185496</v>
          </cell>
        </row>
        <row r="1306">
          <cell r="A1306" t="str">
            <v>2200|447012</v>
          </cell>
          <cell r="B1306" t="str">
            <v>2200</v>
          </cell>
          <cell r="C1306">
            <v>447012</v>
          </cell>
          <cell r="D1306">
            <v>41244</v>
          </cell>
          <cell r="E1306">
            <v>4884593</v>
          </cell>
          <cell r="F1306">
            <v>4884593</v>
          </cell>
          <cell r="G1306">
            <v>0</v>
          </cell>
          <cell r="H1306">
            <v>407049</v>
          </cell>
          <cell r="I1306">
            <v>0</v>
          </cell>
        </row>
        <row r="1307">
          <cell r="A1307" t="str">
            <v>2200|447013</v>
          </cell>
          <cell r="B1307" t="str">
            <v>2200</v>
          </cell>
          <cell r="C1307">
            <v>447013</v>
          </cell>
          <cell r="D1307">
            <v>41244</v>
          </cell>
          <cell r="E1307">
            <v>1953907</v>
          </cell>
          <cell r="F1307">
            <v>1953907</v>
          </cell>
          <cell r="G1307">
            <v>5199684</v>
          </cell>
          <cell r="H1307">
            <v>162826</v>
          </cell>
          <cell r="I1307">
            <v>437155</v>
          </cell>
        </row>
        <row r="1308">
          <cell r="A1308" t="str">
            <v>2200|447022</v>
          </cell>
          <cell r="B1308" t="str">
            <v>2200</v>
          </cell>
          <cell r="C1308">
            <v>447022</v>
          </cell>
          <cell r="D1308">
            <v>41244</v>
          </cell>
          <cell r="E1308">
            <v>207265</v>
          </cell>
          <cell r="F1308">
            <v>207265</v>
          </cell>
          <cell r="G1308">
            <v>0</v>
          </cell>
          <cell r="H1308">
            <v>17272</v>
          </cell>
          <cell r="I1308">
            <v>0</v>
          </cell>
        </row>
        <row r="1309">
          <cell r="A1309" t="str">
            <v>2200|447023</v>
          </cell>
          <cell r="B1309" t="str">
            <v>2200</v>
          </cell>
          <cell r="C1309">
            <v>447023</v>
          </cell>
          <cell r="D1309">
            <v>41244</v>
          </cell>
          <cell r="E1309">
            <v>82909</v>
          </cell>
          <cell r="F1309">
            <v>82909</v>
          </cell>
          <cell r="G1309">
            <v>389249</v>
          </cell>
          <cell r="H1309">
            <v>6909</v>
          </cell>
          <cell r="I1309">
            <v>32700</v>
          </cell>
        </row>
        <row r="1310">
          <cell r="A1310" t="str">
            <v>2200|448000</v>
          </cell>
          <cell r="B1310" t="str">
            <v>2200</v>
          </cell>
          <cell r="C1310">
            <v>448000</v>
          </cell>
          <cell r="D1310">
            <v>41244</v>
          </cell>
          <cell r="E1310">
            <v>0</v>
          </cell>
          <cell r="F1310">
            <v>0</v>
          </cell>
          <cell r="G1310">
            <v>1191081143</v>
          </cell>
          <cell r="H1310">
            <v>0</v>
          </cell>
          <cell r="I1310">
            <v>99256761</v>
          </cell>
        </row>
        <row r="1311">
          <cell r="A1311" t="str">
            <v>2200|448001</v>
          </cell>
          <cell r="B1311" t="str">
            <v>2200</v>
          </cell>
          <cell r="C1311">
            <v>448001</v>
          </cell>
          <cell r="D1311">
            <v>41244</v>
          </cell>
          <cell r="E1311">
            <v>0</v>
          </cell>
          <cell r="F1311">
            <v>0</v>
          </cell>
          <cell r="G1311">
            <v>270282620</v>
          </cell>
          <cell r="H1311">
            <v>0</v>
          </cell>
          <cell r="I1311">
            <v>22523551</v>
          </cell>
        </row>
        <row r="1312">
          <cell r="A1312" t="str">
            <v>2200|448002</v>
          </cell>
          <cell r="B1312" t="str">
            <v>2200</v>
          </cell>
          <cell r="C1312">
            <v>448002</v>
          </cell>
          <cell r="D1312">
            <v>41244</v>
          </cell>
          <cell r="E1312">
            <v>12314417</v>
          </cell>
          <cell r="F1312">
            <v>12314417</v>
          </cell>
          <cell r="G1312">
            <v>346961327</v>
          </cell>
          <cell r="H1312">
            <v>1026201</v>
          </cell>
          <cell r="I1312">
            <v>28255318</v>
          </cell>
        </row>
        <row r="1313">
          <cell r="A1313" t="str">
            <v>2200|448003</v>
          </cell>
          <cell r="B1313" t="str">
            <v>2200</v>
          </cell>
          <cell r="C1313">
            <v>448003</v>
          </cell>
          <cell r="D1313">
            <v>41244</v>
          </cell>
          <cell r="E1313">
            <v>15382279</v>
          </cell>
          <cell r="F1313">
            <v>15382279</v>
          </cell>
          <cell r="G1313">
            <v>1437567300</v>
          </cell>
          <cell r="H1313">
            <v>1281857</v>
          </cell>
          <cell r="I1313">
            <v>118726017</v>
          </cell>
        </row>
        <row r="1314">
          <cell r="A1314" t="str">
            <v>2200|449004</v>
          </cell>
          <cell r="B1314" t="str">
            <v>2200</v>
          </cell>
          <cell r="C1314">
            <v>449004</v>
          </cell>
          <cell r="D1314">
            <v>41244</v>
          </cell>
          <cell r="E1314">
            <v>399848800</v>
          </cell>
          <cell r="F1314">
            <v>399848800</v>
          </cell>
          <cell r="G1314">
            <v>166199500</v>
          </cell>
          <cell r="H1314">
            <v>33320733</v>
          </cell>
          <cell r="I1314">
            <v>2307500</v>
          </cell>
        </row>
        <row r="1315">
          <cell r="A1315" t="str">
            <v>2200|449022</v>
          </cell>
          <cell r="B1315" t="str">
            <v>2200</v>
          </cell>
          <cell r="C1315">
            <v>449022</v>
          </cell>
          <cell r="D1315">
            <v>41244</v>
          </cell>
          <cell r="E1315">
            <v>3960000</v>
          </cell>
          <cell r="F1315">
            <v>3960000</v>
          </cell>
          <cell r="G1315">
            <v>0</v>
          </cell>
          <cell r="H1315">
            <v>330000</v>
          </cell>
          <cell r="I1315">
            <v>0</v>
          </cell>
        </row>
        <row r="1316">
          <cell r="A1316" t="str">
            <v>2200|449023</v>
          </cell>
          <cell r="B1316" t="str">
            <v>2200</v>
          </cell>
          <cell r="C1316">
            <v>449023</v>
          </cell>
          <cell r="D1316">
            <v>41244</v>
          </cell>
          <cell r="E1316">
            <v>3960000</v>
          </cell>
          <cell r="F1316">
            <v>3960000</v>
          </cell>
          <cell r="G1316">
            <v>3684000</v>
          </cell>
          <cell r="H1316">
            <v>330000</v>
          </cell>
          <cell r="I1316">
            <v>340000</v>
          </cell>
        </row>
        <row r="1317">
          <cell r="A1317" t="str">
            <v>2200|449031</v>
          </cell>
          <cell r="B1317" t="str">
            <v>2200</v>
          </cell>
          <cell r="C1317">
            <v>449031</v>
          </cell>
          <cell r="D1317">
            <v>41244</v>
          </cell>
          <cell r="E1317">
            <v>609595000</v>
          </cell>
          <cell r="F1317">
            <v>609595000</v>
          </cell>
          <cell r="G1317">
            <v>551994990</v>
          </cell>
          <cell r="H1317">
            <v>50799584</v>
          </cell>
          <cell r="I1317">
            <v>67986600</v>
          </cell>
        </row>
        <row r="1318">
          <cell r="A1318" t="str">
            <v>2200|449032</v>
          </cell>
          <cell r="B1318" t="str">
            <v>2200</v>
          </cell>
          <cell r="C1318">
            <v>449032</v>
          </cell>
          <cell r="D1318">
            <v>41244</v>
          </cell>
          <cell r="E1318">
            <v>1907700</v>
          </cell>
          <cell r="F1318">
            <v>1907700</v>
          </cell>
          <cell r="G1318">
            <v>-10110000</v>
          </cell>
          <cell r="H1318">
            <v>158975</v>
          </cell>
          <cell r="I1318">
            <v>0</v>
          </cell>
        </row>
        <row r="1319">
          <cell r="A1319" t="str">
            <v>2200|449040</v>
          </cell>
          <cell r="B1319" t="str">
            <v>2200</v>
          </cell>
          <cell r="C1319">
            <v>449040</v>
          </cell>
          <cell r="D1319">
            <v>41244</v>
          </cell>
          <cell r="E1319">
            <v>1600000</v>
          </cell>
          <cell r="F1319">
            <v>1600000</v>
          </cell>
          <cell r="G1319">
            <v>1567500</v>
          </cell>
          <cell r="H1319">
            <v>133333</v>
          </cell>
          <cell r="I1319">
            <v>0</v>
          </cell>
        </row>
        <row r="1320">
          <cell r="A1320" t="str">
            <v>2200|449060</v>
          </cell>
          <cell r="B1320" t="str">
            <v>2200</v>
          </cell>
          <cell r="C1320">
            <v>449060</v>
          </cell>
          <cell r="D1320">
            <v>41244</v>
          </cell>
          <cell r="E1320">
            <v>882886</v>
          </cell>
          <cell r="F1320">
            <v>882886</v>
          </cell>
          <cell r="G1320">
            <v>3425875</v>
          </cell>
          <cell r="H1320">
            <v>73574</v>
          </cell>
          <cell r="I1320">
            <v>500000</v>
          </cell>
        </row>
        <row r="1321">
          <cell r="A1321" t="str">
            <v>2200|449061</v>
          </cell>
          <cell r="B1321" t="str">
            <v>2200</v>
          </cell>
          <cell r="C1321">
            <v>449061</v>
          </cell>
          <cell r="D1321">
            <v>41244</v>
          </cell>
          <cell r="E1321">
            <v>0</v>
          </cell>
          <cell r="F1321">
            <v>0</v>
          </cell>
          <cell r="G1321">
            <v>45208350</v>
          </cell>
          <cell r="H1321">
            <v>0</v>
          </cell>
          <cell r="I1321">
            <v>1820100</v>
          </cell>
        </row>
        <row r="1322">
          <cell r="A1322" t="str">
            <v>2200|451000</v>
          </cell>
          <cell r="B1322" t="str">
            <v>2200</v>
          </cell>
          <cell r="C1322">
            <v>451000</v>
          </cell>
          <cell r="D1322">
            <v>41244</v>
          </cell>
          <cell r="E1322">
            <v>4045500</v>
          </cell>
          <cell r="F1322">
            <v>4045500</v>
          </cell>
          <cell r="G1322">
            <v>5536900</v>
          </cell>
          <cell r="H1322">
            <v>337125</v>
          </cell>
          <cell r="I1322">
            <v>0</v>
          </cell>
        </row>
        <row r="1323">
          <cell r="A1323" t="str">
            <v>2200|455000</v>
          </cell>
          <cell r="B1323" t="str">
            <v>2200</v>
          </cell>
          <cell r="C1323">
            <v>455000</v>
          </cell>
          <cell r="D1323">
            <v>41244</v>
          </cell>
          <cell r="E1323">
            <v>39583771</v>
          </cell>
          <cell r="F1323">
            <v>39583771</v>
          </cell>
          <cell r="G1323">
            <v>18856545</v>
          </cell>
          <cell r="H1323">
            <v>3298649</v>
          </cell>
          <cell r="I1323">
            <v>901040</v>
          </cell>
        </row>
        <row r="1324">
          <cell r="A1324" t="str">
            <v>2200|455001</v>
          </cell>
          <cell r="B1324" t="str">
            <v>2200</v>
          </cell>
          <cell r="C1324">
            <v>455001</v>
          </cell>
          <cell r="D1324">
            <v>41244</v>
          </cell>
          <cell r="E1324">
            <v>0</v>
          </cell>
          <cell r="F1324">
            <v>0</v>
          </cell>
          <cell r="G1324">
            <v>12180000</v>
          </cell>
          <cell r="H1324">
            <v>0</v>
          </cell>
          <cell r="I1324">
            <v>0</v>
          </cell>
        </row>
        <row r="1325">
          <cell r="A1325" t="str">
            <v>2200|459000</v>
          </cell>
          <cell r="B1325" t="str">
            <v>2200</v>
          </cell>
          <cell r="C1325">
            <v>459000</v>
          </cell>
          <cell r="D1325">
            <v>41244</v>
          </cell>
          <cell r="E1325">
            <v>300000</v>
          </cell>
          <cell r="F1325">
            <v>300000</v>
          </cell>
          <cell r="G1325">
            <v>0</v>
          </cell>
          <cell r="H1325">
            <v>25000</v>
          </cell>
          <cell r="I1325">
            <v>0</v>
          </cell>
        </row>
        <row r="1326">
          <cell r="A1326" t="str">
            <v>2200|470101</v>
          </cell>
          <cell r="B1326" t="str">
            <v>2200</v>
          </cell>
          <cell r="C1326">
            <v>470101</v>
          </cell>
          <cell r="D1326">
            <v>41244</v>
          </cell>
          <cell r="E1326">
            <v>4399303</v>
          </cell>
          <cell r="F1326">
            <v>4399303</v>
          </cell>
          <cell r="G1326">
            <v>7414800</v>
          </cell>
          <cell r="H1326">
            <v>366609</v>
          </cell>
          <cell r="I1326">
            <v>0</v>
          </cell>
        </row>
        <row r="1327">
          <cell r="A1327" t="str">
            <v>2200|470102</v>
          </cell>
          <cell r="B1327" t="str">
            <v>2200</v>
          </cell>
          <cell r="C1327">
            <v>470102</v>
          </cell>
          <cell r="D1327">
            <v>41244</v>
          </cell>
          <cell r="E1327">
            <v>17531794</v>
          </cell>
          <cell r="F1327">
            <v>17531794</v>
          </cell>
          <cell r="G1327">
            <v>35601013</v>
          </cell>
          <cell r="H1327">
            <v>1460983</v>
          </cell>
          <cell r="I1327">
            <v>3425758</v>
          </cell>
        </row>
        <row r="1328">
          <cell r="A1328" t="str">
            <v>2200|471000</v>
          </cell>
          <cell r="B1328" t="str">
            <v>2200</v>
          </cell>
          <cell r="C1328">
            <v>471000</v>
          </cell>
          <cell r="D1328">
            <v>41244</v>
          </cell>
          <cell r="E1328">
            <v>3020500</v>
          </cell>
          <cell r="F1328">
            <v>3020500</v>
          </cell>
          <cell r="G1328">
            <v>2288705</v>
          </cell>
          <cell r="H1328">
            <v>251709</v>
          </cell>
          <cell r="I1328">
            <v>0</v>
          </cell>
        </row>
        <row r="1329">
          <cell r="A1329" t="str">
            <v>2200|473000</v>
          </cell>
          <cell r="B1329" t="str">
            <v>2200</v>
          </cell>
          <cell r="C1329">
            <v>473000</v>
          </cell>
          <cell r="D1329">
            <v>41244</v>
          </cell>
          <cell r="E1329">
            <v>166192</v>
          </cell>
          <cell r="F1329">
            <v>166192</v>
          </cell>
          <cell r="G1329">
            <v>220000</v>
          </cell>
          <cell r="H1329">
            <v>13849</v>
          </cell>
          <cell r="I1329">
            <v>0</v>
          </cell>
        </row>
        <row r="1330">
          <cell r="A1330" t="str">
            <v>2200|473120</v>
          </cell>
          <cell r="B1330" t="str">
            <v>2200</v>
          </cell>
          <cell r="C1330">
            <v>473120</v>
          </cell>
          <cell r="D1330">
            <v>41244</v>
          </cell>
          <cell r="E1330">
            <v>5425512</v>
          </cell>
          <cell r="F1330">
            <v>5425512</v>
          </cell>
          <cell r="G1330">
            <v>7393761</v>
          </cell>
          <cell r="H1330">
            <v>452126</v>
          </cell>
          <cell r="I1330">
            <v>949681</v>
          </cell>
        </row>
        <row r="1331">
          <cell r="A1331" t="str">
            <v>2200|474100</v>
          </cell>
          <cell r="B1331" t="str">
            <v>2200</v>
          </cell>
          <cell r="C1331">
            <v>474100</v>
          </cell>
          <cell r="D1331">
            <v>41244</v>
          </cell>
          <cell r="E1331">
            <v>10000000</v>
          </cell>
          <cell r="F1331">
            <v>10000000</v>
          </cell>
          <cell r="G1331">
            <v>5616408</v>
          </cell>
          <cell r="H1331">
            <v>833333</v>
          </cell>
          <cell r="I1331">
            <v>0</v>
          </cell>
        </row>
        <row r="1332">
          <cell r="A1332" t="str">
            <v>2200|475001</v>
          </cell>
          <cell r="B1332" t="str">
            <v>2200</v>
          </cell>
          <cell r="C1332">
            <v>475001</v>
          </cell>
          <cell r="D1332">
            <v>41244</v>
          </cell>
          <cell r="E1332">
            <v>970500</v>
          </cell>
          <cell r="F1332">
            <v>970500</v>
          </cell>
          <cell r="G1332">
            <v>0</v>
          </cell>
          <cell r="H1332">
            <v>80875</v>
          </cell>
          <cell r="I1332">
            <v>0</v>
          </cell>
        </row>
        <row r="1333">
          <cell r="A1333" t="str">
            <v>2200|475004</v>
          </cell>
          <cell r="B1333" t="str">
            <v>2200</v>
          </cell>
          <cell r="C1333">
            <v>475004</v>
          </cell>
          <cell r="D1333">
            <v>41244</v>
          </cell>
          <cell r="E1333">
            <v>18278827</v>
          </cell>
          <cell r="F1333">
            <v>18278827</v>
          </cell>
          <cell r="G1333">
            <v>0</v>
          </cell>
          <cell r="H1333">
            <v>1523236</v>
          </cell>
          <cell r="I1333">
            <v>0</v>
          </cell>
        </row>
        <row r="1334">
          <cell r="A1334" t="str">
            <v>2200|475006</v>
          </cell>
          <cell r="B1334" t="str">
            <v>2200</v>
          </cell>
          <cell r="C1334">
            <v>475006</v>
          </cell>
          <cell r="D1334">
            <v>41244</v>
          </cell>
          <cell r="E1334">
            <v>11985056</v>
          </cell>
          <cell r="F1334">
            <v>11985056</v>
          </cell>
          <cell r="G1334">
            <v>0</v>
          </cell>
          <cell r="H1334">
            <v>998755</v>
          </cell>
          <cell r="I1334">
            <v>0</v>
          </cell>
        </row>
        <row r="1335">
          <cell r="A1335" t="str">
            <v>2200|476000</v>
          </cell>
          <cell r="B1335" t="str">
            <v>2200</v>
          </cell>
          <cell r="C1335">
            <v>476000</v>
          </cell>
          <cell r="D1335">
            <v>41244</v>
          </cell>
          <cell r="E1335">
            <v>6750800</v>
          </cell>
          <cell r="F1335">
            <v>6750800</v>
          </cell>
          <cell r="G1335">
            <v>585000</v>
          </cell>
          <cell r="H1335">
            <v>562566</v>
          </cell>
          <cell r="I1335">
            <v>585000</v>
          </cell>
        </row>
        <row r="1336">
          <cell r="A1336" t="str">
            <v>2200|476001</v>
          </cell>
          <cell r="B1336" t="str">
            <v>2200</v>
          </cell>
          <cell r="C1336">
            <v>476001</v>
          </cell>
          <cell r="D1336">
            <v>41244</v>
          </cell>
          <cell r="E1336">
            <v>17933500</v>
          </cell>
          <cell r="F1336">
            <v>17933500</v>
          </cell>
          <cell r="G1336">
            <v>6784000</v>
          </cell>
          <cell r="H1336">
            <v>1494459</v>
          </cell>
          <cell r="I1336">
            <v>0</v>
          </cell>
        </row>
        <row r="1337">
          <cell r="A1337" t="str">
            <v>2200|476201</v>
          </cell>
          <cell r="B1337" t="str">
            <v>2200</v>
          </cell>
          <cell r="C1337">
            <v>476201</v>
          </cell>
          <cell r="D1337">
            <v>41244</v>
          </cell>
          <cell r="E1337">
            <v>82911600</v>
          </cell>
          <cell r="F1337">
            <v>82911600</v>
          </cell>
          <cell r="G1337">
            <v>4941293</v>
          </cell>
          <cell r="H1337">
            <v>6909300</v>
          </cell>
          <cell r="I1337">
            <v>0</v>
          </cell>
        </row>
        <row r="1338">
          <cell r="A1338" t="str">
            <v>2200|476220</v>
          </cell>
          <cell r="B1338" t="str">
            <v>2200</v>
          </cell>
          <cell r="C1338">
            <v>476220</v>
          </cell>
          <cell r="D1338">
            <v>41244</v>
          </cell>
          <cell r="E1338">
            <v>100887159</v>
          </cell>
          <cell r="F1338">
            <v>100887159</v>
          </cell>
          <cell r="G1338">
            <v>147512563</v>
          </cell>
          <cell r="H1338">
            <v>8407263</v>
          </cell>
          <cell r="I1338">
            <v>21157146</v>
          </cell>
        </row>
        <row r="1339">
          <cell r="A1339" t="str">
            <v>2200|476910</v>
          </cell>
          <cell r="B1339" t="str">
            <v>2200</v>
          </cell>
          <cell r="C1339">
            <v>476910</v>
          </cell>
          <cell r="D1339">
            <v>41244</v>
          </cell>
          <cell r="E1339">
            <v>136954500</v>
          </cell>
          <cell r="F1339">
            <v>136954500</v>
          </cell>
          <cell r="G1339">
            <v>115498605</v>
          </cell>
          <cell r="H1339">
            <v>11412852</v>
          </cell>
          <cell r="I1339">
            <v>485000</v>
          </cell>
        </row>
        <row r="1340">
          <cell r="A1340" t="str">
            <v>2210|211100</v>
          </cell>
          <cell r="B1340" t="str">
            <v>2210</v>
          </cell>
          <cell r="C1340">
            <v>211100</v>
          </cell>
          <cell r="D1340">
            <v>41244</v>
          </cell>
          <cell r="E1340">
            <v>0</v>
          </cell>
          <cell r="F1340">
            <v>0</v>
          </cell>
          <cell r="G1340">
            <v>538920</v>
          </cell>
          <cell r="H1340">
            <v>0</v>
          </cell>
          <cell r="I1340">
            <v>59880</v>
          </cell>
        </row>
        <row r="1341">
          <cell r="A1341" t="str">
            <v>2210|211104</v>
          </cell>
          <cell r="B1341" t="str">
            <v>2210</v>
          </cell>
          <cell r="C1341">
            <v>211104</v>
          </cell>
          <cell r="D1341">
            <v>41244</v>
          </cell>
          <cell r="E1341">
            <v>30008191</v>
          </cell>
          <cell r="F1341">
            <v>30008191</v>
          </cell>
          <cell r="G1341">
            <v>30008191</v>
          </cell>
          <cell r="H1341">
            <v>2500683</v>
          </cell>
          <cell r="I1341">
            <v>2500684</v>
          </cell>
        </row>
        <row r="1342">
          <cell r="A1342" t="str">
            <v>2210|246000</v>
          </cell>
          <cell r="B1342" t="str">
            <v>2210</v>
          </cell>
          <cell r="C1342">
            <v>246000</v>
          </cell>
          <cell r="D1342">
            <v>41244</v>
          </cell>
          <cell r="E1342">
            <v>40690500</v>
          </cell>
          <cell r="F1342">
            <v>40690500</v>
          </cell>
          <cell r="G1342">
            <v>40445400</v>
          </cell>
          <cell r="H1342">
            <v>3390875</v>
          </cell>
          <cell r="I1342">
            <v>19156000</v>
          </cell>
        </row>
        <row r="1343">
          <cell r="A1343" t="str">
            <v>2210|405200</v>
          </cell>
          <cell r="B1343" t="str">
            <v>2210</v>
          </cell>
          <cell r="C1343">
            <v>405200</v>
          </cell>
          <cell r="D1343">
            <v>41244</v>
          </cell>
          <cell r="E1343">
            <v>382700</v>
          </cell>
          <cell r="F1343">
            <v>382700</v>
          </cell>
          <cell r="G1343">
            <v>0</v>
          </cell>
          <cell r="H1343">
            <v>31892</v>
          </cell>
          <cell r="I1343">
            <v>0</v>
          </cell>
        </row>
        <row r="1344">
          <cell r="A1344" t="str">
            <v>2210|420002</v>
          </cell>
          <cell r="B1344" t="str">
            <v>2210</v>
          </cell>
          <cell r="C1344">
            <v>420002</v>
          </cell>
          <cell r="D1344">
            <v>41244</v>
          </cell>
          <cell r="E1344">
            <v>71303847</v>
          </cell>
          <cell r="F1344">
            <v>71303847</v>
          </cell>
          <cell r="G1344">
            <v>132363000</v>
          </cell>
          <cell r="H1344">
            <v>5941987</v>
          </cell>
          <cell r="I1344">
            <v>12515500</v>
          </cell>
        </row>
        <row r="1345">
          <cell r="A1345" t="str">
            <v>2210|422002</v>
          </cell>
          <cell r="B1345" t="str">
            <v>2210</v>
          </cell>
          <cell r="C1345">
            <v>422002</v>
          </cell>
          <cell r="D1345">
            <v>41244</v>
          </cell>
          <cell r="E1345">
            <v>43287</v>
          </cell>
          <cell r="F1345">
            <v>43287</v>
          </cell>
          <cell r="G1345">
            <v>0</v>
          </cell>
          <cell r="H1345">
            <v>3607</v>
          </cell>
          <cell r="I1345">
            <v>0</v>
          </cell>
        </row>
        <row r="1346">
          <cell r="A1346" t="str">
            <v>2210|430010</v>
          </cell>
          <cell r="B1346" t="str">
            <v>2210</v>
          </cell>
          <cell r="C1346">
            <v>430010</v>
          </cell>
          <cell r="D1346">
            <v>41244</v>
          </cell>
          <cell r="E1346">
            <v>0</v>
          </cell>
          <cell r="F1346">
            <v>0</v>
          </cell>
          <cell r="G1346">
            <v>22625000</v>
          </cell>
          <cell r="H1346">
            <v>0</v>
          </cell>
          <cell r="I1346">
            <v>0</v>
          </cell>
        </row>
        <row r="1347">
          <cell r="A1347" t="str">
            <v>2210|434012</v>
          </cell>
          <cell r="B1347" t="str">
            <v>2210</v>
          </cell>
          <cell r="C1347">
            <v>434012</v>
          </cell>
          <cell r="D1347">
            <v>41244</v>
          </cell>
          <cell r="E1347">
            <v>0</v>
          </cell>
          <cell r="F1347">
            <v>0</v>
          </cell>
          <cell r="G1347">
            <v>2799543</v>
          </cell>
          <cell r="H1347">
            <v>0</v>
          </cell>
          <cell r="I1347">
            <v>982145</v>
          </cell>
        </row>
        <row r="1348">
          <cell r="A1348" t="str">
            <v>2210|434013</v>
          </cell>
          <cell r="B1348" t="str">
            <v>2210</v>
          </cell>
          <cell r="C1348">
            <v>434013</v>
          </cell>
          <cell r="D1348">
            <v>41244</v>
          </cell>
          <cell r="E1348">
            <v>0</v>
          </cell>
          <cell r="F1348">
            <v>0</v>
          </cell>
          <cell r="G1348">
            <v>3052023</v>
          </cell>
          <cell r="H1348">
            <v>0</v>
          </cell>
          <cell r="I1348">
            <v>0</v>
          </cell>
        </row>
        <row r="1349">
          <cell r="A1349" t="str">
            <v>2210|435002</v>
          </cell>
          <cell r="B1349" t="str">
            <v>2210</v>
          </cell>
          <cell r="C1349">
            <v>435002</v>
          </cell>
          <cell r="D1349">
            <v>41244</v>
          </cell>
          <cell r="E1349">
            <v>5941987</v>
          </cell>
          <cell r="F1349">
            <v>5941987</v>
          </cell>
          <cell r="G1349">
            <v>11017000</v>
          </cell>
          <cell r="H1349">
            <v>495166</v>
          </cell>
          <cell r="I1349">
            <v>6917000</v>
          </cell>
        </row>
        <row r="1350">
          <cell r="A1350" t="str">
            <v>2210|439008</v>
          </cell>
          <cell r="B1350" t="str">
            <v>2210</v>
          </cell>
          <cell r="C1350">
            <v>439008</v>
          </cell>
          <cell r="D1350">
            <v>41244</v>
          </cell>
          <cell r="E1350">
            <v>16368905</v>
          </cell>
          <cell r="F1350">
            <v>16368905</v>
          </cell>
          <cell r="G1350">
            <v>22346622</v>
          </cell>
          <cell r="H1350">
            <v>1364075</v>
          </cell>
          <cell r="I1350">
            <v>0</v>
          </cell>
        </row>
        <row r="1351">
          <cell r="A1351" t="str">
            <v>2210|439202</v>
          </cell>
          <cell r="B1351" t="str">
            <v>2210</v>
          </cell>
          <cell r="C1351">
            <v>439202</v>
          </cell>
          <cell r="D1351">
            <v>41244</v>
          </cell>
          <cell r="E1351">
            <v>0</v>
          </cell>
          <cell r="F1351">
            <v>0</v>
          </cell>
          <cell r="G1351">
            <v>341000</v>
          </cell>
          <cell r="H1351">
            <v>0</v>
          </cell>
          <cell r="I1351">
            <v>0</v>
          </cell>
        </row>
        <row r="1352">
          <cell r="A1352" t="str">
            <v>2210|440002</v>
          </cell>
          <cell r="B1352" t="str">
            <v>2210</v>
          </cell>
          <cell r="C1352">
            <v>440002</v>
          </cell>
          <cell r="D1352">
            <v>41244</v>
          </cell>
          <cell r="E1352">
            <v>5941987</v>
          </cell>
          <cell r="F1352">
            <v>5941987</v>
          </cell>
          <cell r="G1352">
            <v>12818873</v>
          </cell>
          <cell r="H1352">
            <v>495166</v>
          </cell>
          <cell r="I1352">
            <v>558485</v>
          </cell>
        </row>
        <row r="1353">
          <cell r="A1353" t="str">
            <v>2210|446002</v>
          </cell>
          <cell r="B1353" t="str">
            <v>2210</v>
          </cell>
          <cell r="C1353">
            <v>446002</v>
          </cell>
          <cell r="D1353">
            <v>41244</v>
          </cell>
          <cell r="E1353">
            <v>2970994</v>
          </cell>
          <cell r="F1353">
            <v>2970994</v>
          </cell>
          <cell r="G1353">
            <v>2675875</v>
          </cell>
          <cell r="H1353">
            <v>247583</v>
          </cell>
          <cell r="I1353">
            <v>150000</v>
          </cell>
        </row>
        <row r="1354">
          <cell r="A1354" t="str">
            <v>2210|447002</v>
          </cell>
          <cell r="B1354" t="str">
            <v>2210</v>
          </cell>
          <cell r="C1354">
            <v>447002</v>
          </cell>
          <cell r="D1354">
            <v>41244</v>
          </cell>
          <cell r="E1354">
            <v>2072652</v>
          </cell>
          <cell r="F1354">
            <v>2072652</v>
          </cell>
          <cell r="G1354">
            <v>1291674</v>
          </cell>
          <cell r="H1354">
            <v>172721</v>
          </cell>
          <cell r="I1354">
            <v>108597</v>
          </cell>
        </row>
        <row r="1355">
          <cell r="A1355" t="str">
            <v>2210|447012</v>
          </cell>
          <cell r="B1355" t="str">
            <v>2210</v>
          </cell>
          <cell r="C1355">
            <v>447012</v>
          </cell>
          <cell r="D1355">
            <v>41244</v>
          </cell>
          <cell r="E1355">
            <v>4884593</v>
          </cell>
          <cell r="F1355">
            <v>4884593</v>
          </cell>
          <cell r="G1355">
            <v>3044064</v>
          </cell>
          <cell r="H1355">
            <v>407049</v>
          </cell>
          <cell r="I1355">
            <v>255929</v>
          </cell>
        </row>
        <row r="1356">
          <cell r="A1356" t="str">
            <v>2210|447022</v>
          </cell>
          <cell r="B1356" t="str">
            <v>2210</v>
          </cell>
          <cell r="C1356">
            <v>447022</v>
          </cell>
          <cell r="D1356">
            <v>41244</v>
          </cell>
          <cell r="E1356">
            <v>207265</v>
          </cell>
          <cell r="F1356">
            <v>207265</v>
          </cell>
          <cell r="G1356">
            <v>203812</v>
          </cell>
          <cell r="H1356">
            <v>17272</v>
          </cell>
          <cell r="I1356">
            <v>18000</v>
          </cell>
        </row>
        <row r="1357">
          <cell r="A1357" t="str">
            <v>2210|448000</v>
          </cell>
          <cell r="B1357" t="str">
            <v>2210</v>
          </cell>
          <cell r="C1357">
            <v>448000</v>
          </cell>
          <cell r="D1357">
            <v>41244</v>
          </cell>
          <cell r="E1357">
            <v>0</v>
          </cell>
          <cell r="F1357">
            <v>0</v>
          </cell>
          <cell r="G1357">
            <v>47544000</v>
          </cell>
          <cell r="H1357">
            <v>0</v>
          </cell>
          <cell r="I1357">
            <v>0</v>
          </cell>
        </row>
        <row r="1358">
          <cell r="A1358" t="str">
            <v>2210|448001</v>
          </cell>
          <cell r="B1358" t="str">
            <v>2210</v>
          </cell>
          <cell r="C1358">
            <v>448001</v>
          </cell>
          <cell r="D1358">
            <v>41244</v>
          </cell>
          <cell r="E1358">
            <v>0</v>
          </cell>
          <cell r="F1358">
            <v>0</v>
          </cell>
          <cell r="G1358">
            <v>12768000</v>
          </cell>
          <cell r="H1358">
            <v>0</v>
          </cell>
          <cell r="I1358">
            <v>0</v>
          </cell>
        </row>
        <row r="1359">
          <cell r="A1359" t="str">
            <v>2210|448002</v>
          </cell>
          <cell r="B1359" t="str">
            <v>2210</v>
          </cell>
          <cell r="C1359">
            <v>448002</v>
          </cell>
          <cell r="D1359">
            <v>41244</v>
          </cell>
          <cell r="E1359">
            <v>12314417</v>
          </cell>
          <cell r="F1359">
            <v>12314417</v>
          </cell>
          <cell r="G1359">
            <v>35353600</v>
          </cell>
          <cell r="H1359">
            <v>1026201</v>
          </cell>
          <cell r="I1359">
            <v>159000</v>
          </cell>
        </row>
        <row r="1360">
          <cell r="A1360" t="str">
            <v>2210|448003</v>
          </cell>
          <cell r="B1360" t="str">
            <v>2210</v>
          </cell>
          <cell r="C1360">
            <v>448003</v>
          </cell>
          <cell r="D1360">
            <v>41244</v>
          </cell>
          <cell r="E1360">
            <v>0</v>
          </cell>
          <cell r="F1360">
            <v>0</v>
          </cell>
          <cell r="G1360">
            <v>9450000</v>
          </cell>
          <cell r="H1360">
            <v>0</v>
          </cell>
          <cell r="I1360">
            <v>0</v>
          </cell>
        </row>
        <row r="1361">
          <cell r="A1361" t="str">
            <v>2210|449022</v>
          </cell>
          <cell r="B1361" t="str">
            <v>2210</v>
          </cell>
          <cell r="C1361">
            <v>449022</v>
          </cell>
          <cell r="D1361">
            <v>41244</v>
          </cell>
          <cell r="E1361">
            <v>3960000</v>
          </cell>
          <cell r="F1361">
            <v>3960000</v>
          </cell>
          <cell r="G1361">
            <v>21684000</v>
          </cell>
          <cell r="H1361">
            <v>330000</v>
          </cell>
          <cell r="I1361">
            <v>2357000</v>
          </cell>
        </row>
        <row r="1362">
          <cell r="A1362" t="str">
            <v>2210|449061</v>
          </cell>
          <cell r="B1362" t="str">
            <v>2210</v>
          </cell>
          <cell r="C1362">
            <v>449061</v>
          </cell>
          <cell r="D1362">
            <v>41244</v>
          </cell>
          <cell r="E1362">
            <v>3397900</v>
          </cell>
          <cell r="F1362">
            <v>3397900</v>
          </cell>
          <cell r="G1362">
            <v>2514100</v>
          </cell>
          <cell r="H1362">
            <v>283158</v>
          </cell>
          <cell r="I1362">
            <v>1091600</v>
          </cell>
        </row>
        <row r="1363">
          <cell r="A1363" t="str">
            <v>2210|455000</v>
          </cell>
          <cell r="B1363" t="str">
            <v>2210</v>
          </cell>
          <cell r="C1363">
            <v>455000</v>
          </cell>
          <cell r="D1363">
            <v>41244</v>
          </cell>
          <cell r="E1363">
            <v>671259</v>
          </cell>
          <cell r="F1363">
            <v>671259</v>
          </cell>
          <cell r="G1363">
            <v>0</v>
          </cell>
          <cell r="H1363">
            <v>55938</v>
          </cell>
          <cell r="I1363">
            <v>0</v>
          </cell>
        </row>
        <row r="1364">
          <cell r="A1364" t="str">
            <v>2210|473000</v>
          </cell>
          <cell r="B1364" t="str">
            <v>2210</v>
          </cell>
          <cell r="C1364">
            <v>473000</v>
          </cell>
          <cell r="D1364">
            <v>41244</v>
          </cell>
          <cell r="E1364">
            <v>120000</v>
          </cell>
          <cell r="F1364">
            <v>120000</v>
          </cell>
          <cell r="G1364">
            <v>24000</v>
          </cell>
          <cell r="H1364">
            <v>10000</v>
          </cell>
          <cell r="I1364">
            <v>0</v>
          </cell>
        </row>
        <row r="1365">
          <cell r="A1365" t="str">
            <v>2210|473120</v>
          </cell>
          <cell r="B1365" t="str">
            <v>2210</v>
          </cell>
          <cell r="C1365">
            <v>473120</v>
          </cell>
          <cell r="D1365">
            <v>41244</v>
          </cell>
          <cell r="E1365">
            <v>2376449</v>
          </cell>
          <cell r="F1365">
            <v>2376449</v>
          </cell>
          <cell r="G1365">
            <v>2170712</v>
          </cell>
          <cell r="H1365">
            <v>198037</v>
          </cell>
          <cell r="I1365">
            <v>0</v>
          </cell>
        </row>
        <row r="1366">
          <cell r="A1366" t="str">
            <v>2210|475000</v>
          </cell>
          <cell r="B1366" t="str">
            <v>2210</v>
          </cell>
          <cell r="C1366">
            <v>475000</v>
          </cell>
          <cell r="D1366">
            <v>41244</v>
          </cell>
          <cell r="E1366">
            <v>6773480</v>
          </cell>
          <cell r="F1366">
            <v>6773480</v>
          </cell>
          <cell r="G1366">
            <v>1279800</v>
          </cell>
          <cell r="H1366">
            <v>564457</v>
          </cell>
          <cell r="I1366">
            <v>2300000</v>
          </cell>
        </row>
        <row r="1367">
          <cell r="A1367" t="str">
            <v>2210|476220</v>
          </cell>
          <cell r="B1367" t="str">
            <v>2210</v>
          </cell>
          <cell r="C1367">
            <v>476220</v>
          </cell>
          <cell r="D1367">
            <v>41244</v>
          </cell>
          <cell r="E1367">
            <v>1257584</v>
          </cell>
          <cell r="F1367">
            <v>1257584</v>
          </cell>
          <cell r="G1367">
            <v>369120</v>
          </cell>
          <cell r="H1367">
            <v>104799</v>
          </cell>
          <cell r="I1367">
            <v>0</v>
          </cell>
        </row>
        <row r="1368">
          <cell r="A1368" t="str">
            <v>2220|211100</v>
          </cell>
          <cell r="B1368" t="str">
            <v>2220</v>
          </cell>
          <cell r="C1368">
            <v>211100</v>
          </cell>
          <cell r="D1368">
            <v>41244</v>
          </cell>
          <cell r="E1368">
            <v>3383869</v>
          </cell>
          <cell r="F1368">
            <v>3383869</v>
          </cell>
          <cell r="G1368">
            <v>3637065</v>
          </cell>
          <cell r="H1368">
            <v>281989</v>
          </cell>
          <cell r="I1368">
            <v>303089</v>
          </cell>
        </row>
        <row r="1369">
          <cell r="A1369" t="str">
            <v>2220|420002</v>
          </cell>
          <cell r="B1369" t="str">
            <v>2220</v>
          </cell>
          <cell r="C1369">
            <v>420002</v>
          </cell>
          <cell r="D1369">
            <v>41244</v>
          </cell>
          <cell r="E1369">
            <v>71303847</v>
          </cell>
          <cell r="F1369">
            <v>71303847</v>
          </cell>
          <cell r="G1369">
            <v>146103000</v>
          </cell>
          <cell r="H1369">
            <v>5941987</v>
          </cell>
          <cell r="I1369">
            <v>12283500</v>
          </cell>
        </row>
        <row r="1370">
          <cell r="A1370" t="str">
            <v>2220|431002</v>
          </cell>
          <cell r="B1370" t="str">
            <v>2220</v>
          </cell>
          <cell r="C1370">
            <v>431002</v>
          </cell>
          <cell r="D1370">
            <v>41244</v>
          </cell>
          <cell r="E1370">
            <v>3470689</v>
          </cell>
          <cell r="F1370">
            <v>3470689</v>
          </cell>
          <cell r="G1370">
            <v>6018843</v>
          </cell>
          <cell r="H1370">
            <v>289224</v>
          </cell>
          <cell r="I1370">
            <v>443411</v>
          </cell>
        </row>
        <row r="1371">
          <cell r="A1371" t="str">
            <v>2220|434012</v>
          </cell>
          <cell r="B1371" t="str">
            <v>2220</v>
          </cell>
          <cell r="C1371">
            <v>434012</v>
          </cell>
          <cell r="D1371">
            <v>41244</v>
          </cell>
          <cell r="E1371">
            <v>6473250</v>
          </cell>
          <cell r="F1371">
            <v>6473250</v>
          </cell>
          <cell r="G1371">
            <v>11218153</v>
          </cell>
          <cell r="H1371">
            <v>539437</v>
          </cell>
          <cell r="I1371">
            <v>982145</v>
          </cell>
        </row>
        <row r="1372">
          <cell r="A1372" t="str">
            <v>2220|435002</v>
          </cell>
          <cell r="B1372" t="str">
            <v>2220</v>
          </cell>
          <cell r="C1372">
            <v>435002</v>
          </cell>
          <cell r="D1372">
            <v>41244</v>
          </cell>
          <cell r="E1372">
            <v>5941987</v>
          </cell>
          <cell r="F1372">
            <v>5941987</v>
          </cell>
          <cell r="G1372">
            <v>9851167</v>
          </cell>
          <cell r="H1372">
            <v>495166</v>
          </cell>
          <cell r="I1372">
            <v>4986500</v>
          </cell>
        </row>
        <row r="1373">
          <cell r="A1373" t="str">
            <v>2220|439008</v>
          </cell>
          <cell r="B1373" t="str">
            <v>2220</v>
          </cell>
          <cell r="C1373">
            <v>439008</v>
          </cell>
          <cell r="D1373">
            <v>41244</v>
          </cell>
          <cell r="E1373">
            <v>16368905</v>
          </cell>
          <cell r="F1373">
            <v>16368905</v>
          </cell>
          <cell r="G1373">
            <v>35081282</v>
          </cell>
          <cell r="H1373">
            <v>1364075</v>
          </cell>
          <cell r="I1373">
            <v>0</v>
          </cell>
        </row>
        <row r="1374">
          <cell r="A1374" t="str">
            <v>2220|439202</v>
          </cell>
          <cell r="B1374" t="str">
            <v>2220</v>
          </cell>
          <cell r="C1374">
            <v>439202</v>
          </cell>
          <cell r="D1374">
            <v>41244</v>
          </cell>
          <cell r="E1374">
            <v>0</v>
          </cell>
          <cell r="F1374">
            <v>0</v>
          </cell>
          <cell r="G1374">
            <v>934000</v>
          </cell>
          <cell r="H1374">
            <v>0</v>
          </cell>
          <cell r="I1374">
            <v>0</v>
          </cell>
        </row>
        <row r="1375">
          <cell r="A1375" t="str">
            <v>2220|440002</v>
          </cell>
          <cell r="B1375" t="str">
            <v>2220</v>
          </cell>
          <cell r="C1375">
            <v>440002</v>
          </cell>
          <cell r="D1375">
            <v>41244</v>
          </cell>
          <cell r="E1375">
            <v>5941987</v>
          </cell>
          <cell r="F1375">
            <v>5941987</v>
          </cell>
          <cell r="G1375">
            <v>10773930</v>
          </cell>
          <cell r="H1375">
            <v>495166</v>
          </cell>
          <cell r="I1375">
            <v>558485</v>
          </cell>
        </row>
        <row r="1376">
          <cell r="A1376" t="str">
            <v>2220|446002</v>
          </cell>
          <cell r="B1376" t="str">
            <v>2220</v>
          </cell>
          <cell r="C1376">
            <v>446002</v>
          </cell>
          <cell r="D1376">
            <v>41244</v>
          </cell>
          <cell r="E1376">
            <v>9807894</v>
          </cell>
          <cell r="F1376">
            <v>9807894</v>
          </cell>
          <cell r="G1376">
            <v>3671326</v>
          </cell>
          <cell r="H1376">
            <v>817324</v>
          </cell>
          <cell r="I1376">
            <v>150000</v>
          </cell>
        </row>
        <row r="1377">
          <cell r="A1377" t="str">
            <v>2220|447002</v>
          </cell>
          <cell r="B1377" t="str">
            <v>2220</v>
          </cell>
          <cell r="C1377">
            <v>447002</v>
          </cell>
          <cell r="D1377">
            <v>41244</v>
          </cell>
          <cell r="E1377">
            <v>2072652</v>
          </cell>
          <cell r="F1377">
            <v>2072652</v>
          </cell>
          <cell r="G1377">
            <v>1835578</v>
          </cell>
          <cell r="H1377">
            <v>172721</v>
          </cell>
          <cell r="I1377">
            <v>78289</v>
          </cell>
        </row>
        <row r="1378">
          <cell r="A1378" t="str">
            <v>2220|447012</v>
          </cell>
          <cell r="B1378" t="str">
            <v>2220</v>
          </cell>
          <cell r="C1378">
            <v>447012</v>
          </cell>
          <cell r="D1378">
            <v>41244</v>
          </cell>
          <cell r="E1378">
            <v>4884593</v>
          </cell>
          <cell r="F1378">
            <v>4884593</v>
          </cell>
          <cell r="G1378">
            <v>4325864</v>
          </cell>
          <cell r="H1378">
            <v>407049</v>
          </cell>
          <cell r="I1378">
            <v>184501</v>
          </cell>
        </row>
        <row r="1379">
          <cell r="A1379" t="str">
            <v>2220|447022</v>
          </cell>
          <cell r="B1379" t="str">
            <v>2220</v>
          </cell>
          <cell r="C1379">
            <v>447022</v>
          </cell>
          <cell r="D1379">
            <v>41244</v>
          </cell>
          <cell r="E1379">
            <v>207265</v>
          </cell>
          <cell r="F1379">
            <v>207265</v>
          </cell>
          <cell r="G1379">
            <v>196771</v>
          </cell>
          <cell r="H1379">
            <v>17272</v>
          </cell>
          <cell r="I1379">
            <v>3900</v>
          </cell>
        </row>
        <row r="1380">
          <cell r="A1380" t="str">
            <v>2220|448002</v>
          </cell>
          <cell r="B1380" t="str">
            <v>2220</v>
          </cell>
          <cell r="C1380">
            <v>448002</v>
          </cell>
          <cell r="D1380">
            <v>41244</v>
          </cell>
          <cell r="E1380">
            <v>12314417</v>
          </cell>
          <cell r="F1380">
            <v>12314417</v>
          </cell>
          <cell r="G1380">
            <v>9144175</v>
          </cell>
          <cell r="H1380">
            <v>1026201</v>
          </cell>
          <cell r="I1380">
            <v>1351225</v>
          </cell>
        </row>
        <row r="1381">
          <cell r="A1381" t="str">
            <v>2220|449022</v>
          </cell>
          <cell r="B1381" t="str">
            <v>2220</v>
          </cell>
          <cell r="C1381">
            <v>449022</v>
          </cell>
          <cell r="D1381">
            <v>41244</v>
          </cell>
          <cell r="E1381">
            <v>3960000</v>
          </cell>
          <cell r="F1381">
            <v>3960000</v>
          </cell>
          <cell r="G1381">
            <v>7453000</v>
          </cell>
          <cell r="H1381">
            <v>330000</v>
          </cell>
          <cell r="I1381">
            <v>510000</v>
          </cell>
        </row>
        <row r="1382">
          <cell r="A1382" t="str">
            <v>2220|449032</v>
          </cell>
          <cell r="B1382" t="str">
            <v>2220</v>
          </cell>
          <cell r="C1382">
            <v>449032</v>
          </cell>
          <cell r="D1382">
            <v>41244</v>
          </cell>
          <cell r="E1382">
            <v>2125000</v>
          </cell>
          <cell r="F1382">
            <v>2125000</v>
          </cell>
          <cell r="G1382">
            <v>0</v>
          </cell>
          <cell r="H1382">
            <v>177083</v>
          </cell>
          <cell r="I1382">
            <v>0</v>
          </cell>
        </row>
        <row r="1383">
          <cell r="A1383" t="str">
            <v>2220|449060</v>
          </cell>
          <cell r="B1383" t="str">
            <v>2220</v>
          </cell>
          <cell r="C1383">
            <v>449060</v>
          </cell>
          <cell r="D1383">
            <v>41244</v>
          </cell>
          <cell r="E1383">
            <v>5893477151</v>
          </cell>
          <cell r="F1383">
            <v>5893477151</v>
          </cell>
          <cell r="G1383">
            <v>2588590384</v>
          </cell>
          <cell r="H1383">
            <v>491123097</v>
          </cell>
          <cell r="I1383">
            <v>165065440</v>
          </cell>
        </row>
        <row r="1384">
          <cell r="A1384" t="str">
            <v>2220|449061</v>
          </cell>
          <cell r="B1384" t="str">
            <v>2220</v>
          </cell>
          <cell r="C1384">
            <v>449061</v>
          </cell>
          <cell r="D1384">
            <v>41244</v>
          </cell>
          <cell r="E1384">
            <v>2911963294</v>
          </cell>
          <cell r="F1384">
            <v>2911963294</v>
          </cell>
          <cell r="G1384">
            <v>4247595668</v>
          </cell>
          <cell r="H1384">
            <v>242663608</v>
          </cell>
          <cell r="I1384">
            <v>127002660</v>
          </cell>
        </row>
        <row r="1385">
          <cell r="A1385" t="str">
            <v>2220|473000</v>
          </cell>
          <cell r="B1385" t="str">
            <v>2220</v>
          </cell>
          <cell r="C1385">
            <v>473000</v>
          </cell>
          <cell r="D1385">
            <v>41244</v>
          </cell>
          <cell r="E1385">
            <v>120000</v>
          </cell>
          <cell r="F1385">
            <v>120000</v>
          </cell>
          <cell r="G1385">
            <v>120000</v>
          </cell>
          <cell r="H1385">
            <v>10000</v>
          </cell>
          <cell r="I1385">
            <v>0</v>
          </cell>
        </row>
        <row r="1386">
          <cell r="A1386" t="str">
            <v>2220|473120</v>
          </cell>
          <cell r="B1386" t="str">
            <v>2220</v>
          </cell>
          <cell r="C1386">
            <v>473120</v>
          </cell>
          <cell r="D1386">
            <v>41244</v>
          </cell>
          <cell r="E1386">
            <v>85525</v>
          </cell>
          <cell r="F1386">
            <v>85525</v>
          </cell>
          <cell r="G1386">
            <v>354171</v>
          </cell>
          <cell r="H1386">
            <v>7127</v>
          </cell>
          <cell r="I1386">
            <v>0</v>
          </cell>
        </row>
        <row r="1387">
          <cell r="A1387" t="str">
            <v>2220|475002</v>
          </cell>
          <cell r="B1387" t="str">
            <v>2220</v>
          </cell>
          <cell r="C1387">
            <v>475002</v>
          </cell>
          <cell r="D1387">
            <v>41244</v>
          </cell>
          <cell r="E1387">
            <v>0</v>
          </cell>
          <cell r="F1387">
            <v>0</v>
          </cell>
          <cell r="G1387">
            <v>2934372</v>
          </cell>
          <cell r="H1387">
            <v>0</v>
          </cell>
          <cell r="I1387">
            <v>244531</v>
          </cell>
        </row>
        <row r="1388">
          <cell r="A1388" t="str">
            <v>2220|475006</v>
          </cell>
          <cell r="B1388" t="str">
            <v>2220</v>
          </cell>
          <cell r="C1388">
            <v>475006</v>
          </cell>
          <cell r="D1388">
            <v>41244</v>
          </cell>
          <cell r="E1388">
            <v>2176875</v>
          </cell>
          <cell r="F1388">
            <v>2176875</v>
          </cell>
          <cell r="G1388">
            <v>0</v>
          </cell>
          <cell r="H1388">
            <v>181406</v>
          </cell>
          <cell r="I1388">
            <v>0</v>
          </cell>
        </row>
        <row r="1389">
          <cell r="A1389" t="str">
            <v>2220|476000</v>
          </cell>
          <cell r="B1389" t="str">
            <v>2220</v>
          </cell>
          <cell r="C1389">
            <v>476000</v>
          </cell>
          <cell r="D1389">
            <v>41244</v>
          </cell>
          <cell r="E1389">
            <v>577800</v>
          </cell>
          <cell r="F1389">
            <v>577800</v>
          </cell>
          <cell r="G1389">
            <v>633831</v>
          </cell>
          <cell r="H1389">
            <v>48150</v>
          </cell>
          <cell r="I1389">
            <v>0</v>
          </cell>
        </row>
        <row r="1390">
          <cell r="A1390" t="str">
            <v>2220|476001</v>
          </cell>
          <cell r="B1390" t="str">
            <v>2220</v>
          </cell>
          <cell r="C1390">
            <v>476001</v>
          </cell>
          <cell r="D1390">
            <v>41244</v>
          </cell>
          <cell r="E1390">
            <v>1680000</v>
          </cell>
          <cell r="F1390">
            <v>1680000</v>
          </cell>
          <cell r="G1390">
            <v>0</v>
          </cell>
          <cell r="H1390">
            <v>140000</v>
          </cell>
          <cell r="I1390">
            <v>0</v>
          </cell>
        </row>
        <row r="1391">
          <cell r="A1391" t="str">
            <v>2220|476220</v>
          </cell>
          <cell r="B1391" t="str">
            <v>2220</v>
          </cell>
          <cell r="C1391">
            <v>476220</v>
          </cell>
          <cell r="D1391">
            <v>41244</v>
          </cell>
          <cell r="E1391">
            <v>60439500</v>
          </cell>
          <cell r="F1391">
            <v>60439500</v>
          </cell>
          <cell r="G1391">
            <v>21279458</v>
          </cell>
          <cell r="H1391">
            <v>5036671</v>
          </cell>
          <cell r="I1391">
            <v>4531022</v>
          </cell>
        </row>
        <row r="1392">
          <cell r="A1392" t="str">
            <v>2220|476900</v>
          </cell>
          <cell r="B1392" t="str">
            <v>2220</v>
          </cell>
          <cell r="C1392">
            <v>476900</v>
          </cell>
          <cell r="D1392">
            <v>41244</v>
          </cell>
          <cell r="E1392">
            <v>330000</v>
          </cell>
          <cell r="F1392">
            <v>330000</v>
          </cell>
          <cell r="G1392">
            <v>-114000</v>
          </cell>
          <cell r="H1392">
            <v>27500</v>
          </cell>
          <cell r="I1392">
            <v>0</v>
          </cell>
        </row>
        <row r="1393">
          <cell r="A1393" t="str">
            <v>2230|211100</v>
          </cell>
          <cell r="B1393" t="str">
            <v>2230</v>
          </cell>
          <cell r="C1393">
            <v>211100</v>
          </cell>
          <cell r="D1393">
            <v>41244</v>
          </cell>
          <cell r="E1393">
            <v>1495923</v>
          </cell>
          <cell r="F1393">
            <v>1495923</v>
          </cell>
          <cell r="G1393">
            <v>745923</v>
          </cell>
          <cell r="H1393">
            <v>124660</v>
          </cell>
          <cell r="I1393">
            <v>62161</v>
          </cell>
        </row>
        <row r="1394">
          <cell r="A1394" t="str">
            <v>2230|211104</v>
          </cell>
          <cell r="B1394" t="str">
            <v>2230</v>
          </cell>
          <cell r="C1394">
            <v>211104</v>
          </cell>
          <cell r="D1394">
            <v>41244</v>
          </cell>
          <cell r="E1394">
            <v>49385222</v>
          </cell>
          <cell r="F1394">
            <v>49385222</v>
          </cell>
          <cell r="G1394">
            <v>38644747</v>
          </cell>
          <cell r="H1394">
            <v>4115435</v>
          </cell>
          <cell r="I1394">
            <v>3421780</v>
          </cell>
        </row>
        <row r="1395">
          <cell r="A1395" t="str">
            <v>2230|246000</v>
          </cell>
          <cell r="B1395" t="str">
            <v>2230</v>
          </cell>
          <cell r="C1395">
            <v>246000</v>
          </cell>
          <cell r="D1395">
            <v>41244</v>
          </cell>
          <cell r="E1395">
            <v>580968</v>
          </cell>
          <cell r="F1395">
            <v>580968</v>
          </cell>
          <cell r="G1395">
            <v>0</v>
          </cell>
          <cell r="H1395">
            <v>48414</v>
          </cell>
          <cell r="I1395">
            <v>0</v>
          </cell>
        </row>
        <row r="1396">
          <cell r="A1396" t="str">
            <v>2230|405200</v>
          </cell>
          <cell r="B1396" t="str">
            <v>2230</v>
          </cell>
          <cell r="C1396">
            <v>405200</v>
          </cell>
          <cell r="D1396">
            <v>41244</v>
          </cell>
          <cell r="E1396">
            <v>200000</v>
          </cell>
          <cell r="F1396">
            <v>200000</v>
          </cell>
          <cell r="G1396">
            <v>0</v>
          </cell>
          <cell r="H1396">
            <v>16667</v>
          </cell>
          <cell r="I1396">
            <v>0</v>
          </cell>
        </row>
        <row r="1397">
          <cell r="A1397" t="str">
            <v>2230|449061</v>
          </cell>
          <cell r="B1397" t="str">
            <v>2230</v>
          </cell>
          <cell r="C1397">
            <v>449061</v>
          </cell>
          <cell r="D1397">
            <v>41244</v>
          </cell>
          <cell r="E1397">
            <v>884000</v>
          </cell>
          <cell r="F1397">
            <v>884000</v>
          </cell>
          <cell r="G1397">
            <v>2801400</v>
          </cell>
          <cell r="H1397">
            <v>73667</v>
          </cell>
          <cell r="I1397">
            <v>64000</v>
          </cell>
        </row>
        <row r="1398">
          <cell r="A1398" t="str">
            <v>2230|451000</v>
          </cell>
          <cell r="B1398" t="str">
            <v>2230</v>
          </cell>
          <cell r="C1398">
            <v>451000</v>
          </cell>
          <cell r="D1398">
            <v>41244</v>
          </cell>
          <cell r="E1398">
            <v>22750000</v>
          </cell>
          <cell r="F1398">
            <v>22750000</v>
          </cell>
          <cell r="G1398">
            <v>21225375</v>
          </cell>
          <cell r="H1398">
            <v>1895833</v>
          </cell>
          <cell r="I1398">
            <v>7077500</v>
          </cell>
        </row>
        <row r="1399">
          <cell r="A1399" t="str">
            <v>2230|473120</v>
          </cell>
          <cell r="B1399" t="str">
            <v>2230</v>
          </cell>
          <cell r="C1399">
            <v>473120</v>
          </cell>
          <cell r="D1399">
            <v>41244</v>
          </cell>
          <cell r="E1399">
            <v>9382473</v>
          </cell>
          <cell r="F1399">
            <v>9382473</v>
          </cell>
          <cell r="G1399">
            <v>2473007</v>
          </cell>
          <cell r="H1399">
            <v>781873</v>
          </cell>
          <cell r="I1399">
            <v>0</v>
          </cell>
        </row>
        <row r="1400">
          <cell r="A1400" t="str">
            <v>2230|475001</v>
          </cell>
          <cell r="B1400" t="str">
            <v>2230</v>
          </cell>
          <cell r="C1400">
            <v>475001</v>
          </cell>
          <cell r="D1400">
            <v>41244</v>
          </cell>
          <cell r="E1400">
            <v>1450000</v>
          </cell>
          <cell r="F1400">
            <v>1450000</v>
          </cell>
          <cell r="G1400">
            <v>1293600</v>
          </cell>
          <cell r="H1400">
            <v>120833</v>
          </cell>
          <cell r="I1400">
            <v>0</v>
          </cell>
        </row>
        <row r="1401">
          <cell r="A1401" t="str">
            <v>2230|475002</v>
          </cell>
          <cell r="B1401" t="str">
            <v>2230</v>
          </cell>
          <cell r="C1401">
            <v>475002</v>
          </cell>
          <cell r="D1401">
            <v>41244</v>
          </cell>
          <cell r="E1401">
            <v>0</v>
          </cell>
          <cell r="F1401">
            <v>0</v>
          </cell>
          <cell r="G1401">
            <v>179375</v>
          </cell>
          <cell r="H1401">
            <v>0</v>
          </cell>
          <cell r="I1401">
            <v>0</v>
          </cell>
        </row>
        <row r="1402">
          <cell r="A1402" t="str">
            <v>2230|475006</v>
          </cell>
          <cell r="B1402" t="str">
            <v>2230</v>
          </cell>
          <cell r="C1402">
            <v>475006</v>
          </cell>
          <cell r="D1402">
            <v>41244</v>
          </cell>
          <cell r="E1402">
            <v>132000</v>
          </cell>
          <cell r="F1402">
            <v>132000</v>
          </cell>
          <cell r="G1402">
            <v>0</v>
          </cell>
          <cell r="H1402">
            <v>11000</v>
          </cell>
          <cell r="I1402">
            <v>0</v>
          </cell>
        </row>
        <row r="1403">
          <cell r="A1403" t="str">
            <v>2230|476001</v>
          </cell>
          <cell r="B1403" t="str">
            <v>2230</v>
          </cell>
          <cell r="C1403">
            <v>476001</v>
          </cell>
          <cell r="D1403">
            <v>41244</v>
          </cell>
          <cell r="E1403">
            <v>1150000</v>
          </cell>
          <cell r="F1403">
            <v>1150000</v>
          </cell>
          <cell r="G1403">
            <v>0</v>
          </cell>
          <cell r="H1403">
            <v>95833</v>
          </cell>
          <cell r="I1403">
            <v>0</v>
          </cell>
        </row>
        <row r="1404">
          <cell r="A1404" t="str">
            <v>2230|476220</v>
          </cell>
          <cell r="B1404" t="str">
            <v>2230</v>
          </cell>
          <cell r="C1404">
            <v>476220</v>
          </cell>
          <cell r="D1404">
            <v>41244</v>
          </cell>
          <cell r="E1404">
            <v>1350590300</v>
          </cell>
          <cell r="F1404">
            <v>1350590300</v>
          </cell>
          <cell r="G1404">
            <v>581775058</v>
          </cell>
          <cell r="H1404">
            <v>112549191</v>
          </cell>
          <cell r="I1404">
            <v>-1045537723</v>
          </cell>
        </row>
        <row r="1405">
          <cell r="A1405" t="str">
            <v>2240|211104</v>
          </cell>
          <cell r="B1405" t="str">
            <v>2240</v>
          </cell>
          <cell r="C1405">
            <v>211104</v>
          </cell>
          <cell r="D1405">
            <v>41244</v>
          </cell>
          <cell r="E1405">
            <v>92101811</v>
          </cell>
          <cell r="F1405">
            <v>92101811</v>
          </cell>
          <cell r="G1405">
            <v>75201304</v>
          </cell>
          <cell r="H1405">
            <v>7675151</v>
          </cell>
          <cell r="I1405">
            <v>6604063</v>
          </cell>
        </row>
        <row r="1406">
          <cell r="A1406" t="str">
            <v>2240|246000</v>
          </cell>
          <cell r="B1406" t="str">
            <v>2240</v>
          </cell>
          <cell r="C1406">
            <v>246000</v>
          </cell>
          <cell r="D1406">
            <v>41244</v>
          </cell>
          <cell r="E1406">
            <v>836300</v>
          </cell>
          <cell r="F1406">
            <v>836300</v>
          </cell>
          <cell r="G1406">
            <v>0</v>
          </cell>
          <cell r="H1406">
            <v>69695</v>
          </cell>
          <cell r="I1406">
            <v>0</v>
          </cell>
        </row>
        <row r="1407">
          <cell r="A1407" t="str">
            <v>2240|400040</v>
          </cell>
          <cell r="B1407" t="str">
            <v>2240</v>
          </cell>
          <cell r="C1407">
            <v>400040</v>
          </cell>
          <cell r="D1407">
            <v>41244</v>
          </cell>
          <cell r="E1407">
            <v>469484</v>
          </cell>
          <cell r="F1407">
            <v>469484</v>
          </cell>
          <cell r="G1407">
            <v>455704</v>
          </cell>
          <cell r="H1407">
            <v>39124</v>
          </cell>
          <cell r="I1407">
            <v>0</v>
          </cell>
        </row>
        <row r="1408">
          <cell r="A1408" t="str">
            <v>2240|405200</v>
          </cell>
          <cell r="B1408" t="str">
            <v>2240</v>
          </cell>
          <cell r="C1408">
            <v>405200</v>
          </cell>
          <cell r="D1408">
            <v>41244</v>
          </cell>
          <cell r="E1408">
            <v>0</v>
          </cell>
          <cell r="F1408">
            <v>0</v>
          </cell>
          <cell r="G1408">
            <v>-2055000</v>
          </cell>
          <cell r="H1408">
            <v>0</v>
          </cell>
          <cell r="I1408">
            <v>0</v>
          </cell>
        </row>
        <row r="1409">
          <cell r="A1409" t="str">
            <v>2240|431000</v>
          </cell>
          <cell r="B1409" t="str">
            <v>2240</v>
          </cell>
          <cell r="C1409">
            <v>431000</v>
          </cell>
          <cell r="D1409">
            <v>41244</v>
          </cell>
          <cell r="E1409">
            <v>0</v>
          </cell>
          <cell r="F1409">
            <v>0</v>
          </cell>
          <cell r="G1409">
            <v>516480</v>
          </cell>
          <cell r="H1409">
            <v>0</v>
          </cell>
          <cell r="I1409">
            <v>0</v>
          </cell>
        </row>
        <row r="1410">
          <cell r="A1410" t="str">
            <v>2240|449061</v>
          </cell>
          <cell r="B1410" t="str">
            <v>2240</v>
          </cell>
          <cell r="C1410">
            <v>449061</v>
          </cell>
          <cell r="D1410">
            <v>41244</v>
          </cell>
          <cell r="E1410">
            <v>64000</v>
          </cell>
          <cell r="F1410">
            <v>64000</v>
          </cell>
          <cell r="G1410">
            <v>0</v>
          </cell>
          <cell r="H1410">
            <v>5333</v>
          </cell>
          <cell r="I1410">
            <v>0</v>
          </cell>
        </row>
        <row r="1411">
          <cell r="A1411" t="str">
            <v>2240|451000</v>
          </cell>
          <cell r="B1411" t="str">
            <v>2240</v>
          </cell>
          <cell r="C1411">
            <v>451000</v>
          </cell>
          <cell r="D1411">
            <v>41244</v>
          </cell>
          <cell r="E1411">
            <v>28650000</v>
          </cell>
          <cell r="F1411">
            <v>28650000</v>
          </cell>
          <cell r="G1411">
            <v>16830000</v>
          </cell>
          <cell r="H1411">
            <v>2387500</v>
          </cell>
          <cell r="I1411">
            <v>0</v>
          </cell>
        </row>
        <row r="1412">
          <cell r="A1412" t="str">
            <v>2240|452000</v>
          </cell>
          <cell r="B1412" t="str">
            <v>2240</v>
          </cell>
          <cell r="C1412">
            <v>452000</v>
          </cell>
          <cell r="D1412">
            <v>41244</v>
          </cell>
          <cell r="E1412">
            <v>800000</v>
          </cell>
          <cell r="F1412">
            <v>800000</v>
          </cell>
          <cell r="G1412">
            <v>0</v>
          </cell>
          <cell r="H1412">
            <v>66667</v>
          </cell>
          <cell r="I1412">
            <v>0</v>
          </cell>
        </row>
        <row r="1413">
          <cell r="A1413" t="str">
            <v>2240|452001</v>
          </cell>
          <cell r="B1413" t="str">
            <v>2240</v>
          </cell>
          <cell r="C1413">
            <v>452001</v>
          </cell>
          <cell r="D1413">
            <v>41244</v>
          </cell>
          <cell r="E1413">
            <v>1250000</v>
          </cell>
          <cell r="F1413">
            <v>1250000</v>
          </cell>
          <cell r="G1413">
            <v>0</v>
          </cell>
          <cell r="H1413">
            <v>104167</v>
          </cell>
          <cell r="I1413">
            <v>0</v>
          </cell>
        </row>
        <row r="1414">
          <cell r="A1414" t="str">
            <v>2240|455000</v>
          </cell>
          <cell r="B1414" t="str">
            <v>2240</v>
          </cell>
          <cell r="C1414">
            <v>455000</v>
          </cell>
          <cell r="D1414">
            <v>41244</v>
          </cell>
          <cell r="E1414">
            <v>3218062</v>
          </cell>
          <cell r="F1414">
            <v>3218062</v>
          </cell>
          <cell r="G1414">
            <v>740650</v>
          </cell>
          <cell r="H1414">
            <v>268173</v>
          </cell>
          <cell r="I1414">
            <v>0</v>
          </cell>
        </row>
        <row r="1415">
          <cell r="A1415" t="str">
            <v>2240|470101</v>
          </cell>
          <cell r="B1415" t="str">
            <v>2240</v>
          </cell>
          <cell r="C1415">
            <v>470101</v>
          </cell>
          <cell r="D1415">
            <v>41244</v>
          </cell>
          <cell r="E1415">
            <v>1288346361</v>
          </cell>
          <cell r="F1415">
            <v>1288346361</v>
          </cell>
          <cell r="G1415">
            <v>1316230805</v>
          </cell>
          <cell r="H1415">
            <v>107362197</v>
          </cell>
          <cell r="I1415">
            <v>166553430</v>
          </cell>
        </row>
        <row r="1416">
          <cell r="A1416" t="str">
            <v>2240|470102</v>
          </cell>
          <cell r="B1416" t="str">
            <v>2240</v>
          </cell>
          <cell r="C1416">
            <v>470102</v>
          </cell>
          <cell r="D1416">
            <v>41244</v>
          </cell>
          <cell r="E1416">
            <v>966845059</v>
          </cell>
          <cell r="F1416">
            <v>966845059</v>
          </cell>
          <cell r="G1416">
            <v>827742824</v>
          </cell>
          <cell r="H1416">
            <v>80570422</v>
          </cell>
          <cell r="I1416">
            <v>103939930</v>
          </cell>
        </row>
        <row r="1417">
          <cell r="A1417" t="str">
            <v>2240|476000</v>
          </cell>
          <cell r="B1417" t="str">
            <v>2240</v>
          </cell>
          <cell r="C1417">
            <v>476000</v>
          </cell>
          <cell r="D1417">
            <v>41244</v>
          </cell>
          <cell r="E1417">
            <v>1726552</v>
          </cell>
          <cell r="F1417">
            <v>1726552</v>
          </cell>
          <cell r="G1417">
            <v>771666</v>
          </cell>
          <cell r="H1417">
            <v>143879</v>
          </cell>
          <cell r="I1417">
            <v>0</v>
          </cell>
        </row>
        <row r="1418">
          <cell r="A1418" t="str">
            <v>2240|476220</v>
          </cell>
          <cell r="B1418" t="str">
            <v>2240</v>
          </cell>
          <cell r="C1418">
            <v>476220</v>
          </cell>
          <cell r="D1418">
            <v>41244</v>
          </cell>
          <cell r="E1418">
            <v>16920641</v>
          </cell>
          <cell r="F1418">
            <v>16920641</v>
          </cell>
          <cell r="G1418">
            <v>93762642</v>
          </cell>
          <cell r="H1418">
            <v>1410053</v>
          </cell>
          <cell r="I1418">
            <v>-194240261</v>
          </cell>
        </row>
        <row r="1419">
          <cell r="A1419" t="str">
            <v>2260|211100</v>
          </cell>
          <cell r="B1419" t="str">
            <v>2260</v>
          </cell>
          <cell r="C1419">
            <v>211100</v>
          </cell>
          <cell r="D1419">
            <v>41244</v>
          </cell>
          <cell r="E1419">
            <v>757433</v>
          </cell>
          <cell r="F1419">
            <v>757433</v>
          </cell>
          <cell r="G1419">
            <v>757433</v>
          </cell>
          <cell r="H1419">
            <v>63119</v>
          </cell>
          <cell r="I1419">
            <v>63119</v>
          </cell>
        </row>
        <row r="1420">
          <cell r="A1420" t="str">
            <v>2260|246000</v>
          </cell>
          <cell r="B1420" t="str">
            <v>2260</v>
          </cell>
          <cell r="C1420">
            <v>246000</v>
          </cell>
          <cell r="D1420">
            <v>41244</v>
          </cell>
          <cell r="E1420">
            <v>461000</v>
          </cell>
          <cell r="F1420">
            <v>461000</v>
          </cell>
          <cell r="G1420">
            <v>0</v>
          </cell>
          <cell r="H1420">
            <v>38417</v>
          </cell>
          <cell r="I1420">
            <v>120000</v>
          </cell>
        </row>
        <row r="1421">
          <cell r="A1421" t="str">
            <v>2260|400040</v>
          </cell>
          <cell r="B1421" t="str">
            <v>2260</v>
          </cell>
          <cell r="C1421">
            <v>400040</v>
          </cell>
          <cell r="D1421">
            <v>41244</v>
          </cell>
          <cell r="E1421">
            <v>66066</v>
          </cell>
          <cell r="F1421">
            <v>66066</v>
          </cell>
          <cell r="G1421">
            <v>0</v>
          </cell>
          <cell r="H1421">
            <v>5505</v>
          </cell>
          <cell r="I1421">
            <v>0</v>
          </cell>
        </row>
        <row r="1422">
          <cell r="A1422" t="str">
            <v>2260|416302</v>
          </cell>
          <cell r="B1422" t="str">
            <v>2260</v>
          </cell>
          <cell r="C1422">
            <v>416302</v>
          </cell>
          <cell r="D1422">
            <v>41244</v>
          </cell>
          <cell r="E1422">
            <v>0</v>
          </cell>
          <cell r="F1422">
            <v>0</v>
          </cell>
          <cell r="G1422">
            <v>987588</v>
          </cell>
          <cell r="H1422">
            <v>0</v>
          </cell>
          <cell r="I1422">
            <v>0</v>
          </cell>
        </row>
        <row r="1423">
          <cell r="A1423" t="str">
            <v>2260|416303</v>
          </cell>
          <cell r="B1423" t="str">
            <v>2260</v>
          </cell>
          <cell r="C1423">
            <v>416303</v>
          </cell>
          <cell r="D1423">
            <v>41244</v>
          </cell>
          <cell r="E1423">
            <v>6308511</v>
          </cell>
          <cell r="F1423">
            <v>6308511</v>
          </cell>
          <cell r="G1423">
            <v>8425586</v>
          </cell>
          <cell r="H1423">
            <v>525709</v>
          </cell>
          <cell r="I1423">
            <v>962569</v>
          </cell>
        </row>
        <row r="1424">
          <cell r="A1424" t="str">
            <v>2260|449061</v>
          </cell>
          <cell r="B1424" t="str">
            <v>2260</v>
          </cell>
          <cell r="C1424">
            <v>449061</v>
          </cell>
          <cell r="D1424">
            <v>41244</v>
          </cell>
          <cell r="E1424">
            <v>164580000</v>
          </cell>
          <cell r="F1424">
            <v>164580000</v>
          </cell>
          <cell r="G1424">
            <v>120960000</v>
          </cell>
          <cell r="H1424">
            <v>13714999</v>
          </cell>
          <cell r="I1424">
            <v>0</v>
          </cell>
        </row>
        <row r="1425">
          <cell r="A1425" t="str">
            <v>2260|451000</v>
          </cell>
          <cell r="B1425" t="str">
            <v>2260</v>
          </cell>
          <cell r="C1425">
            <v>451000</v>
          </cell>
          <cell r="D1425">
            <v>41244</v>
          </cell>
          <cell r="E1425">
            <v>194008800</v>
          </cell>
          <cell r="F1425">
            <v>194008800</v>
          </cell>
          <cell r="G1425">
            <v>188301340</v>
          </cell>
          <cell r="H1425">
            <v>16167401</v>
          </cell>
          <cell r="I1425">
            <v>42776400</v>
          </cell>
        </row>
        <row r="1426">
          <cell r="A1426" t="str">
            <v>2260|455000</v>
          </cell>
          <cell r="B1426" t="str">
            <v>2260</v>
          </cell>
          <cell r="C1426">
            <v>455000</v>
          </cell>
          <cell r="D1426">
            <v>41244</v>
          </cell>
          <cell r="E1426">
            <v>933320</v>
          </cell>
          <cell r="F1426">
            <v>933320</v>
          </cell>
          <cell r="G1426">
            <v>0</v>
          </cell>
          <cell r="H1426">
            <v>77777</v>
          </cell>
          <cell r="I1426">
            <v>0</v>
          </cell>
        </row>
        <row r="1427">
          <cell r="A1427" t="str">
            <v>2260|470102</v>
          </cell>
          <cell r="B1427" t="str">
            <v>2260</v>
          </cell>
          <cell r="C1427">
            <v>470102</v>
          </cell>
          <cell r="D1427">
            <v>41244</v>
          </cell>
          <cell r="E1427">
            <v>26804674</v>
          </cell>
          <cell r="F1427">
            <v>26804674</v>
          </cell>
          <cell r="G1427">
            <v>26100000</v>
          </cell>
          <cell r="H1427">
            <v>2233723</v>
          </cell>
          <cell r="I1427">
            <v>2175000</v>
          </cell>
        </row>
        <row r="1428">
          <cell r="A1428" t="str">
            <v>2260|471000</v>
          </cell>
          <cell r="B1428" t="str">
            <v>2260</v>
          </cell>
          <cell r="C1428">
            <v>471000</v>
          </cell>
          <cell r="D1428">
            <v>41244</v>
          </cell>
          <cell r="E1428">
            <v>20815720</v>
          </cell>
          <cell r="F1428">
            <v>20815720</v>
          </cell>
          <cell r="G1428">
            <v>30136170</v>
          </cell>
          <cell r="H1428">
            <v>1734643</v>
          </cell>
          <cell r="I1428">
            <v>5970000</v>
          </cell>
        </row>
        <row r="1429">
          <cell r="A1429" t="str">
            <v>2260|473000</v>
          </cell>
          <cell r="B1429" t="str">
            <v>2260</v>
          </cell>
          <cell r="C1429">
            <v>473000</v>
          </cell>
          <cell r="D1429">
            <v>41244</v>
          </cell>
          <cell r="E1429">
            <v>879804</v>
          </cell>
          <cell r="F1429">
            <v>879804</v>
          </cell>
          <cell r="G1429">
            <v>300000</v>
          </cell>
          <cell r="H1429">
            <v>73317</v>
          </cell>
          <cell r="I1429">
            <v>0</v>
          </cell>
        </row>
        <row r="1430">
          <cell r="A1430" t="str">
            <v>2260|473120</v>
          </cell>
          <cell r="B1430" t="str">
            <v>2260</v>
          </cell>
          <cell r="C1430">
            <v>473120</v>
          </cell>
          <cell r="D1430">
            <v>41244</v>
          </cell>
          <cell r="E1430">
            <v>4993030</v>
          </cell>
          <cell r="F1430">
            <v>4993030</v>
          </cell>
          <cell r="G1430">
            <v>134236</v>
          </cell>
          <cell r="H1430">
            <v>416086</v>
          </cell>
          <cell r="I1430">
            <v>0</v>
          </cell>
        </row>
        <row r="1431">
          <cell r="A1431" t="str">
            <v>2260|476220</v>
          </cell>
          <cell r="B1431" t="str">
            <v>2260</v>
          </cell>
          <cell r="C1431">
            <v>476220</v>
          </cell>
          <cell r="D1431">
            <v>41244</v>
          </cell>
          <cell r="E1431">
            <v>924805735</v>
          </cell>
          <cell r="F1431">
            <v>924805735</v>
          </cell>
          <cell r="G1431">
            <v>275364269</v>
          </cell>
          <cell r="H1431">
            <v>77067145</v>
          </cell>
          <cell r="I1431">
            <v>-609700604</v>
          </cell>
        </row>
        <row r="1432">
          <cell r="A1432" t="str">
            <v>2270|211100</v>
          </cell>
          <cell r="B1432" t="str">
            <v>2270</v>
          </cell>
          <cell r="C1432">
            <v>211100</v>
          </cell>
          <cell r="D1432">
            <v>41244</v>
          </cell>
          <cell r="E1432">
            <v>300177191</v>
          </cell>
          <cell r="F1432">
            <v>300177191</v>
          </cell>
          <cell r="G1432">
            <v>19258573</v>
          </cell>
          <cell r="H1432">
            <v>25014766</v>
          </cell>
          <cell r="I1432">
            <v>5195192</v>
          </cell>
        </row>
        <row r="1433">
          <cell r="A1433" t="str">
            <v>2270|246000</v>
          </cell>
          <cell r="B1433" t="str">
            <v>2270</v>
          </cell>
          <cell r="C1433">
            <v>246000</v>
          </cell>
          <cell r="D1433">
            <v>41244</v>
          </cell>
          <cell r="E1433">
            <v>2100000</v>
          </cell>
          <cell r="F1433">
            <v>2100000</v>
          </cell>
          <cell r="G1433">
            <v>2000000</v>
          </cell>
          <cell r="H1433">
            <v>175000</v>
          </cell>
          <cell r="I1433">
            <v>0</v>
          </cell>
        </row>
        <row r="1434">
          <cell r="A1434" t="str">
            <v>2270|400040</v>
          </cell>
          <cell r="B1434" t="str">
            <v>2270</v>
          </cell>
          <cell r="C1434">
            <v>400040</v>
          </cell>
          <cell r="D1434">
            <v>41244</v>
          </cell>
          <cell r="E1434">
            <v>0</v>
          </cell>
          <cell r="F1434">
            <v>0</v>
          </cell>
          <cell r="G1434">
            <v>1754492</v>
          </cell>
          <cell r="H1434">
            <v>0</v>
          </cell>
          <cell r="I1434">
            <v>0</v>
          </cell>
        </row>
        <row r="1435">
          <cell r="A1435" t="str">
            <v>2270|420002</v>
          </cell>
          <cell r="B1435" t="str">
            <v>2270</v>
          </cell>
          <cell r="C1435">
            <v>420002</v>
          </cell>
          <cell r="D1435">
            <v>41244</v>
          </cell>
          <cell r="E1435">
            <v>213911542</v>
          </cell>
          <cell r="F1435">
            <v>213911542</v>
          </cell>
          <cell r="G1435">
            <v>155730000</v>
          </cell>
          <cell r="H1435">
            <v>17825962</v>
          </cell>
          <cell r="I1435">
            <v>13093000</v>
          </cell>
        </row>
        <row r="1436">
          <cell r="A1436" t="str">
            <v>2270|420003</v>
          </cell>
          <cell r="B1436" t="str">
            <v>2270</v>
          </cell>
          <cell r="C1436">
            <v>420003</v>
          </cell>
          <cell r="D1436">
            <v>41244</v>
          </cell>
          <cell r="E1436">
            <v>360752357</v>
          </cell>
          <cell r="F1436">
            <v>360752357</v>
          </cell>
          <cell r="G1436">
            <v>355421921</v>
          </cell>
          <cell r="H1436">
            <v>30062696</v>
          </cell>
          <cell r="I1436">
            <v>29805959</v>
          </cell>
        </row>
        <row r="1437">
          <cell r="A1437" t="str">
            <v>2270|422002</v>
          </cell>
          <cell r="B1437" t="str">
            <v>2270</v>
          </cell>
          <cell r="C1437">
            <v>422002</v>
          </cell>
          <cell r="D1437">
            <v>41244</v>
          </cell>
          <cell r="E1437">
            <v>38890</v>
          </cell>
          <cell r="F1437">
            <v>38890</v>
          </cell>
          <cell r="G1437">
            <v>102900</v>
          </cell>
          <cell r="H1437">
            <v>3241</v>
          </cell>
          <cell r="I1437">
            <v>0</v>
          </cell>
        </row>
        <row r="1438">
          <cell r="A1438" t="str">
            <v>2270|422003</v>
          </cell>
          <cell r="B1438" t="str">
            <v>2270</v>
          </cell>
          <cell r="C1438">
            <v>422003</v>
          </cell>
          <cell r="D1438">
            <v>41244</v>
          </cell>
          <cell r="E1438">
            <v>0</v>
          </cell>
          <cell r="F1438">
            <v>0</v>
          </cell>
          <cell r="G1438">
            <v>446250</v>
          </cell>
          <cell r="H1438">
            <v>0</v>
          </cell>
          <cell r="I1438">
            <v>0</v>
          </cell>
        </row>
        <row r="1439">
          <cell r="A1439" t="str">
            <v>2270|431000</v>
          </cell>
          <cell r="B1439" t="str">
            <v>2270</v>
          </cell>
          <cell r="C1439">
            <v>431000</v>
          </cell>
          <cell r="D1439">
            <v>41244</v>
          </cell>
          <cell r="E1439">
            <v>9000000</v>
          </cell>
          <cell r="F1439">
            <v>9000000</v>
          </cell>
          <cell r="G1439">
            <v>8663941</v>
          </cell>
          <cell r="H1439">
            <v>750000</v>
          </cell>
          <cell r="I1439">
            <v>0</v>
          </cell>
        </row>
        <row r="1440">
          <cell r="A1440" t="str">
            <v>2270|431002</v>
          </cell>
          <cell r="B1440" t="str">
            <v>2270</v>
          </cell>
          <cell r="C1440">
            <v>431002</v>
          </cell>
          <cell r="D1440">
            <v>41244</v>
          </cell>
          <cell r="E1440">
            <v>23883200</v>
          </cell>
          <cell r="F1440">
            <v>23883200</v>
          </cell>
          <cell r="G1440">
            <v>58002956</v>
          </cell>
          <cell r="H1440">
            <v>1990267</v>
          </cell>
          <cell r="I1440">
            <v>0</v>
          </cell>
        </row>
        <row r="1441">
          <cell r="A1441" t="str">
            <v>2270|434012</v>
          </cell>
          <cell r="B1441" t="str">
            <v>2270</v>
          </cell>
          <cell r="C1441">
            <v>434012</v>
          </cell>
          <cell r="D1441">
            <v>41244</v>
          </cell>
          <cell r="E1441">
            <v>0</v>
          </cell>
          <cell r="F1441">
            <v>0</v>
          </cell>
          <cell r="G1441">
            <v>8398627</v>
          </cell>
          <cell r="H1441">
            <v>0</v>
          </cell>
          <cell r="I1441">
            <v>2946436</v>
          </cell>
        </row>
        <row r="1442">
          <cell r="A1442" t="str">
            <v>2270|434013</v>
          </cell>
          <cell r="B1442" t="str">
            <v>2270</v>
          </cell>
          <cell r="C1442">
            <v>434013</v>
          </cell>
          <cell r="D1442">
            <v>41244</v>
          </cell>
          <cell r="E1442">
            <v>21762000</v>
          </cell>
          <cell r="F1442">
            <v>21762000</v>
          </cell>
          <cell r="G1442">
            <v>21850303</v>
          </cell>
          <cell r="H1442">
            <v>1813500</v>
          </cell>
          <cell r="I1442">
            <v>2733193</v>
          </cell>
        </row>
        <row r="1443">
          <cell r="A1443" t="str">
            <v>2270|435002</v>
          </cell>
          <cell r="B1443" t="str">
            <v>2270</v>
          </cell>
          <cell r="C1443">
            <v>435002</v>
          </cell>
          <cell r="D1443">
            <v>41244</v>
          </cell>
          <cell r="E1443">
            <v>17825962</v>
          </cell>
          <cell r="F1443">
            <v>17825962</v>
          </cell>
          <cell r="G1443">
            <v>13093000</v>
          </cell>
          <cell r="H1443">
            <v>1485497</v>
          </cell>
          <cell r="I1443">
            <v>13093000</v>
          </cell>
        </row>
        <row r="1444">
          <cell r="A1444" t="str">
            <v>2270|435003</v>
          </cell>
          <cell r="B1444" t="str">
            <v>2270</v>
          </cell>
          <cell r="C1444">
            <v>435003</v>
          </cell>
          <cell r="D1444">
            <v>41244</v>
          </cell>
          <cell r="E1444">
            <v>45094045</v>
          </cell>
          <cell r="F1444">
            <v>45094045</v>
          </cell>
          <cell r="G1444">
            <v>42517248</v>
          </cell>
          <cell r="H1444">
            <v>3757837</v>
          </cell>
          <cell r="I1444">
            <v>0</v>
          </cell>
        </row>
        <row r="1445">
          <cell r="A1445" t="str">
            <v>2270|439003</v>
          </cell>
          <cell r="B1445" t="str">
            <v>2270</v>
          </cell>
          <cell r="C1445">
            <v>439003</v>
          </cell>
          <cell r="D1445">
            <v>41244</v>
          </cell>
          <cell r="E1445">
            <v>88111268</v>
          </cell>
          <cell r="F1445">
            <v>88111268</v>
          </cell>
          <cell r="G1445">
            <v>134456622</v>
          </cell>
          <cell r="H1445">
            <v>7342606</v>
          </cell>
          <cell r="I1445">
            <v>16593200</v>
          </cell>
        </row>
        <row r="1446">
          <cell r="A1446" t="str">
            <v>2270|439008</v>
          </cell>
          <cell r="B1446" t="str">
            <v>2270</v>
          </cell>
          <cell r="C1446">
            <v>439008</v>
          </cell>
          <cell r="D1446">
            <v>41244</v>
          </cell>
          <cell r="E1446">
            <v>49106715</v>
          </cell>
          <cell r="F1446">
            <v>49106715</v>
          </cell>
          <cell r="G1446">
            <v>67039862</v>
          </cell>
          <cell r="H1446">
            <v>4092226</v>
          </cell>
          <cell r="I1446">
            <v>0</v>
          </cell>
        </row>
        <row r="1447">
          <cell r="A1447" t="str">
            <v>2270|439103</v>
          </cell>
          <cell r="B1447" t="str">
            <v>2270</v>
          </cell>
          <cell r="C1447">
            <v>439103</v>
          </cell>
          <cell r="D1447">
            <v>41244</v>
          </cell>
          <cell r="E1447">
            <v>0</v>
          </cell>
          <cell r="F1447">
            <v>0</v>
          </cell>
          <cell r="G1447">
            <v>500000</v>
          </cell>
          <cell r="H1447">
            <v>0</v>
          </cell>
          <cell r="I1447">
            <v>0</v>
          </cell>
        </row>
        <row r="1448">
          <cell r="A1448" t="str">
            <v>2270|439202</v>
          </cell>
          <cell r="B1448" t="str">
            <v>2270</v>
          </cell>
          <cell r="C1448">
            <v>439202</v>
          </cell>
          <cell r="D1448">
            <v>41244</v>
          </cell>
          <cell r="E1448">
            <v>0</v>
          </cell>
          <cell r="F1448">
            <v>0</v>
          </cell>
          <cell r="G1448">
            <v>636000</v>
          </cell>
          <cell r="H1448">
            <v>0</v>
          </cell>
          <cell r="I1448">
            <v>0</v>
          </cell>
        </row>
        <row r="1449">
          <cell r="A1449" t="str">
            <v>2270|439203</v>
          </cell>
          <cell r="B1449" t="str">
            <v>2270</v>
          </cell>
          <cell r="C1449">
            <v>439203</v>
          </cell>
          <cell r="D1449">
            <v>41244</v>
          </cell>
          <cell r="E1449">
            <v>0</v>
          </cell>
          <cell r="F1449">
            <v>0</v>
          </cell>
          <cell r="G1449">
            <v>446000</v>
          </cell>
          <cell r="H1449">
            <v>0</v>
          </cell>
          <cell r="I1449">
            <v>50000</v>
          </cell>
        </row>
        <row r="1450">
          <cell r="A1450" t="str">
            <v>2270|440002</v>
          </cell>
          <cell r="B1450" t="str">
            <v>2270</v>
          </cell>
          <cell r="C1450">
            <v>440002</v>
          </cell>
          <cell r="D1450">
            <v>41244</v>
          </cell>
          <cell r="E1450">
            <v>17825962</v>
          </cell>
          <cell r="F1450">
            <v>17825962</v>
          </cell>
          <cell r="G1450">
            <v>14003120</v>
          </cell>
          <cell r="H1450">
            <v>1485497</v>
          </cell>
          <cell r="I1450">
            <v>1675454</v>
          </cell>
        </row>
        <row r="1451">
          <cell r="A1451" t="str">
            <v>2270|440003</v>
          </cell>
          <cell r="B1451" t="str">
            <v>2270</v>
          </cell>
          <cell r="C1451">
            <v>440003</v>
          </cell>
          <cell r="D1451">
            <v>41244</v>
          </cell>
          <cell r="E1451">
            <v>35464799</v>
          </cell>
          <cell r="F1451">
            <v>35464799</v>
          </cell>
          <cell r="G1451">
            <v>30567740</v>
          </cell>
          <cell r="H1451">
            <v>2955400</v>
          </cell>
          <cell r="I1451">
            <v>2753775</v>
          </cell>
        </row>
        <row r="1452">
          <cell r="A1452" t="str">
            <v>2270|446002</v>
          </cell>
          <cell r="B1452" t="str">
            <v>2270</v>
          </cell>
          <cell r="C1452">
            <v>446002</v>
          </cell>
          <cell r="D1452">
            <v>41244</v>
          </cell>
          <cell r="E1452">
            <v>8912981</v>
          </cell>
          <cell r="F1452">
            <v>8912981</v>
          </cell>
          <cell r="G1452">
            <v>5432357</v>
          </cell>
          <cell r="H1452">
            <v>742748</v>
          </cell>
          <cell r="I1452">
            <v>450000</v>
          </cell>
        </row>
        <row r="1453">
          <cell r="A1453" t="str">
            <v>2270|447002</v>
          </cell>
          <cell r="B1453" t="str">
            <v>2270</v>
          </cell>
          <cell r="C1453">
            <v>447002</v>
          </cell>
          <cell r="D1453">
            <v>41244</v>
          </cell>
          <cell r="E1453">
            <v>6217955</v>
          </cell>
          <cell r="F1453">
            <v>6217955</v>
          </cell>
          <cell r="G1453">
            <v>2444175</v>
          </cell>
          <cell r="H1453">
            <v>518163</v>
          </cell>
          <cell r="I1453">
            <v>205561</v>
          </cell>
        </row>
        <row r="1454">
          <cell r="A1454" t="str">
            <v>2270|447003</v>
          </cell>
          <cell r="B1454" t="str">
            <v>2270</v>
          </cell>
          <cell r="C1454">
            <v>447003</v>
          </cell>
          <cell r="D1454">
            <v>41244</v>
          </cell>
          <cell r="E1454">
            <v>2864602</v>
          </cell>
          <cell r="F1454">
            <v>2864602</v>
          </cell>
          <cell r="G1454">
            <v>3968442</v>
          </cell>
          <cell r="H1454">
            <v>238717</v>
          </cell>
          <cell r="I1454">
            <v>333639</v>
          </cell>
        </row>
        <row r="1455">
          <cell r="A1455" t="str">
            <v>2270|447012</v>
          </cell>
          <cell r="B1455" t="str">
            <v>2270</v>
          </cell>
          <cell r="C1455">
            <v>447012</v>
          </cell>
          <cell r="D1455">
            <v>41244</v>
          </cell>
          <cell r="E1455">
            <v>14653779</v>
          </cell>
          <cell r="F1455">
            <v>14653779</v>
          </cell>
          <cell r="G1455">
            <v>5760135</v>
          </cell>
          <cell r="H1455">
            <v>1221148</v>
          </cell>
          <cell r="I1455">
            <v>484442</v>
          </cell>
        </row>
        <row r="1456">
          <cell r="A1456" t="str">
            <v>2270|447013</v>
          </cell>
          <cell r="B1456" t="str">
            <v>2270</v>
          </cell>
          <cell r="C1456">
            <v>447013</v>
          </cell>
          <cell r="D1456">
            <v>41244</v>
          </cell>
          <cell r="E1456">
            <v>6750974</v>
          </cell>
          <cell r="F1456">
            <v>6750974</v>
          </cell>
          <cell r="G1456">
            <v>13092348</v>
          </cell>
          <cell r="H1456">
            <v>562581</v>
          </cell>
          <cell r="I1456">
            <v>1100714</v>
          </cell>
        </row>
        <row r="1457">
          <cell r="A1457" t="str">
            <v>2270|447022</v>
          </cell>
          <cell r="B1457" t="str">
            <v>2270</v>
          </cell>
          <cell r="C1457">
            <v>447022</v>
          </cell>
          <cell r="D1457">
            <v>41244</v>
          </cell>
          <cell r="E1457">
            <v>621795</v>
          </cell>
          <cell r="F1457">
            <v>621795</v>
          </cell>
          <cell r="G1457">
            <v>282522</v>
          </cell>
          <cell r="H1457">
            <v>51816</v>
          </cell>
          <cell r="I1457">
            <v>17050</v>
          </cell>
        </row>
        <row r="1458">
          <cell r="A1458" t="str">
            <v>2270|447023</v>
          </cell>
          <cell r="B1458" t="str">
            <v>2270</v>
          </cell>
          <cell r="C1458">
            <v>447023</v>
          </cell>
          <cell r="D1458">
            <v>41244</v>
          </cell>
          <cell r="E1458">
            <v>286460</v>
          </cell>
          <cell r="F1458">
            <v>286460</v>
          </cell>
          <cell r="G1458">
            <v>700238</v>
          </cell>
          <cell r="H1458">
            <v>23872</v>
          </cell>
          <cell r="I1458">
            <v>59100</v>
          </cell>
        </row>
        <row r="1459">
          <cell r="A1459" t="str">
            <v>2270|448002</v>
          </cell>
          <cell r="B1459" t="str">
            <v>2270</v>
          </cell>
          <cell r="C1459">
            <v>448002</v>
          </cell>
          <cell r="D1459">
            <v>41244</v>
          </cell>
          <cell r="E1459">
            <v>36943250</v>
          </cell>
          <cell r="F1459">
            <v>36943250</v>
          </cell>
          <cell r="G1459">
            <v>12064232</v>
          </cell>
          <cell r="H1459">
            <v>3078604</v>
          </cell>
          <cell r="I1459">
            <v>1406200</v>
          </cell>
        </row>
        <row r="1460">
          <cell r="A1460" t="str">
            <v>2270|448003</v>
          </cell>
          <cell r="B1460" t="str">
            <v>2270</v>
          </cell>
          <cell r="C1460">
            <v>448003</v>
          </cell>
          <cell r="D1460">
            <v>41244</v>
          </cell>
          <cell r="E1460">
            <v>34992284</v>
          </cell>
          <cell r="F1460">
            <v>34992284</v>
          </cell>
          <cell r="G1460">
            <v>11688900</v>
          </cell>
          <cell r="H1460">
            <v>2916024</v>
          </cell>
          <cell r="I1460">
            <v>476500</v>
          </cell>
        </row>
        <row r="1461">
          <cell r="A1461" t="str">
            <v>2270|449022</v>
          </cell>
          <cell r="B1461" t="str">
            <v>2270</v>
          </cell>
          <cell r="C1461">
            <v>449022</v>
          </cell>
          <cell r="D1461">
            <v>41244</v>
          </cell>
          <cell r="E1461">
            <v>11880000</v>
          </cell>
          <cell r="F1461">
            <v>11880000</v>
          </cell>
          <cell r="G1461">
            <v>11408000</v>
          </cell>
          <cell r="H1461">
            <v>990000</v>
          </cell>
          <cell r="I1461">
            <v>1071000</v>
          </cell>
        </row>
        <row r="1462">
          <cell r="A1462" t="str">
            <v>2270|449023</v>
          </cell>
          <cell r="B1462" t="str">
            <v>2270</v>
          </cell>
          <cell r="C1462">
            <v>449023</v>
          </cell>
          <cell r="D1462">
            <v>41244</v>
          </cell>
          <cell r="E1462">
            <v>37410000</v>
          </cell>
          <cell r="F1462">
            <v>37410000</v>
          </cell>
          <cell r="G1462">
            <v>35510287</v>
          </cell>
          <cell r="H1462">
            <v>3117500</v>
          </cell>
          <cell r="I1462">
            <v>3003450</v>
          </cell>
        </row>
        <row r="1463">
          <cell r="A1463" t="str">
            <v>2270|449032</v>
          </cell>
          <cell r="B1463" t="str">
            <v>2270</v>
          </cell>
          <cell r="C1463">
            <v>449032</v>
          </cell>
          <cell r="D1463">
            <v>41244</v>
          </cell>
          <cell r="E1463">
            <v>4782000</v>
          </cell>
          <cell r="F1463">
            <v>4782000</v>
          </cell>
          <cell r="G1463">
            <v>4294000</v>
          </cell>
          <cell r="H1463">
            <v>398500</v>
          </cell>
          <cell r="I1463">
            <v>0</v>
          </cell>
        </row>
        <row r="1464">
          <cell r="A1464" t="str">
            <v>2270|449050</v>
          </cell>
          <cell r="B1464" t="str">
            <v>2270</v>
          </cell>
          <cell r="C1464">
            <v>449050</v>
          </cell>
          <cell r="D1464">
            <v>41244</v>
          </cell>
          <cell r="E1464">
            <v>19889300</v>
          </cell>
          <cell r="F1464">
            <v>19889300</v>
          </cell>
          <cell r="G1464">
            <v>29600004</v>
          </cell>
          <cell r="H1464">
            <v>1657442</v>
          </cell>
          <cell r="I1464">
            <v>2466667</v>
          </cell>
        </row>
        <row r="1465">
          <cell r="A1465" t="str">
            <v>2270|449061</v>
          </cell>
          <cell r="B1465" t="str">
            <v>2270</v>
          </cell>
          <cell r="C1465">
            <v>449061</v>
          </cell>
          <cell r="D1465">
            <v>41244</v>
          </cell>
          <cell r="E1465">
            <v>22578500</v>
          </cell>
          <cell r="F1465">
            <v>22578500</v>
          </cell>
          <cell r="G1465">
            <v>34024250</v>
          </cell>
          <cell r="H1465">
            <v>1881541</v>
          </cell>
          <cell r="I1465">
            <v>2921350</v>
          </cell>
        </row>
        <row r="1466">
          <cell r="A1466" t="str">
            <v>2270|451000</v>
          </cell>
          <cell r="B1466" t="str">
            <v>2270</v>
          </cell>
          <cell r="C1466">
            <v>451000</v>
          </cell>
          <cell r="D1466">
            <v>41244</v>
          </cell>
          <cell r="E1466">
            <v>27800000</v>
          </cell>
          <cell r="F1466">
            <v>27800000</v>
          </cell>
          <cell r="G1466">
            <v>26635250</v>
          </cell>
          <cell r="H1466">
            <v>2316669</v>
          </cell>
          <cell r="I1466">
            <v>0</v>
          </cell>
        </row>
        <row r="1467">
          <cell r="A1467" t="str">
            <v>2270|455000</v>
          </cell>
          <cell r="B1467" t="str">
            <v>2270</v>
          </cell>
          <cell r="C1467">
            <v>455000</v>
          </cell>
          <cell r="D1467">
            <v>41244</v>
          </cell>
          <cell r="E1467">
            <v>2000000</v>
          </cell>
          <cell r="F1467">
            <v>2000000</v>
          </cell>
          <cell r="G1467">
            <v>2640360</v>
          </cell>
          <cell r="H1467">
            <v>166667</v>
          </cell>
          <cell r="I1467">
            <v>0</v>
          </cell>
        </row>
        <row r="1468">
          <cell r="A1468" t="str">
            <v>2270|459000</v>
          </cell>
          <cell r="B1468" t="str">
            <v>2270</v>
          </cell>
          <cell r="C1468">
            <v>459000</v>
          </cell>
          <cell r="D1468">
            <v>41244</v>
          </cell>
          <cell r="E1468">
            <v>36108100</v>
          </cell>
          <cell r="F1468">
            <v>36108100</v>
          </cell>
          <cell r="G1468">
            <v>32795000</v>
          </cell>
          <cell r="H1468">
            <v>3009009</v>
          </cell>
          <cell r="I1468">
            <v>0</v>
          </cell>
        </row>
        <row r="1469">
          <cell r="A1469" t="str">
            <v>2270|471000</v>
          </cell>
          <cell r="B1469" t="str">
            <v>2270</v>
          </cell>
          <cell r="C1469">
            <v>471000</v>
          </cell>
          <cell r="D1469">
            <v>41244</v>
          </cell>
          <cell r="E1469">
            <v>31923605</v>
          </cell>
          <cell r="F1469">
            <v>31923605</v>
          </cell>
          <cell r="G1469">
            <v>52039433</v>
          </cell>
          <cell r="H1469">
            <v>2660300</v>
          </cell>
          <cell r="I1469">
            <v>12489309</v>
          </cell>
        </row>
        <row r="1470">
          <cell r="A1470" t="str">
            <v>2270|473000</v>
          </cell>
          <cell r="B1470" t="str">
            <v>2270</v>
          </cell>
          <cell r="C1470">
            <v>473000</v>
          </cell>
          <cell r="D1470">
            <v>41244</v>
          </cell>
          <cell r="E1470">
            <v>210000</v>
          </cell>
          <cell r="F1470">
            <v>210000</v>
          </cell>
          <cell r="G1470">
            <v>390000</v>
          </cell>
          <cell r="H1470">
            <v>17500</v>
          </cell>
          <cell r="I1470">
            <v>0</v>
          </cell>
        </row>
        <row r="1471">
          <cell r="A1471" t="str">
            <v>2270|473120</v>
          </cell>
          <cell r="B1471" t="str">
            <v>2270</v>
          </cell>
          <cell r="C1471">
            <v>473120</v>
          </cell>
          <cell r="D1471">
            <v>41244</v>
          </cell>
          <cell r="E1471">
            <v>13823129</v>
          </cell>
          <cell r="F1471">
            <v>13823129</v>
          </cell>
          <cell r="G1471">
            <v>27446535</v>
          </cell>
          <cell r="H1471">
            <v>1151927</v>
          </cell>
          <cell r="I1471">
            <v>3064313</v>
          </cell>
        </row>
        <row r="1472">
          <cell r="A1472" t="str">
            <v>2270|474100</v>
          </cell>
          <cell r="B1472" t="str">
            <v>2270</v>
          </cell>
          <cell r="C1472">
            <v>474100</v>
          </cell>
          <cell r="D1472">
            <v>41244</v>
          </cell>
          <cell r="E1472">
            <v>0</v>
          </cell>
          <cell r="F1472">
            <v>0</v>
          </cell>
          <cell r="G1472">
            <v>4372551</v>
          </cell>
          <cell r="H1472">
            <v>0</v>
          </cell>
          <cell r="I1472">
            <v>0</v>
          </cell>
        </row>
        <row r="1473">
          <cell r="A1473" t="str">
            <v>2270|475001</v>
          </cell>
          <cell r="B1473" t="str">
            <v>2270</v>
          </cell>
          <cell r="C1473">
            <v>475001</v>
          </cell>
          <cell r="D1473">
            <v>41244</v>
          </cell>
          <cell r="E1473">
            <v>2200000</v>
          </cell>
          <cell r="F1473">
            <v>2200000</v>
          </cell>
          <cell r="G1473">
            <v>2050500</v>
          </cell>
          <cell r="H1473">
            <v>183333</v>
          </cell>
          <cell r="I1473">
            <v>0</v>
          </cell>
        </row>
        <row r="1474">
          <cell r="A1474" t="str">
            <v>2270|475002</v>
          </cell>
          <cell r="B1474" t="str">
            <v>2270</v>
          </cell>
          <cell r="C1474">
            <v>475002</v>
          </cell>
          <cell r="D1474">
            <v>41244</v>
          </cell>
          <cell r="E1474">
            <v>223396</v>
          </cell>
          <cell r="F1474">
            <v>223396</v>
          </cell>
          <cell r="G1474">
            <v>0</v>
          </cell>
          <cell r="H1474">
            <v>18616</v>
          </cell>
          <cell r="I1474">
            <v>0</v>
          </cell>
        </row>
        <row r="1475">
          <cell r="A1475" t="str">
            <v>2270|475006</v>
          </cell>
          <cell r="B1475" t="str">
            <v>2270</v>
          </cell>
          <cell r="C1475">
            <v>475006</v>
          </cell>
          <cell r="D1475">
            <v>41244</v>
          </cell>
          <cell r="E1475">
            <v>1830000</v>
          </cell>
          <cell r="F1475">
            <v>1830000</v>
          </cell>
          <cell r="G1475">
            <v>2523756</v>
          </cell>
          <cell r="H1475">
            <v>152500</v>
          </cell>
          <cell r="I1475">
            <v>210313</v>
          </cell>
        </row>
        <row r="1476">
          <cell r="A1476" t="str">
            <v>2270|476000</v>
          </cell>
          <cell r="B1476" t="str">
            <v>2270</v>
          </cell>
          <cell r="C1476">
            <v>476000</v>
          </cell>
          <cell r="D1476">
            <v>41244</v>
          </cell>
          <cell r="E1476">
            <v>33314563</v>
          </cell>
          <cell r="F1476">
            <v>33314563</v>
          </cell>
          <cell r="G1476">
            <v>21650690</v>
          </cell>
          <cell r="H1476">
            <v>2776214</v>
          </cell>
          <cell r="I1476">
            <v>0</v>
          </cell>
        </row>
        <row r="1477">
          <cell r="A1477" t="str">
            <v>2270|476001</v>
          </cell>
          <cell r="B1477" t="str">
            <v>2270</v>
          </cell>
          <cell r="C1477">
            <v>476001</v>
          </cell>
          <cell r="D1477">
            <v>41244</v>
          </cell>
          <cell r="E1477">
            <v>2519700</v>
          </cell>
          <cell r="F1477">
            <v>2519700</v>
          </cell>
          <cell r="G1477">
            <v>-926497</v>
          </cell>
          <cell r="H1477">
            <v>209975</v>
          </cell>
          <cell r="I1477">
            <v>0</v>
          </cell>
        </row>
        <row r="1478">
          <cell r="A1478" t="str">
            <v>2270|476220</v>
          </cell>
          <cell r="B1478" t="str">
            <v>2270</v>
          </cell>
          <cell r="C1478">
            <v>476220</v>
          </cell>
          <cell r="D1478">
            <v>41244</v>
          </cell>
          <cell r="E1478">
            <v>13704888</v>
          </cell>
          <cell r="F1478">
            <v>13704888</v>
          </cell>
          <cell r="G1478">
            <v>65672206</v>
          </cell>
          <cell r="H1478">
            <v>1142074</v>
          </cell>
          <cell r="I1478">
            <v>21971184</v>
          </cell>
        </row>
        <row r="1479">
          <cell r="A1479" t="str">
            <v>2300|211100</v>
          </cell>
          <cell r="B1479" t="str">
            <v>2300</v>
          </cell>
          <cell r="C1479">
            <v>211100</v>
          </cell>
          <cell r="D1479">
            <v>41244</v>
          </cell>
          <cell r="E1479">
            <v>24285646</v>
          </cell>
          <cell r="F1479">
            <v>24285646</v>
          </cell>
          <cell r="G1479">
            <v>28623991</v>
          </cell>
          <cell r="H1479">
            <v>2023804</v>
          </cell>
          <cell r="I1479">
            <v>2846240</v>
          </cell>
        </row>
        <row r="1480">
          <cell r="A1480" t="str">
            <v>2300|246000</v>
          </cell>
          <cell r="B1480" t="str">
            <v>2300</v>
          </cell>
          <cell r="C1480">
            <v>246000</v>
          </cell>
          <cell r="D1480">
            <v>41244</v>
          </cell>
          <cell r="E1480">
            <v>900000</v>
          </cell>
          <cell r="F1480">
            <v>900000</v>
          </cell>
          <cell r="G1480">
            <v>350100</v>
          </cell>
          <cell r="H1480">
            <v>75000</v>
          </cell>
          <cell r="I1480">
            <v>0</v>
          </cell>
        </row>
        <row r="1481">
          <cell r="A1481" t="str">
            <v>2300|420002</v>
          </cell>
          <cell r="B1481" t="str">
            <v>2300</v>
          </cell>
          <cell r="C1481">
            <v>420002</v>
          </cell>
          <cell r="D1481">
            <v>41244</v>
          </cell>
          <cell r="E1481">
            <v>142607695</v>
          </cell>
          <cell r="F1481">
            <v>142607695</v>
          </cell>
          <cell r="G1481">
            <v>150843000</v>
          </cell>
          <cell r="H1481">
            <v>11883975</v>
          </cell>
          <cell r="I1481">
            <v>12682000</v>
          </cell>
        </row>
        <row r="1482">
          <cell r="A1482" t="str">
            <v>2300|420003</v>
          </cell>
          <cell r="B1482" t="str">
            <v>2300</v>
          </cell>
          <cell r="C1482">
            <v>420003</v>
          </cell>
          <cell r="D1482">
            <v>41244</v>
          </cell>
          <cell r="E1482">
            <v>231101892</v>
          </cell>
          <cell r="F1482">
            <v>231101892</v>
          </cell>
          <cell r="G1482">
            <v>227687156</v>
          </cell>
          <cell r="H1482">
            <v>19258491</v>
          </cell>
          <cell r="I1482">
            <v>19094022</v>
          </cell>
        </row>
        <row r="1483">
          <cell r="A1483" t="str">
            <v>2300|422002</v>
          </cell>
          <cell r="B1483" t="str">
            <v>2300</v>
          </cell>
          <cell r="C1483">
            <v>422002</v>
          </cell>
          <cell r="D1483">
            <v>41244</v>
          </cell>
          <cell r="E1483">
            <v>124390</v>
          </cell>
          <cell r="F1483">
            <v>124390</v>
          </cell>
          <cell r="G1483">
            <v>0</v>
          </cell>
          <cell r="H1483">
            <v>10366</v>
          </cell>
          <cell r="I1483">
            <v>0</v>
          </cell>
        </row>
        <row r="1484">
          <cell r="A1484" t="str">
            <v>2300|422003</v>
          </cell>
          <cell r="B1484" t="str">
            <v>2300</v>
          </cell>
          <cell r="C1484">
            <v>422003</v>
          </cell>
          <cell r="D1484">
            <v>41244</v>
          </cell>
          <cell r="E1484">
            <v>429773</v>
          </cell>
          <cell r="F1484">
            <v>429773</v>
          </cell>
          <cell r="G1484">
            <v>0</v>
          </cell>
          <cell r="H1484">
            <v>35814</v>
          </cell>
          <cell r="I1484">
            <v>0</v>
          </cell>
        </row>
        <row r="1485">
          <cell r="A1485" t="str">
            <v>2300|431002</v>
          </cell>
          <cell r="B1485" t="str">
            <v>2300</v>
          </cell>
          <cell r="C1485">
            <v>431002</v>
          </cell>
          <cell r="D1485">
            <v>41244</v>
          </cell>
          <cell r="E1485">
            <v>603338</v>
          </cell>
          <cell r="F1485">
            <v>603338</v>
          </cell>
          <cell r="G1485">
            <v>1492220</v>
          </cell>
          <cell r="H1485">
            <v>50278</v>
          </cell>
          <cell r="I1485">
            <v>0</v>
          </cell>
        </row>
        <row r="1486">
          <cell r="A1486" t="str">
            <v>2300|434012</v>
          </cell>
          <cell r="B1486" t="str">
            <v>2300</v>
          </cell>
          <cell r="C1486">
            <v>434012</v>
          </cell>
          <cell r="D1486">
            <v>41244</v>
          </cell>
          <cell r="E1486">
            <v>0</v>
          </cell>
          <cell r="F1486">
            <v>0</v>
          </cell>
          <cell r="G1486">
            <v>5599085</v>
          </cell>
          <cell r="H1486">
            <v>0</v>
          </cell>
          <cell r="I1486">
            <v>1964291</v>
          </cell>
        </row>
        <row r="1487">
          <cell r="A1487" t="str">
            <v>2300|434013</v>
          </cell>
          <cell r="B1487" t="str">
            <v>2300</v>
          </cell>
          <cell r="C1487">
            <v>434013</v>
          </cell>
          <cell r="D1487">
            <v>41244</v>
          </cell>
          <cell r="E1487">
            <v>23838000</v>
          </cell>
          <cell r="F1487">
            <v>23838000</v>
          </cell>
          <cell r="G1487">
            <v>18879948</v>
          </cell>
          <cell r="H1487">
            <v>1986500</v>
          </cell>
          <cell r="I1487">
            <v>1366596</v>
          </cell>
        </row>
        <row r="1488">
          <cell r="A1488" t="str">
            <v>2300|435002</v>
          </cell>
          <cell r="B1488" t="str">
            <v>2300</v>
          </cell>
          <cell r="C1488">
            <v>435002</v>
          </cell>
          <cell r="D1488">
            <v>41244</v>
          </cell>
          <cell r="E1488">
            <v>11883975</v>
          </cell>
          <cell r="F1488">
            <v>11883975</v>
          </cell>
          <cell r="G1488">
            <v>12682000</v>
          </cell>
          <cell r="H1488">
            <v>990331</v>
          </cell>
          <cell r="I1488">
            <v>12682000</v>
          </cell>
        </row>
        <row r="1489">
          <cell r="A1489" t="str">
            <v>2300|435003</v>
          </cell>
          <cell r="B1489" t="str">
            <v>2300</v>
          </cell>
          <cell r="C1489">
            <v>435003</v>
          </cell>
          <cell r="D1489">
            <v>41244</v>
          </cell>
          <cell r="E1489">
            <v>28887737</v>
          </cell>
          <cell r="F1489">
            <v>28887737</v>
          </cell>
          <cell r="G1489">
            <v>26233938</v>
          </cell>
          <cell r="H1489">
            <v>2407311</v>
          </cell>
          <cell r="I1489">
            <v>0</v>
          </cell>
        </row>
        <row r="1490">
          <cell r="A1490" t="str">
            <v>2300|439003</v>
          </cell>
          <cell r="B1490" t="str">
            <v>2300</v>
          </cell>
          <cell r="C1490">
            <v>439003</v>
          </cell>
          <cell r="D1490">
            <v>41244</v>
          </cell>
          <cell r="E1490">
            <v>44055634</v>
          </cell>
          <cell r="F1490">
            <v>44055634</v>
          </cell>
          <cell r="G1490">
            <v>67228313</v>
          </cell>
          <cell r="H1490">
            <v>3671303</v>
          </cell>
          <cell r="I1490">
            <v>8296600</v>
          </cell>
        </row>
        <row r="1491">
          <cell r="A1491" t="str">
            <v>2300|439008</v>
          </cell>
          <cell r="B1491" t="str">
            <v>2300</v>
          </cell>
          <cell r="C1491">
            <v>439008</v>
          </cell>
          <cell r="D1491">
            <v>41244</v>
          </cell>
          <cell r="E1491">
            <v>32737810</v>
          </cell>
          <cell r="F1491">
            <v>32737810</v>
          </cell>
          <cell r="G1491">
            <v>44693241</v>
          </cell>
          <cell r="H1491">
            <v>2728151</v>
          </cell>
          <cell r="I1491">
            <v>0</v>
          </cell>
        </row>
        <row r="1492">
          <cell r="A1492" t="str">
            <v>2300|439202</v>
          </cell>
          <cell r="B1492" t="str">
            <v>2300</v>
          </cell>
          <cell r="C1492">
            <v>439202</v>
          </cell>
          <cell r="D1492">
            <v>41244</v>
          </cell>
          <cell r="E1492">
            <v>0</v>
          </cell>
          <cell r="F1492">
            <v>0</v>
          </cell>
          <cell r="G1492">
            <v>418000</v>
          </cell>
          <cell r="H1492">
            <v>0</v>
          </cell>
          <cell r="I1492">
            <v>0</v>
          </cell>
        </row>
        <row r="1493">
          <cell r="A1493" t="str">
            <v>2300|439203</v>
          </cell>
          <cell r="B1493" t="str">
            <v>2300</v>
          </cell>
          <cell r="C1493">
            <v>439203</v>
          </cell>
          <cell r="D1493">
            <v>41244</v>
          </cell>
          <cell r="E1493">
            <v>0</v>
          </cell>
          <cell r="F1493">
            <v>0</v>
          </cell>
          <cell r="G1493">
            <v>209000</v>
          </cell>
          <cell r="H1493">
            <v>0</v>
          </cell>
          <cell r="I1493">
            <v>0</v>
          </cell>
        </row>
        <row r="1494">
          <cell r="A1494" t="str">
            <v>2300|440002</v>
          </cell>
          <cell r="B1494" t="str">
            <v>2300</v>
          </cell>
          <cell r="C1494">
            <v>440002</v>
          </cell>
          <cell r="D1494">
            <v>41244</v>
          </cell>
          <cell r="E1494">
            <v>11883975</v>
          </cell>
          <cell r="F1494">
            <v>11883975</v>
          </cell>
          <cell r="G1494">
            <v>13288748</v>
          </cell>
          <cell r="H1494">
            <v>990331</v>
          </cell>
          <cell r="I1494">
            <v>1116969</v>
          </cell>
        </row>
        <row r="1495">
          <cell r="A1495" t="str">
            <v>2300|440003</v>
          </cell>
          <cell r="B1495" t="str">
            <v>2300</v>
          </cell>
          <cell r="C1495">
            <v>440003</v>
          </cell>
          <cell r="D1495">
            <v>41244</v>
          </cell>
          <cell r="E1495">
            <v>19258491</v>
          </cell>
          <cell r="F1495">
            <v>19258491</v>
          </cell>
          <cell r="G1495">
            <v>17949493</v>
          </cell>
          <cell r="H1495">
            <v>1604874</v>
          </cell>
          <cell r="I1495">
            <v>1764098</v>
          </cell>
        </row>
        <row r="1496">
          <cell r="A1496" t="str">
            <v>2300|446002</v>
          </cell>
          <cell r="B1496" t="str">
            <v>2300</v>
          </cell>
          <cell r="C1496">
            <v>446002</v>
          </cell>
          <cell r="D1496">
            <v>41244</v>
          </cell>
          <cell r="E1496">
            <v>5941987</v>
          </cell>
          <cell r="F1496">
            <v>5941987</v>
          </cell>
          <cell r="G1496">
            <v>11931301</v>
          </cell>
          <cell r="H1496">
            <v>495166</v>
          </cell>
          <cell r="I1496">
            <v>0</v>
          </cell>
        </row>
        <row r="1497">
          <cell r="A1497" t="str">
            <v>2300|447002</v>
          </cell>
          <cell r="B1497" t="str">
            <v>2300</v>
          </cell>
          <cell r="C1497">
            <v>447002</v>
          </cell>
          <cell r="D1497">
            <v>41244</v>
          </cell>
          <cell r="E1497">
            <v>4145303</v>
          </cell>
          <cell r="F1497">
            <v>4145303</v>
          </cell>
          <cell r="G1497">
            <v>2368248</v>
          </cell>
          <cell r="H1497">
            <v>345442</v>
          </cell>
          <cell r="I1497">
            <v>199109</v>
          </cell>
        </row>
        <row r="1498">
          <cell r="A1498" t="str">
            <v>2300|447003</v>
          </cell>
          <cell r="B1498" t="str">
            <v>2300</v>
          </cell>
          <cell r="C1498">
            <v>447003</v>
          </cell>
          <cell r="D1498">
            <v>41244</v>
          </cell>
          <cell r="E1498">
            <v>2035512</v>
          </cell>
          <cell r="F1498">
            <v>2035512</v>
          </cell>
          <cell r="G1498">
            <v>3254004</v>
          </cell>
          <cell r="H1498">
            <v>169626</v>
          </cell>
          <cell r="I1498">
            <v>273573</v>
          </cell>
        </row>
        <row r="1499">
          <cell r="A1499" t="str">
            <v>2300|447012</v>
          </cell>
          <cell r="B1499" t="str">
            <v>2300</v>
          </cell>
          <cell r="C1499">
            <v>447012</v>
          </cell>
          <cell r="D1499">
            <v>41244</v>
          </cell>
          <cell r="E1499">
            <v>9769186</v>
          </cell>
          <cell r="F1499">
            <v>9769186</v>
          </cell>
          <cell r="G1499">
            <v>5581200</v>
          </cell>
          <cell r="H1499">
            <v>814099</v>
          </cell>
          <cell r="I1499">
            <v>469235</v>
          </cell>
        </row>
        <row r="1500">
          <cell r="A1500" t="str">
            <v>2300|447013</v>
          </cell>
          <cell r="B1500" t="str">
            <v>2300</v>
          </cell>
          <cell r="C1500">
            <v>447013</v>
          </cell>
          <cell r="D1500">
            <v>41244</v>
          </cell>
          <cell r="E1500">
            <v>4797067</v>
          </cell>
          <cell r="F1500">
            <v>4797067</v>
          </cell>
          <cell r="G1500">
            <v>7668660</v>
          </cell>
          <cell r="H1500">
            <v>399756</v>
          </cell>
          <cell r="I1500">
            <v>644725</v>
          </cell>
        </row>
        <row r="1501">
          <cell r="A1501" t="str">
            <v>2300|447022</v>
          </cell>
          <cell r="B1501" t="str">
            <v>2300</v>
          </cell>
          <cell r="C1501">
            <v>447022</v>
          </cell>
          <cell r="D1501">
            <v>41244</v>
          </cell>
          <cell r="E1501">
            <v>414530</v>
          </cell>
          <cell r="F1501">
            <v>414530</v>
          </cell>
          <cell r="G1501">
            <v>280678</v>
          </cell>
          <cell r="H1501">
            <v>34544</v>
          </cell>
          <cell r="I1501">
            <v>23550</v>
          </cell>
        </row>
        <row r="1502">
          <cell r="A1502" t="str">
            <v>2300|447023</v>
          </cell>
          <cell r="B1502" t="str">
            <v>2300</v>
          </cell>
          <cell r="C1502">
            <v>447023</v>
          </cell>
          <cell r="D1502">
            <v>41244</v>
          </cell>
          <cell r="E1502">
            <v>203551</v>
          </cell>
          <cell r="F1502">
            <v>203551</v>
          </cell>
          <cell r="G1502">
            <v>574201</v>
          </cell>
          <cell r="H1502">
            <v>16963</v>
          </cell>
          <cell r="I1502">
            <v>48300</v>
          </cell>
        </row>
        <row r="1503">
          <cell r="A1503" t="str">
            <v>2300|448002</v>
          </cell>
          <cell r="B1503" t="str">
            <v>2300</v>
          </cell>
          <cell r="C1503">
            <v>448002</v>
          </cell>
          <cell r="D1503">
            <v>41244</v>
          </cell>
          <cell r="E1503">
            <v>24628834</v>
          </cell>
          <cell r="F1503">
            <v>24628834</v>
          </cell>
          <cell r="G1503">
            <v>6731600</v>
          </cell>
          <cell r="H1503">
            <v>2052403</v>
          </cell>
          <cell r="I1503">
            <v>1618500</v>
          </cell>
        </row>
        <row r="1504">
          <cell r="A1504" t="str">
            <v>2300|448003</v>
          </cell>
          <cell r="B1504" t="str">
            <v>2300</v>
          </cell>
          <cell r="C1504">
            <v>448003</v>
          </cell>
          <cell r="D1504">
            <v>41244</v>
          </cell>
          <cell r="E1504">
            <v>19610005</v>
          </cell>
          <cell r="F1504">
            <v>19610005</v>
          </cell>
          <cell r="G1504">
            <v>258000</v>
          </cell>
          <cell r="H1504">
            <v>1634167</v>
          </cell>
          <cell r="I1504">
            <v>0</v>
          </cell>
        </row>
        <row r="1505">
          <cell r="A1505" t="str">
            <v>2300|449022</v>
          </cell>
          <cell r="B1505" t="str">
            <v>2300</v>
          </cell>
          <cell r="C1505">
            <v>449022</v>
          </cell>
          <cell r="D1505">
            <v>41244</v>
          </cell>
          <cell r="E1505">
            <v>7920000</v>
          </cell>
          <cell r="F1505">
            <v>7920000</v>
          </cell>
          <cell r="G1505">
            <v>7439000</v>
          </cell>
          <cell r="H1505">
            <v>660000</v>
          </cell>
          <cell r="I1505">
            <v>646000</v>
          </cell>
        </row>
        <row r="1506">
          <cell r="A1506" t="str">
            <v>2300|449023</v>
          </cell>
          <cell r="B1506" t="str">
            <v>2300</v>
          </cell>
          <cell r="C1506">
            <v>449023</v>
          </cell>
          <cell r="D1506">
            <v>41244</v>
          </cell>
          <cell r="E1506">
            <v>33450000</v>
          </cell>
          <cell r="F1506">
            <v>33450000</v>
          </cell>
          <cell r="G1506">
            <v>37999963</v>
          </cell>
          <cell r="H1506">
            <v>2787500</v>
          </cell>
          <cell r="I1506">
            <v>5882300</v>
          </cell>
        </row>
        <row r="1507">
          <cell r="A1507" t="str">
            <v>2300|449032</v>
          </cell>
          <cell r="B1507" t="str">
            <v>2300</v>
          </cell>
          <cell r="C1507">
            <v>449032</v>
          </cell>
          <cell r="D1507">
            <v>41244</v>
          </cell>
          <cell r="E1507">
            <v>24906800</v>
          </cell>
          <cell r="F1507">
            <v>24906800</v>
          </cell>
          <cell r="G1507">
            <v>21570900</v>
          </cell>
          <cell r="H1507">
            <v>2075567</v>
          </cell>
          <cell r="I1507">
            <v>0</v>
          </cell>
        </row>
        <row r="1508">
          <cell r="A1508" t="str">
            <v>2300|449050</v>
          </cell>
          <cell r="B1508" t="str">
            <v>2300</v>
          </cell>
          <cell r="C1508">
            <v>449050</v>
          </cell>
          <cell r="D1508">
            <v>41244</v>
          </cell>
          <cell r="E1508">
            <v>32313200</v>
          </cell>
          <cell r="F1508">
            <v>32313200</v>
          </cell>
          <cell r="G1508">
            <v>19174797</v>
          </cell>
          <cell r="H1508">
            <v>2692767</v>
          </cell>
          <cell r="I1508">
            <v>0</v>
          </cell>
        </row>
        <row r="1509">
          <cell r="A1509" t="str">
            <v>2300|449060</v>
          </cell>
          <cell r="B1509" t="str">
            <v>2300</v>
          </cell>
          <cell r="C1509">
            <v>449060</v>
          </cell>
          <cell r="D1509">
            <v>41244</v>
          </cell>
          <cell r="E1509">
            <v>166175</v>
          </cell>
          <cell r="F1509">
            <v>166175</v>
          </cell>
          <cell r="G1509">
            <v>0</v>
          </cell>
          <cell r="H1509">
            <v>13848</v>
          </cell>
          <cell r="I1509">
            <v>0</v>
          </cell>
        </row>
        <row r="1510">
          <cell r="A1510" t="str">
            <v>2300|449061</v>
          </cell>
          <cell r="B1510" t="str">
            <v>2300</v>
          </cell>
          <cell r="C1510">
            <v>449061</v>
          </cell>
          <cell r="D1510">
            <v>41244</v>
          </cell>
          <cell r="E1510">
            <v>12355600</v>
          </cell>
          <cell r="F1510">
            <v>12355600</v>
          </cell>
          <cell r="G1510">
            <v>13214300</v>
          </cell>
          <cell r="H1510">
            <v>1029633</v>
          </cell>
          <cell r="I1510">
            <v>1046000</v>
          </cell>
        </row>
        <row r="1511">
          <cell r="A1511" t="str">
            <v>2300|455000</v>
          </cell>
          <cell r="B1511" t="str">
            <v>2300</v>
          </cell>
          <cell r="C1511">
            <v>455000</v>
          </cell>
          <cell r="D1511">
            <v>41244</v>
          </cell>
          <cell r="E1511">
            <v>1314000</v>
          </cell>
          <cell r="F1511">
            <v>1314000</v>
          </cell>
          <cell r="G1511">
            <v>9244040</v>
          </cell>
          <cell r="H1511">
            <v>109500</v>
          </cell>
          <cell r="I1511">
            <v>0</v>
          </cell>
        </row>
        <row r="1512">
          <cell r="A1512" t="str">
            <v>2300|459000</v>
          </cell>
          <cell r="B1512" t="str">
            <v>2300</v>
          </cell>
          <cell r="C1512">
            <v>459000</v>
          </cell>
          <cell r="D1512">
            <v>41244</v>
          </cell>
          <cell r="E1512">
            <v>2975000</v>
          </cell>
          <cell r="F1512">
            <v>2975000</v>
          </cell>
          <cell r="G1512">
            <v>0</v>
          </cell>
          <cell r="H1512">
            <v>247917</v>
          </cell>
          <cell r="I1512">
            <v>0</v>
          </cell>
        </row>
        <row r="1513">
          <cell r="A1513" t="str">
            <v>2300|459006</v>
          </cell>
          <cell r="B1513" t="str">
            <v>2300</v>
          </cell>
          <cell r="C1513">
            <v>459006</v>
          </cell>
          <cell r="D1513">
            <v>41244</v>
          </cell>
          <cell r="E1513">
            <v>1</v>
          </cell>
          <cell r="F1513">
            <v>1</v>
          </cell>
          <cell r="G1513">
            <v>0</v>
          </cell>
          <cell r="H1513">
            <v>0</v>
          </cell>
          <cell r="I1513">
            <v>0</v>
          </cell>
        </row>
        <row r="1514">
          <cell r="A1514" t="str">
            <v>2300|470102</v>
          </cell>
          <cell r="B1514" t="str">
            <v>2300</v>
          </cell>
          <cell r="C1514">
            <v>470102</v>
          </cell>
          <cell r="D1514">
            <v>41244</v>
          </cell>
          <cell r="E1514">
            <v>479726</v>
          </cell>
          <cell r="F1514">
            <v>479726</v>
          </cell>
          <cell r="G1514">
            <v>480000</v>
          </cell>
          <cell r="H1514">
            <v>39977</v>
          </cell>
          <cell r="I1514">
            <v>40000</v>
          </cell>
        </row>
        <row r="1515">
          <cell r="A1515" t="str">
            <v>2300|471000</v>
          </cell>
          <cell r="B1515" t="str">
            <v>2300</v>
          </cell>
          <cell r="C1515">
            <v>471000</v>
          </cell>
          <cell r="D1515">
            <v>41244</v>
          </cell>
          <cell r="E1515">
            <v>6660200</v>
          </cell>
          <cell r="F1515">
            <v>6660200</v>
          </cell>
          <cell r="G1515">
            <v>0</v>
          </cell>
          <cell r="H1515">
            <v>555017</v>
          </cell>
          <cell r="I1515">
            <v>0</v>
          </cell>
        </row>
        <row r="1516">
          <cell r="A1516" t="str">
            <v>2300|472000</v>
          </cell>
          <cell r="B1516" t="str">
            <v>2300</v>
          </cell>
          <cell r="C1516">
            <v>472000</v>
          </cell>
          <cell r="D1516">
            <v>41244</v>
          </cell>
          <cell r="E1516">
            <v>767570</v>
          </cell>
          <cell r="F1516">
            <v>767570</v>
          </cell>
          <cell r="G1516">
            <v>0</v>
          </cell>
          <cell r="H1516">
            <v>63964</v>
          </cell>
          <cell r="I1516">
            <v>0</v>
          </cell>
        </row>
        <row r="1517">
          <cell r="A1517" t="str">
            <v>2300|473000</v>
          </cell>
          <cell r="B1517" t="str">
            <v>2300</v>
          </cell>
          <cell r="C1517">
            <v>473000</v>
          </cell>
          <cell r="D1517">
            <v>41244</v>
          </cell>
          <cell r="E1517">
            <v>593078</v>
          </cell>
          <cell r="F1517">
            <v>593078</v>
          </cell>
          <cell r="G1517">
            <v>751941</v>
          </cell>
          <cell r="H1517">
            <v>49423</v>
          </cell>
          <cell r="I1517">
            <v>0</v>
          </cell>
        </row>
        <row r="1518">
          <cell r="A1518" t="str">
            <v>2300|473120</v>
          </cell>
          <cell r="B1518" t="str">
            <v>2300</v>
          </cell>
          <cell r="C1518">
            <v>473120</v>
          </cell>
          <cell r="D1518">
            <v>41244</v>
          </cell>
          <cell r="E1518">
            <v>5883005</v>
          </cell>
          <cell r="F1518">
            <v>5883005</v>
          </cell>
          <cell r="G1518">
            <v>2226182</v>
          </cell>
          <cell r="H1518">
            <v>490250</v>
          </cell>
          <cell r="I1518">
            <v>225238</v>
          </cell>
        </row>
        <row r="1519">
          <cell r="A1519" t="str">
            <v>2300|474100</v>
          </cell>
          <cell r="B1519" t="str">
            <v>2300</v>
          </cell>
          <cell r="C1519">
            <v>474100</v>
          </cell>
          <cell r="D1519">
            <v>41244</v>
          </cell>
          <cell r="E1519">
            <v>16361300</v>
          </cell>
          <cell r="F1519">
            <v>16361300</v>
          </cell>
          <cell r="G1519">
            <v>13751695</v>
          </cell>
          <cell r="H1519">
            <v>1363442</v>
          </cell>
          <cell r="I1519">
            <v>150000</v>
          </cell>
        </row>
        <row r="1520">
          <cell r="A1520" t="str">
            <v>2300|474101</v>
          </cell>
          <cell r="B1520" t="str">
            <v>2300</v>
          </cell>
          <cell r="C1520">
            <v>474101</v>
          </cell>
          <cell r="D1520">
            <v>41244</v>
          </cell>
          <cell r="E1520">
            <v>2000000</v>
          </cell>
          <cell r="F1520">
            <v>2000000</v>
          </cell>
          <cell r="G1520">
            <v>100000</v>
          </cell>
          <cell r="H1520">
            <v>166667</v>
          </cell>
          <cell r="I1520">
            <v>0</v>
          </cell>
        </row>
        <row r="1521">
          <cell r="A1521" t="str">
            <v>2300|475006</v>
          </cell>
          <cell r="B1521" t="str">
            <v>2300</v>
          </cell>
          <cell r="C1521">
            <v>475006</v>
          </cell>
          <cell r="D1521">
            <v>41244</v>
          </cell>
          <cell r="E1521">
            <v>6046764</v>
          </cell>
          <cell r="F1521">
            <v>6046764</v>
          </cell>
          <cell r="G1521">
            <v>2281872</v>
          </cell>
          <cell r="H1521">
            <v>503897</v>
          </cell>
          <cell r="I1521">
            <v>190156</v>
          </cell>
        </row>
        <row r="1522">
          <cell r="A1522" t="str">
            <v>2300|476000</v>
          </cell>
          <cell r="B1522" t="str">
            <v>2300</v>
          </cell>
          <cell r="C1522">
            <v>476000</v>
          </cell>
          <cell r="D1522">
            <v>41244</v>
          </cell>
          <cell r="E1522">
            <v>6452865</v>
          </cell>
          <cell r="F1522">
            <v>6452865</v>
          </cell>
          <cell r="G1522">
            <v>18587278</v>
          </cell>
          <cell r="H1522">
            <v>537739</v>
          </cell>
          <cell r="I1522">
            <v>1301150</v>
          </cell>
        </row>
        <row r="1523">
          <cell r="A1523" t="str">
            <v>2300|476001</v>
          </cell>
          <cell r="B1523" t="str">
            <v>2300</v>
          </cell>
          <cell r="C1523">
            <v>476001</v>
          </cell>
          <cell r="D1523">
            <v>41244</v>
          </cell>
          <cell r="E1523">
            <v>1059100</v>
          </cell>
          <cell r="F1523">
            <v>1059100</v>
          </cell>
          <cell r="G1523">
            <v>106000</v>
          </cell>
          <cell r="H1523">
            <v>88258</v>
          </cell>
          <cell r="I1523">
            <v>0</v>
          </cell>
        </row>
        <row r="1524">
          <cell r="A1524" t="str">
            <v>2300|476201</v>
          </cell>
          <cell r="B1524" t="str">
            <v>2300</v>
          </cell>
          <cell r="C1524">
            <v>476201</v>
          </cell>
          <cell r="D1524">
            <v>41244</v>
          </cell>
          <cell r="E1524">
            <v>27600000</v>
          </cell>
          <cell r="F1524">
            <v>27600000</v>
          </cell>
          <cell r="G1524">
            <v>27825000</v>
          </cell>
          <cell r="H1524">
            <v>2300000</v>
          </cell>
          <cell r="I1524">
            <v>0</v>
          </cell>
        </row>
        <row r="1525">
          <cell r="A1525" t="str">
            <v>2300|476220</v>
          </cell>
          <cell r="B1525" t="str">
            <v>2300</v>
          </cell>
          <cell r="C1525">
            <v>476220</v>
          </cell>
          <cell r="D1525">
            <v>41244</v>
          </cell>
          <cell r="E1525">
            <v>257484</v>
          </cell>
          <cell r="F1525">
            <v>257484</v>
          </cell>
          <cell r="G1525">
            <v>25733502</v>
          </cell>
          <cell r="H1525">
            <v>21457</v>
          </cell>
          <cell r="I1525">
            <v>6058262</v>
          </cell>
        </row>
        <row r="1526">
          <cell r="A1526" t="str">
            <v>2300|476910</v>
          </cell>
          <cell r="B1526" t="str">
            <v>2300</v>
          </cell>
          <cell r="C1526">
            <v>476910</v>
          </cell>
          <cell r="D1526">
            <v>41244</v>
          </cell>
          <cell r="E1526">
            <v>1550000</v>
          </cell>
          <cell r="F1526">
            <v>1550000</v>
          </cell>
          <cell r="G1526">
            <v>1400000</v>
          </cell>
          <cell r="H1526">
            <v>129167</v>
          </cell>
          <cell r="I1526">
            <v>0</v>
          </cell>
        </row>
        <row r="1527">
          <cell r="A1527" t="str">
            <v>2300|477400</v>
          </cell>
          <cell r="B1527" t="str">
            <v>2300</v>
          </cell>
          <cell r="C1527">
            <v>477400</v>
          </cell>
          <cell r="D1527">
            <v>41244</v>
          </cell>
          <cell r="E1527">
            <v>0</v>
          </cell>
          <cell r="F1527">
            <v>0</v>
          </cell>
          <cell r="G1527">
            <v>2727272</v>
          </cell>
          <cell r="H1527">
            <v>0</v>
          </cell>
          <cell r="I1527">
            <v>0</v>
          </cell>
        </row>
        <row r="1528">
          <cell r="A1528" t="str">
            <v>2300|477500</v>
          </cell>
          <cell r="B1528" t="str">
            <v>2300</v>
          </cell>
          <cell r="C1528">
            <v>477500</v>
          </cell>
          <cell r="D1528">
            <v>41244</v>
          </cell>
          <cell r="E1528">
            <v>7594900</v>
          </cell>
          <cell r="F1528">
            <v>7594900</v>
          </cell>
          <cell r="G1528">
            <v>3315000</v>
          </cell>
          <cell r="H1528">
            <v>632908</v>
          </cell>
          <cell r="I1528">
            <v>1625400</v>
          </cell>
        </row>
        <row r="1529">
          <cell r="A1529" t="str">
            <v>2500|211100</v>
          </cell>
          <cell r="B1529" t="str">
            <v>2500</v>
          </cell>
          <cell r="C1529">
            <v>211100</v>
          </cell>
          <cell r="D1529">
            <v>41244</v>
          </cell>
          <cell r="E1529">
            <v>8928571</v>
          </cell>
          <cell r="F1529">
            <v>8928571</v>
          </cell>
          <cell r="G1529">
            <v>0</v>
          </cell>
          <cell r="H1529">
            <v>744048</v>
          </cell>
          <cell r="I1529">
            <v>0</v>
          </cell>
        </row>
        <row r="1530">
          <cell r="A1530" t="str">
            <v>2500|246000</v>
          </cell>
          <cell r="B1530" t="str">
            <v>2500</v>
          </cell>
          <cell r="C1530">
            <v>246000</v>
          </cell>
          <cell r="D1530">
            <v>41244</v>
          </cell>
          <cell r="E1530">
            <v>0</v>
          </cell>
          <cell r="F1530">
            <v>0</v>
          </cell>
          <cell r="G1530">
            <v>27957461</v>
          </cell>
          <cell r="H1530">
            <v>0</v>
          </cell>
          <cell r="I1530">
            <v>9635072</v>
          </cell>
        </row>
        <row r="1531">
          <cell r="A1531" t="str">
            <v>2500|420002</v>
          </cell>
          <cell r="B1531" t="str">
            <v>2500</v>
          </cell>
          <cell r="C1531">
            <v>420002</v>
          </cell>
          <cell r="D1531">
            <v>41244</v>
          </cell>
          <cell r="E1531">
            <v>213911542</v>
          </cell>
          <cell r="F1531">
            <v>213911542</v>
          </cell>
          <cell r="G1531">
            <v>160149000</v>
          </cell>
          <cell r="H1531">
            <v>17825962</v>
          </cell>
          <cell r="I1531">
            <v>13464500</v>
          </cell>
        </row>
        <row r="1532">
          <cell r="A1532" t="str">
            <v>2500|420003</v>
          </cell>
          <cell r="B1532" t="str">
            <v>2500</v>
          </cell>
          <cell r="C1532">
            <v>420003</v>
          </cell>
          <cell r="D1532">
            <v>41244</v>
          </cell>
          <cell r="E1532">
            <v>360752357</v>
          </cell>
          <cell r="F1532">
            <v>360752357</v>
          </cell>
          <cell r="G1532">
            <v>323908284</v>
          </cell>
          <cell r="H1532">
            <v>30062696</v>
          </cell>
          <cell r="I1532">
            <v>29805959</v>
          </cell>
        </row>
        <row r="1533">
          <cell r="A1533" t="str">
            <v>2500|422002</v>
          </cell>
          <cell r="B1533" t="str">
            <v>2500</v>
          </cell>
          <cell r="C1533">
            <v>422002</v>
          </cell>
          <cell r="D1533">
            <v>41244</v>
          </cell>
          <cell r="E1533">
            <v>0</v>
          </cell>
          <cell r="F1533">
            <v>0</v>
          </cell>
          <cell r="G1533">
            <v>7936050</v>
          </cell>
          <cell r="H1533">
            <v>0</v>
          </cell>
          <cell r="I1533">
            <v>7870500</v>
          </cell>
        </row>
        <row r="1534">
          <cell r="A1534" t="str">
            <v>2500|431002</v>
          </cell>
          <cell r="B1534" t="str">
            <v>2500</v>
          </cell>
          <cell r="C1534">
            <v>431002</v>
          </cell>
          <cell r="D1534">
            <v>41244</v>
          </cell>
          <cell r="E1534">
            <v>7652501</v>
          </cell>
          <cell r="F1534">
            <v>7652501</v>
          </cell>
          <cell r="G1534">
            <v>2906828</v>
          </cell>
          <cell r="H1534">
            <v>637708</v>
          </cell>
          <cell r="I1534">
            <v>0</v>
          </cell>
        </row>
        <row r="1535">
          <cell r="A1535" t="str">
            <v>2500|434012</v>
          </cell>
          <cell r="B1535" t="str">
            <v>2500</v>
          </cell>
          <cell r="C1535">
            <v>434012</v>
          </cell>
          <cell r="D1535">
            <v>41244</v>
          </cell>
          <cell r="E1535">
            <v>0</v>
          </cell>
          <cell r="F1535">
            <v>0</v>
          </cell>
          <cell r="G1535">
            <v>8398627</v>
          </cell>
          <cell r="H1535">
            <v>0</v>
          </cell>
          <cell r="I1535">
            <v>2946436</v>
          </cell>
        </row>
        <row r="1536">
          <cell r="A1536" t="str">
            <v>2500|434013</v>
          </cell>
          <cell r="B1536" t="str">
            <v>2500</v>
          </cell>
          <cell r="C1536">
            <v>434013</v>
          </cell>
          <cell r="D1536">
            <v>41244</v>
          </cell>
          <cell r="E1536">
            <v>0</v>
          </cell>
          <cell r="F1536">
            <v>0</v>
          </cell>
          <cell r="G1536">
            <v>7033120</v>
          </cell>
          <cell r="H1536">
            <v>0</v>
          </cell>
          <cell r="I1536">
            <v>2733193</v>
          </cell>
        </row>
        <row r="1537">
          <cell r="A1537" t="str">
            <v>2500|435002</v>
          </cell>
          <cell r="B1537" t="str">
            <v>2500</v>
          </cell>
          <cell r="C1537">
            <v>435002</v>
          </cell>
          <cell r="D1537">
            <v>41244</v>
          </cell>
          <cell r="E1537">
            <v>17825962</v>
          </cell>
          <cell r="F1537">
            <v>17825962</v>
          </cell>
          <cell r="G1537">
            <v>13464500</v>
          </cell>
          <cell r="H1537">
            <v>1485497</v>
          </cell>
          <cell r="I1537">
            <v>13464500</v>
          </cell>
        </row>
        <row r="1538">
          <cell r="A1538" t="str">
            <v>2500|435003</v>
          </cell>
          <cell r="B1538" t="str">
            <v>2500</v>
          </cell>
          <cell r="C1538">
            <v>435003</v>
          </cell>
          <cell r="D1538">
            <v>41244</v>
          </cell>
          <cell r="E1538">
            <v>45094045</v>
          </cell>
          <cell r="F1538">
            <v>45094045</v>
          </cell>
          <cell r="G1538">
            <v>44136247</v>
          </cell>
          <cell r="H1538">
            <v>3757837</v>
          </cell>
          <cell r="I1538">
            <v>0</v>
          </cell>
        </row>
        <row r="1539">
          <cell r="A1539" t="str">
            <v>2500|439003</v>
          </cell>
          <cell r="B1539" t="str">
            <v>2500</v>
          </cell>
          <cell r="C1539">
            <v>439003</v>
          </cell>
          <cell r="D1539">
            <v>41244</v>
          </cell>
          <cell r="E1539">
            <v>88111268</v>
          </cell>
          <cell r="F1539">
            <v>88111268</v>
          </cell>
          <cell r="G1539">
            <v>121939669</v>
          </cell>
          <cell r="H1539">
            <v>7342606</v>
          </cell>
          <cell r="I1539">
            <v>16593200</v>
          </cell>
        </row>
        <row r="1540">
          <cell r="A1540" t="str">
            <v>2500|439008</v>
          </cell>
          <cell r="B1540" t="str">
            <v>2500</v>
          </cell>
          <cell r="C1540">
            <v>439008</v>
          </cell>
          <cell r="D1540">
            <v>41244</v>
          </cell>
          <cell r="E1540">
            <v>49106715</v>
          </cell>
          <cell r="F1540">
            <v>49106715</v>
          </cell>
          <cell r="G1540">
            <v>67039862</v>
          </cell>
          <cell r="H1540">
            <v>4092226</v>
          </cell>
          <cell r="I1540">
            <v>0</v>
          </cell>
        </row>
        <row r="1541">
          <cell r="A1541" t="str">
            <v>2500|439202</v>
          </cell>
          <cell r="B1541" t="str">
            <v>2500</v>
          </cell>
          <cell r="C1541">
            <v>439202</v>
          </cell>
          <cell r="D1541">
            <v>41244</v>
          </cell>
          <cell r="E1541">
            <v>0</v>
          </cell>
          <cell r="F1541">
            <v>0</v>
          </cell>
          <cell r="G1541">
            <v>627000</v>
          </cell>
          <cell r="H1541">
            <v>0</v>
          </cell>
          <cell r="I1541">
            <v>0</v>
          </cell>
        </row>
        <row r="1542">
          <cell r="A1542" t="str">
            <v>2500|439203</v>
          </cell>
          <cell r="B1542" t="str">
            <v>2500</v>
          </cell>
          <cell r="C1542">
            <v>439203</v>
          </cell>
          <cell r="D1542">
            <v>41244</v>
          </cell>
          <cell r="E1542">
            <v>0</v>
          </cell>
          <cell r="F1542">
            <v>0</v>
          </cell>
          <cell r="G1542">
            <v>459000</v>
          </cell>
          <cell r="H1542">
            <v>0</v>
          </cell>
          <cell r="I1542">
            <v>0</v>
          </cell>
        </row>
        <row r="1543">
          <cell r="A1543" t="str">
            <v>2500|440002</v>
          </cell>
          <cell r="B1543" t="str">
            <v>2500</v>
          </cell>
          <cell r="C1543">
            <v>440002</v>
          </cell>
          <cell r="D1543">
            <v>41244</v>
          </cell>
          <cell r="E1543">
            <v>17825962</v>
          </cell>
          <cell r="F1543">
            <v>17825962</v>
          </cell>
          <cell r="G1543">
            <v>14374620</v>
          </cell>
          <cell r="H1543">
            <v>1485497</v>
          </cell>
          <cell r="I1543">
            <v>1675454</v>
          </cell>
        </row>
        <row r="1544">
          <cell r="A1544" t="str">
            <v>2500|440003</v>
          </cell>
          <cell r="B1544" t="str">
            <v>2500</v>
          </cell>
          <cell r="C1544">
            <v>440003</v>
          </cell>
          <cell r="D1544">
            <v>41244</v>
          </cell>
          <cell r="E1544">
            <v>35464799</v>
          </cell>
          <cell r="F1544">
            <v>35464799</v>
          </cell>
          <cell r="G1544">
            <v>26716793</v>
          </cell>
          <cell r="H1544">
            <v>2955400</v>
          </cell>
          <cell r="I1544">
            <v>2753775</v>
          </cell>
        </row>
        <row r="1545">
          <cell r="A1545" t="str">
            <v>2500|446002</v>
          </cell>
          <cell r="B1545" t="str">
            <v>2500</v>
          </cell>
          <cell r="C1545">
            <v>446002</v>
          </cell>
          <cell r="D1545">
            <v>41244</v>
          </cell>
          <cell r="E1545">
            <v>8912981</v>
          </cell>
          <cell r="F1545">
            <v>8912981</v>
          </cell>
          <cell r="G1545">
            <v>4224699</v>
          </cell>
          <cell r="H1545">
            <v>742748</v>
          </cell>
          <cell r="I1545">
            <v>200000</v>
          </cell>
        </row>
        <row r="1546">
          <cell r="A1546" t="str">
            <v>2500|447002</v>
          </cell>
          <cell r="B1546" t="str">
            <v>2500</v>
          </cell>
          <cell r="C1546">
            <v>447002</v>
          </cell>
          <cell r="D1546">
            <v>41244</v>
          </cell>
          <cell r="E1546">
            <v>6217955</v>
          </cell>
          <cell r="F1546">
            <v>6217955</v>
          </cell>
          <cell r="G1546">
            <v>2514360</v>
          </cell>
          <cell r="H1546">
            <v>518163</v>
          </cell>
          <cell r="I1546">
            <v>211395</v>
          </cell>
        </row>
        <row r="1547">
          <cell r="A1547" t="str">
            <v>2500|447003</v>
          </cell>
          <cell r="B1547" t="str">
            <v>2500</v>
          </cell>
          <cell r="C1547">
            <v>447003</v>
          </cell>
          <cell r="D1547">
            <v>41244</v>
          </cell>
          <cell r="E1547">
            <v>2864602</v>
          </cell>
          <cell r="F1547">
            <v>2864602</v>
          </cell>
          <cell r="G1547">
            <v>4943461</v>
          </cell>
          <cell r="H1547">
            <v>238717</v>
          </cell>
          <cell r="I1547">
            <v>460560</v>
          </cell>
        </row>
        <row r="1548">
          <cell r="A1548" t="str">
            <v>2500|447012</v>
          </cell>
          <cell r="B1548" t="str">
            <v>2500</v>
          </cell>
          <cell r="C1548">
            <v>447012</v>
          </cell>
          <cell r="D1548">
            <v>41244</v>
          </cell>
          <cell r="E1548">
            <v>14653779</v>
          </cell>
          <cell r="F1548">
            <v>14653779</v>
          </cell>
          <cell r="G1548">
            <v>5925528</v>
          </cell>
          <cell r="H1548">
            <v>1221148</v>
          </cell>
          <cell r="I1548">
            <v>498188</v>
          </cell>
        </row>
        <row r="1549">
          <cell r="A1549" t="str">
            <v>2500|447013</v>
          </cell>
          <cell r="B1549" t="str">
            <v>2500</v>
          </cell>
          <cell r="C1549">
            <v>447013</v>
          </cell>
          <cell r="D1549">
            <v>41244</v>
          </cell>
          <cell r="E1549">
            <v>6750974</v>
          </cell>
          <cell r="F1549">
            <v>6750974</v>
          </cell>
          <cell r="G1549">
            <v>11650190</v>
          </cell>
          <cell r="H1549">
            <v>562581</v>
          </cell>
          <cell r="I1549">
            <v>1085395</v>
          </cell>
        </row>
        <row r="1550">
          <cell r="A1550" t="str">
            <v>2500|447022</v>
          </cell>
          <cell r="B1550" t="str">
            <v>2500</v>
          </cell>
          <cell r="C1550">
            <v>447022</v>
          </cell>
          <cell r="D1550">
            <v>41244</v>
          </cell>
          <cell r="E1550">
            <v>621795</v>
          </cell>
          <cell r="F1550">
            <v>621795</v>
          </cell>
          <cell r="G1550">
            <v>121348</v>
          </cell>
          <cell r="H1550">
            <v>51816</v>
          </cell>
          <cell r="I1550">
            <v>6450</v>
          </cell>
        </row>
        <row r="1551">
          <cell r="A1551" t="str">
            <v>2500|447023</v>
          </cell>
          <cell r="B1551" t="str">
            <v>2500</v>
          </cell>
          <cell r="C1551">
            <v>447023</v>
          </cell>
          <cell r="D1551">
            <v>41244</v>
          </cell>
          <cell r="E1551">
            <v>286460</v>
          </cell>
          <cell r="F1551">
            <v>286460</v>
          </cell>
          <cell r="G1551">
            <v>725736</v>
          </cell>
          <cell r="H1551">
            <v>23872</v>
          </cell>
          <cell r="I1551">
            <v>48000</v>
          </cell>
        </row>
        <row r="1552">
          <cell r="A1552" t="str">
            <v>2500|448002</v>
          </cell>
          <cell r="B1552" t="str">
            <v>2500</v>
          </cell>
          <cell r="C1552">
            <v>448002</v>
          </cell>
          <cell r="D1552">
            <v>41244</v>
          </cell>
          <cell r="E1552">
            <v>36943250</v>
          </cell>
          <cell r="F1552">
            <v>36943250</v>
          </cell>
          <cell r="G1552">
            <v>34574836</v>
          </cell>
          <cell r="H1552">
            <v>3078604</v>
          </cell>
          <cell r="I1552">
            <v>24371249</v>
          </cell>
        </row>
        <row r="1553">
          <cell r="A1553" t="str">
            <v>2500|448003</v>
          </cell>
          <cell r="B1553" t="str">
            <v>2500</v>
          </cell>
          <cell r="C1553">
            <v>448003</v>
          </cell>
          <cell r="D1553">
            <v>41244</v>
          </cell>
          <cell r="E1553">
            <v>34992284</v>
          </cell>
          <cell r="F1553">
            <v>34992284</v>
          </cell>
          <cell r="G1553">
            <v>21879400</v>
          </cell>
          <cell r="H1553">
            <v>2916024</v>
          </cell>
          <cell r="I1553">
            <v>0</v>
          </cell>
        </row>
        <row r="1554">
          <cell r="A1554" t="str">
            <v>2500|449022</v>
          </cell>
          <cell r="B1554" t="str">
            <v>2500</v>
          </cell>
          <cell r="C1554">
            <v>449022</v>
          </cell>
          <cell r="D1554">
            <v>41244</v>
          </cell>
          <cell r="E1554">
            <v>11880000</v>
          </cell>
          <cell r="F1554">
            <v>11880000</v>
          </cell>
          <cell r="G1554">
            <v>14456500</v>
          </cell>
          <cell r="H1554">
            <v>990000</v>
          </cell>
          <cell r="I1554">
            <v>1228500</v>
          </cell>
        </row>
        <row r="1555">
          <cell r="A1555" t="str">
            <v>2500|449023</v>
          </cell>
          <cell r="B1555" t="str">
            <v>2500</v>
          </cell>
          <cell r="C1555">
            <v>449023</v>
          </cell>
          <cell r="D1555">
            <v>41244</v>
          </cell>
          <cell r="E1555">
            <v>37410000</v>
          </cell>
          <cell r="F1555">
            <v>37410000</v>
          </cell>
          <cell r="G1555">
            <v>73822204</v>
          </cell>
          <cell r="H1555">
            <v>3117500</v>
          </cell>
          <cell r="I1555">
            <v>6382150</v>
          </cell>
        </row>
        <row r="1556">
          <cell r="A1556" t="str">
            <v>2500|449032</v>
          </cell>
          <cell r="B1556" t="str">
            <v>2500</v>
          </cell>
          <cell r="C1556">
            <v>449032</v>
          </cell>
          <cell r="D1556">
            <v>41244</v>
          </cell>
          <cell r="E1556">
            <v>6500000</v>
          </cell>
          <cell r="F1556">
            <v>6500000</v>
          </cell>
          <cell r="G1556">
            <v>4000000</v>
          </cell>
          <cell r="H1556">
            <v>541667</v>
          </cell>
          <cell r="I1556">
            <v>0</v>
          </cell>
        </row>
        <row r="1557">
          <cell r="A1557" t="str">
            <v>2500|449040</v>
          </cell>
          <cell r="B1557" t="str">
            <v>2500</v>
          </cell>
          <cell r="C1557">
            <v>449040</v>
          </cell>
          <cell r="D1557">
            <v>41244</v>
          </cell>
          <cell r="E1557">
            <v>0</v>
          </cell>
          <cell r="F1557">
            <v>0</v>
          </cell>
          <cell r="G1557">
            <v>5065455</v>
          </cell>
          <cell r="H1557">
            <v>0</v>
          </cell>
          <cell r="I1557">
            <v>0</v>
          </cell>
        </row>
        <row r="1558">
          <cell r="A1558" t="str">
            <v>2500|449061</v>
          </cell>
          <cell r="B1558" t="str">
            <v>2500</v>
          </cell>
          <cell r="C1558">
            <v>449061</v>
          </cell>
          <cell r="D1558">
            <v>41244</v>
          </cell>
          <cell r="E1558">
            <v>15893400</v>
          </cell>
          <cell r="F1558">
            <v>15893400</v>
          </cell>
          <cell r="G1558">
            <v>29836175</v>
          </cell>
          <cell r="H1558">
            <v>1324450</v>
          </cell>
          <cell r="I1558">
            <v>912600</v>
          </cell>
        </row>
        <row r="1559">
          <cell r="A1559" t="str">
            <v>2500|473000</v>
          </cell>
          <cell r="B1559" t="str">
            <v>2500</v>
          </cell>
          <cell r="C1559">
            <v>473000</v>
          </cell>
          <cell r="D1559">
            <v>41244</v>
          </cell>
          <cell r="E1559">
            <v>6222423</v>
          </cell>
          <cell r="F1559">
            <v>6222423</v>
          </cell>
          <cell r="G1559">
            <v>0</v>
          </cell>
          <cell r="H1559">
            <v>518535</v>
          </cell>
          <cell r="I1559">
            <v>0</v>
          </cell>
        </row>
        <row r="1560">
          <cell r="A1560" t="str">
            <v>2500|474100</v>
          </cell>
          <cell r="B1560" t="str">
            <v>2500</v>
          </cell>
          <cell r="C1560">
            <v>474100</v>
          </cell>
          <cell r="D1560">
            <v>41244</v>
          </cell>
          <cell r="E1560">
            <v>0</v>
          </cell>
          <cell r="F1560">
            <v>0</v>
          </cell>
          <cell r="G1560">
            <v>3126298</v>
          </cell>
          <cell r="H1560">
            <v>0</v>
          </cell>
          <cell r="I1560">
            <v>0</v>
          </cell>
        </row>
        <row r="1561">
          <cell r="A1561" t="str">
            <v>2500|476000</v>
          </cell>
          <cell r="B1561" t="str">
            <v>2500</v>
          </cell>
          <cell r="C1561">
            <v>476000</v>
          </cell>
          <cell r="D1561">
            <v>41244</v>
          </cell>
          <cell r="E1561">
            <v>3368216</v>
          </cell>
          <cell r="F1561">
            <v>3368216</v>
          </cell>
          <cell r="G1561">
            <v>574000</v>
          </cell>
          <cell r="H1561">
            <v>280685</v>
          </cell>
          <cell r="I1561">
            <v>574000</v>
          </cell>
        </row>
        <row r="1562">
          <cell r="A1562" t="str">
            <v>2500|476001</v>
          </cell>
          <cell r="B1562" t="str">
            <v>2500</v>
          </cell>
          <cell r="C1562">
            <v>476001</v>
          </cell>
          <cell r="D1562">
            <v>41244</v>
          </cell>
          <cell r="E1562">
            <v>2040100</v>
          </cell>
          <cell r="F1562">
            <v>2040100</v>
          </cell>
          <cell r="G1562">
            <v>-35529</v>
          </cell>
          <cell r="H1562">
            <v>170008</v>
          </cell>
          <cell r="I1562">
            <v>0</v>
          </cell>
        </row>
        <row r="1563">
          <cell r="A1563" t="str">
            <v>2500|476201</v>
          </cell>
          <cell r="B1563" t="str">
            <v>2500</v>
          </cell>
          <cell r="C1563">
            <v>476201</v>
          </cell>
          <cell r="D1563">
            <v>41244</v>
          </cell>
          <cell r="E1563">
            <v>40000000</v>
          </cell>
          <cell r="F1563">
            <v>40000000</v>
          </cell>
          <cell r="G1563">
            <v>107071139</v>
          </cell>
          <cell r="H1563">
            <v>3333333</v>
          </cell>
          <cell r="I1563">
            <v>10330396</v>
          </cell>
        </row>
        <row r="1564">
          <cell r="A1564" t="str">
            <v>2500|476220</v>
          </cell>
          <cell r="B1564" t="str">
            <v>2500</v>
          </cell>
          <cell r="C1564">
            <v>476220</v>
          </cell>
          <cell r="D1564">
            <v>41244</v>
          </cell>
          <cell r="E1564">
            <v>384392</v>
          </cell>
          <cell r="F1564">
            <v>384392</v>
          </cell>
          <cell r="G1564">
            <v>753090</v>
          </cell>
          <cell r="H1564">
            <v>32033</v>
          </cell>
          <cell r="I1564">
            <v>0</v>
          </cell>
        </row>
        <row r="1565">
          <cell r="A1565" t="str">
            <v>2500|476900</v>
          </cell>
          <cell r="B1565" t="str">
            <v>2500</v>
          </cell>
          <cell r="C1565">
            <v>476900</v>
          </cell>
          <cell r="D1565">
            <v>41244</v>
          </cell>
          <cell r="E1565">
            <v>588499</v>
          </cell>
          <cell r="F1565">
            <v>588499</v>
          </cell>
          <cell r="G1565">
            <v>0</v>
          </cell>
          <cell r="H1565">
            <v>49042</v>
          </cell>
          <cell r="I1565">
            <v>0</v>
          </cell>
        </row>
        <row r="1566">
          <cell r="A1566" t="str">
            <v>2500|476910</v>
          </cell>
          <cell r="B1566" t="str">
            <v>2500</v>
          </cell>
          <cell r="C1566">
            <v>476910</v>
          </cell>
          <cell r="D1566">
            <v>41244</v>
          </cell>
          <cell r="E1566">
            <v>159000</v>
          </cell>
          <cell r="F1566">
            <v>159000</v>
          </cell>
          <cell r="G1566">
            <v>0</v>
          </cell>
          <cell r="H1566">
            <v>13250</v>
          </cell>
          <cell r="I1566">
            <v>0</v>
          </cell>
        </row>
        <row r="1567">
          <cell r="A1567" t="str">
            <v>3100|211100</v>
          </cell>
          <cell r="B1567" t="str">
            <v>3100</v>
          </cell>
          <cell r="C1567">
            <v>211100</v>
          </cell>
          <cell r="D1567">
            <v>41244</v>
          </cell>
          <cell r="E1567">
            <v>76346914</v>
          </cell>
          <cell r="F1567">
            <v>76346914</v>
          </cell>
          <cell r="G1567">
            <v>536033764</v>
          </cell>
          <cell r="H1567">
            <v>6362243</v>
          </cell>
          <cell r="I1567">
            <v>14718180</v>
          </cell>
        </row>
        <row r="1568">
          <cell r="A1568" t="str">
            <v>3100|246000</v>
          </cell>
          <cell r="B1568" t="str">
            <v>3100</v>
          </cell>
          <cell r="C1568">
            <v>246000</v>
          </cell>
          <cell r="D1568">
            <v>41244</v>
          </cell>
          <cell r="E1568">
            <v>10000000</v>
          </cell>
          <cell r="F1568">
            <v>10000000</v>
          </cell>
          <cell r="G1568">
            <v>6329829</v>
          </cell>
          <cell r="H1568">
            <v>833333</v>
          </cell>
          <cell r="I1568">
            <v>3433229</v>
          </cell>
        </row>
        <row r="1569">
          <cell r="A1569" t="str">
            <v>3100|246006</v>
          </cell>
          <cell r="B1569" t="str">
            <v>3100</v>
          </cell>
          <cell r="C1569">
            <v>246006</v>
          </cell>
          <cell r="D1569">
            <v>41244</v>
          </cell>
          <cell r="E1569">
            <v>2500000</v>
          </cell>
          <cell r="F1569">
            <v>2500000</v>
          </cell>
          <cell r="G1569">
            <v>0</v>
          </cell>
          <cell r="H1569">
            <v>208333</v>
          </cell>
          <cell r="I1569">
            <v>0</v>
          </cell>
        </row>
        <row r="1570">
          <cell r="A1570" t="str">
            <v>3100|400040</v>
          </cell>
          <cell r="B1570" t="str">
            <v>3100</v>
          </cell>
          <cell r="C1570">
            <v>400040</v>
          </cell>
          <cell r="D1570">
            <v>41244</v>
          </cell>
          <cell r="E1570">
            <v>1300000</v>
          </cell>
          <cell r="F1570">
            <v>1300000</v>
          </cell>
          <cell r="G1570">
            <v>1193293</v>
          </cell>
          <cell r="H1570">
            <v>108333</v>
          </cell>
          <cell r="I1570">
            <v>0</v>
          </cell>
        </row>
        <row r="1571">
          <cell r="A1571" t="str">
            <v>3100|405200</v>
          </cell>
          <cell r="B1571" t="str">
            <v>3100</v>
          </cell>
          <cell r="C1571">
            <v>405200</v>
          </cell>
          <cell r="D1571">
            <v>41244</v>
          </cell>
          <cell r="E1571">
            <v>0</v>
          </cell>
          <cell r="F1571">
            <v>0</v>
          </cell>
          <cell r="G1571">
            <v>2700909</v>
          </cell>
          <cell r="H1571">
            <v>0</v>
          </cell>
          <cell r="I1571">
            <v>0</v>
          </cell>
        </row>
        <row r="1572">
          <cell r="A1572" t="str">
            <v>3100|405252</v>
          </cell>
          <cell r="B1572" t="str">
            <v>3100</v>
          </cell>
          <cell r="C1572">
            <v>405252</v>
          </cell>
          <cell r="D1572">
            <v>41244</v>
          </cell>
          <cell r="E1572">
            <v>20000000</v>
          </cell>
          <cell r="F1572">
            <v>20000000</v>
          </cell>
          <cell r="G1572">
            <v>0</v>
          </cell>
          <cell r="H1572">
            <v>1666667</v>
          </cell>
          <cell r="I1572">
            <v>0</v>
          </cell>
        </row>
        <row r="1573">
          <cell r="A1573" t="str">
            <v>3100|416103</v>
          </cell>
          <cell r="B1573" t="str">
            <v>3100</v>
          </cell>
          <cell r="C1573">
            <v>416103</v>
          </cell>
          <cell r="D1573">
            <v>41244</v>
          </cell>
          <cell r="E1573">
            <v>110563543</v>
          </cell>
          <cell r="F1573">
            <v>110563543</v>
          </cell>
          <cell r="G1573">
            <v>112512110</v>
          </cell>
          <cell r="H1573">
            <v>9213629</v>
          </cell>
          <cell r="I1573">
            <v>10033522</v>
          </cell>
        </row>
        <row r="1574">
          <cell r="A1574" t="str">
            <v>3100|420003</v>
          </cell>
          <cell r="B1574" t="str">
            <v>3100</v>
          </cell>
          <cell r="C1574">
            <v>420003</v>
          </cell>
          <cell r="D1574">
            <v>41244</v>
          </cell>
          <cell r="E1574">
            <v>1547598632</v>
          </cell>
          <cell r="F1574">
            <v>1547598632</v>
          </cell>
          <cell r="G1574">
            <v>1058368507</v>
          </cell>
          <cell r="H1574">
            <v>128966552</v>
          </cell>
          <cell r="I1574">
            <v>88176480</v>
          </cell>
        </row>
        <row r="1575">
          <cell r="A1575" t="str">
            <v>3100|422003</v>
          </cell>
          <cell r="B1575" t="str">
            <v>3100</v>
          </cell>
          <cell r="C1575">
            <v>422003</v>
          </cell>
          <cell r="D1575">
            <v>41244</v>
          </cell>
          <cell r="E1575">
            <v>668759112</v>
          </cell>
          <cell r="F1575">
            <v>668759112</v>
          </cell>
          <cell r="G1575">
            <v>1331710907</v>
          </cell>
          <cell r="H1575">
            <v>55729926</v>
          </cell>
          <cell r="I1575">
            <v>128822110</v>
          </cell>
        </row>
        <row r="1576">
          <cell r="A1576" t="str">
            <v>3100|431002</v>
          </cell>
          <cell r="B1576" t="str">
            <v>3100</v>
          </cell>
          <cell r="C1576">
            <v>431002</v>
          </cell>
          <cell r="D1576">
            <v>41244</v>
          </cell>
          <cell r="E1576">
            <v>1189604</v>
          </cell>
          <cell r="F1576">
            <v>1189604</v>
          </cell>
          <cell r="G1576">
            <v>0</v>
          </cell>
          <cell r="H1576">
            <v>99134</v>
          </cell>
          <cell r="I1576">
            <v>0</v>
          </cell>
        </row>
        <row r="1577">
          <cell r="A1577" t="str">
            <v>3100|434012</v>
          </cell>
          <cell r="B1577" t="str">
            <v>3100</v>
          </cell>
          <cell r="C1577">
            <v>434012</v>
          </cell>
          <cell r="D1577">
            <v>41244</v>
          </cell>
          <cell r="E1577">
            <v>11788500</v>
          </cell>
          <cell r="F1577">
            <v>11788500</v>
          </cell>
          <cell r="G1577">
            <v>13124398</v>
          </cell>
          <cell r="H1577">
            <v>982375</v>
          </cell>
          <cell r="I1577">
            <v>0</v>
          </cell>
        </row>
        <row r="1578">
          <cell r="A1578" t="str">
            <v>3100|434013</v>
          </cell>
          <cell r="B1578" t="str">
            <v>3100</v>
          </cell>
          <cell r="C1578">
            <v>434013</v>
          </cell>
          <cell r="D1578">
            <v>41244</v>
          </cell>
          <cell r="E1578">
            <v>0</v>
          </cell>
          <cell r="F1578">
            <v>0</v>
          </cell>
          <cell r="G1578">
            <v>4244886</v>
          </cell>
          <cell r="H1578">
            <v>0</v>
          </cell>
          <cell r="I1578">
            <v>1366596</v>
          </cell>
        </row>
        <row r="1579">
          <cell r="A1579" t="str">
            <v>3100|435003</v>
          </cell>
          <cell r="B1579" t="str">
            <v>3100</v>
          </cell>
          <cell r="C1579">
            <v>435003</v>
          </cell>
          <cell r="D1579">
            <v>41244</v>
          </cell>
          <cell r="E1579">
            <v>482406308</v>
          </cell>
          <cell r="F1579">
            <v>482406308</v>
          </cell>
          <cell r="G1579">
            <v>12571848</v>
          </cell>
          <cell r="H1579">
            <v>40200526</v>
          </cell>
          <cell r="I1579">
            <v>0</v>
          </cell>
        </row>
        <row r="1580">
          <cell r="A1580" t="str">
            <v>3100|439003</v>
          </cell>
          <cell r="B1580" t="str">
            <v>3100</v>
          </cell>
          <cell r="C1580">
            <v>439003</v>
          </cell>
          <cell r="D1580">
            <v>41244</v>
          </cell>
          <cell r="E1580">
            <v>44055634</v>
          </cell>
          <cell r="F1580">
            <v>44055634</v>
          </cell>
          <cell r="G1580">
            <v>67228313</v>
          </cell>
          <cell r="H1580">
            <v>3671303</v>
          </cell>
          <cell r="I1580">
            <v>8296600</v>
          </cell>
        </row>
        <row r="1581">
          <cell r="A1581" t="str">
            <v>3100|439006</v>
          </cell>
          <cell r="B1581" t="str">
            <v>3100</v>
          </cell>
          <cell r="C1581">
            <v>439006</v>
          </cell>
          <cell r="D1581">
            <v>41244</v>
          </cell>
          <cell r="E1581">
            <v>149501030</v>
          </cell>
          <cell r="F1581">
            <v>149501030</v>
          </cell>
          <cell r="G1581">
            <v>45128239</v>
          </cell>
          <cell r="H1581">
            <v>12458419</v>
          </cell>
          <cell r="I1581">
            <v>0</v>
          </cell>
        </row>
        <row r="1582">
          <cell r="A1582" t="str">
            <v>3100|439203</v>
          </cell>
          <cell r="B1582" t="str">
            <v>3100</v>
          </cell>
          <cell r="C1582">
            <v>439203</v>
          </cell>
          <cell r="D1582">
            <v>41244</v>
          </cell>
          <cell r="E1582">
            <v>6000000</v>
          </cell>
          <cell r="F1582">
            <v>6000000</v>
          </cell>
          <cell r="G1582">
            <v>4910000</v>
          </cell>
          <cell r="H1582">
            <v>500000</v>
          </cell>
          <cell r="I1582">
            <v>525000</v>
          </cell>
        </row>
        <row r="1583">
          <cell r="A1583" t="str">
            <v>3100|440003</v>
          </cell>
          <cell r="B1583" t="str">
            <v>3100</v>
          </cell>
          <cell r="C1583">
            <v>440003</v>
          </cell>
          <cell r="D1583">
            <v>41244</v>
          </cell>
          <cell r="E1583">
            <v>16206308</v>
          </cell>
          <cell r="F1583">
            <v>16206308</v>
          </cell>
          <cell r="G1583">
            <v>8903746</v>
          </cell>
          <cell r="H1583">
            <v>1350526</v>
          </cell>
          <cell r="I1583">
            <v>989677</v>
          </cell>
        </row>
        <row r="1584">
          <cell r="A1584" t="str">
            <v>3100|447003</v>
          </cell>
          <cell r="B1584" t="str">
            <v>3100</v>
          </cell>
          <cell r="C1584">
            <v>447003</v>
          </cell>
          <cell r="D1584">
            <v>41244</v>
          </cell>
          <cell r="E1584">
            <v>829090</v>
          </cell>
          <cell r="F1584">
            <v>829090</v>
          </cell>
          <cell r="G1584">
            <v>552990</v>
          </cell>
          <cell r="H1584">
            <v>69091</v>
          </cell>
          <cell r="I1584">
            <v>46492</v>
          </cell>
        </row>
        <row r="1585">
          <cell r="A1585" t="str">
            <v>3100|447013</v>
          </cell>
          <cell r="B1585" t="str">
            <v>3100</v>
          </cell>
          <cell r="C1585">
            <v>447013</v>
          </cell>
          <cell r="D1585">
            <v>41244</v>
          </cell>
          <cell r="E1585">
            <v>51953907</v>
          </cell>
          <cell r="F1585">
            <v>51953907</v>
          </cell>
          <cell r="G1585">
            <v>3788988</v>
          </cell>
          <cell r="H1585">
            <v>4329503</v>
          </cell>
          <cell r="I1585">
            <v>318552</v>
          </cell>
        </row>
        <row r="1586">
          <cell r="A1586" t="str">
            <v>3100|447023</v>
          </cell>
          <cell r="B1586" t="str">
            <v>3100</v>
          </cell>
          <cell r="C1586">
            <v>447023</v>
          </cell>
          <cell r="D1586">
            <v>41244</v>
          </cell>
          <cell r="E1586">
            <v>82909</v>
          </cell>
          <cell r="F1586">
            <v>82909</v>
          </cell>
          <cell r="G1586">
            <v>84062</v>
          </cell>
          <cell r="H1586">
            <v>6909</v>
          </cell>
          <cell r="I1586">
            <v>0</v>
          </cell>
        </row>
        <row r="1587">
          <cell r="A1587" t="str">
            <v>3100|448003</v>
          </cell>
          <cell r="B1587" t="str">
            <v>3100</v>
          </cell>
          <cell r="C1587">
            <v>448003</v>
          </cell>
          <cell r="D1587">
            <v>41244</v>
          </cell>
          <cell r="E1587">
            <v>15382279</v>
          </cell>
          <cell r="F1587">
            <v>15382279</v>
          </cell>
          <cell r="G1587">
            <v>2974100</v>
          </cell>
          <cell r="H1587">
            <v>1281857</v>
          </cell>
          <cell r="I1587">
            <v>0</v>
          </cell>
        </row>
        <row r="1588">
          <cell r="A1588" t="str">
            <v>3100|449011</v>
          </cell>
          <cell r="B1588" t="str">
            <v>3100</v>
          </cell>
          <cell r="C1588">
            <v>449011</v>
          </cell>
          <cell r="D1588">
            <v>41244</v>
          </cell>
          <cell r="E1588">
            <v>150000000</v>
          </cell>
          <cell r="F1588">
            <v>150000000</v>
          </cell>
          <cell r="G1588">
            <v>129087267</v>
          </cell>
          <cell r="H1588">
            <v>12500000</v>
          </cell>
          <cell r="I1588">
            <v>-258174533</v>
          </cell>
        </row>
        <row r="1589">
          <cell r="A1589" t="str">
            <v>3100|449023</v>
          </cell>
          <cell r="B1589" t="str">
            <v>3100</v>
          </cell>
          <cell r="C1589">
            <v>449023</v>
          </cell>
          <cell r="D1589">
            <v>41244</v>
          </cell>
          <cell r="E1589">
            <v>3960000</v>
          </cell>
          <cell r="F1589">
            <v>3960000</v>
          </cell>
          <cell r="G1589">
            <v>3609000</v>
          </cell>
          <cell r="H1589">
            <v>330000</v>
          </cell>
          <cell r="I1589">
            <v>357000</v>
          </cell>
        </row>
        <row r="1590">
          <cell r="A1590" t="str">
            <v>3100|449032</v>
          </cell>
          <cell r="B1590" t="str">
            <v>3100</v>
          </cell>
          <cell r="C1590">
            <v>449032</v>
          </cell>
          <cell r="D1590">
            <v>41244</v>
          </cell>
          <cell r="E1590">
            <v>10893847</v>
          </cell>
          <cell r="F1590">
            <v>10893847</v>
          </cell>
          <cell r="G1590">
            <v>9500000</v>
          </cell>
          <cell r="H1590">
            <v>907818</v>
          </cell>
          <cell r="I1590">
            <v>0</v>
          </cell>
        </row>
        <row r="1591">
          <cell r="A1591" t="str">
            <v>3100|449040</v>
          </cell>
          <cell r="B1591" t="str">
            <v>3100</v>
          </cell>
          <cell r="C1591">
            <v>449040</v>
          </cell>
          <cell r="D1591">
            <v>41244</v>
          </cell>
          <cell r="E1591">
            <v>26865000</v>
          </cell>
          <cell r="F1591">
            <v>26865000</v>
          </cell>
          <cell r="G1591">
            <v>31813500</v>
          </cell>
          <cell r="H1591">
            <v>2238750</v>
          </cell>
          <cell r="I1591">
            <v>0</v>
          </cell>
        </row>
        <row r="1592">
          <cell r="A1592" t="str">
            <v>3100|449050</v>
          </cell>
          <cell r="B1592" t="str">
            <v>3100</v>
          </cell>
          <cell r="C1592">
            <v>449050</v>
          </cell>
          <cell r="D1592">
            <v>41244</v>
          </cell>
          <cell r="E1592">
            <v>16404000</v>
          </cell>
          <cell r="F1592">
            <v>16404000</v>
          </cell>
          <cell r="G1592">
            <v>378844673</v>
          </cell>
          <cell r="H1592">
            <v>1367000</v>
          </cell>
          <cell r="I1592">
            <v>-446016091</v>
          </cell>
        </row>
        <row r="1593">
          <cell r="A1593" t="str">
            <v>3100|449061</v>
          </cell>
          <cell r="B1593" t="str">
            <v>3100</v>
          </cell>
          <cell r="C1593">
            <v>449061</v>
          </cell>
          <cell r="D1593">
            <v>41244</v>
          </cell>
          <cell r="E1593">
            <v>25273000</v>
          </cell>
          <cell r="F1593">
            <v>25273000</v>
          </cell>
          <cell r="G1593">
            <v>19209700</v>
          </cell>
          <cell r="H1593">
            <v>2106083</v>
          </cell>
          <cell r="I1593">
            <v>2206500</v>
          </cell>
        </row>
        <row r="1594">
          <cell r="A1594" t="str">
            <v>3100|451000</v>
          </cell>
          <cell r="B1594" t="str">
            <v>3100</v>
          </cell>
          <cell r="C1594">
            <v>451000</v>
          </cell>
          <cell r="D1594">
            <v>41244</v>
          </cell>
          <cell r="E1594">
            <v>3834550</v>
          </cell>
          <cell r="F1594">
            <v>3834550</v>
          </cell>
          <cell r="G1594">
            <v>60623990</v>
          </cell>
          <cell r="H1594">
            <v>319546</v>
          </cell>
          <cell r="I1594">
            <v>5582500</v>
          </cell>
        </row>
        <row r="1595">
          <cell r="A1595" t="str">
            <v>3100|455000</v>
          </cell>
          <cell r="B1595" t="str">
            <v>3100</v>
          </cell>
          <cell r="C1595">
            <v>455000</v>
          </cell>
          <cell r="D1595">
            <v>41244</v>
          </cell>
          <cell r="E1595">
            <v>4000000</v>
          </cell>
          <cell r="F1595">
            <v>4000000</v>
          </cell>
          <cell r="G1595">
            <v>0</v>
          </cell>
          <cell r="H1595">
            <v>333333</v>
          </cell>
          <cell r="I1595">
            <v>0</v>
          </cell>
        </row>
        <row r="1596">
          <cell r="A1596" t="str">
            <v>3100|459000</v>
          </cell>
          <cell r="B1596" t="str">
            <v>3100</v>
          </cell>
          <cell r="C1596">
            <v>459000</v>
          </cell>
          <cell r="D1596">
            <v>41244</v>
          </cell>
          <cell r="E1596">
            <v>760000</v>
          </cell>
          <cell r="F1596">
            <v>760000</v>
          </cell>
          <cell r="G1596">
            <v>615000</v>
          </cell>
          <cell r="H1596">
            <v>63333</v>
          </cell>
          <cell r="I1596">
            <v>0</v>
          </cell>
        </row>
        <row r="1597">
          <cell r="A1597" t="str">
            <v>3100|470001</v>
          </cell>
          <cell r="B1597" t="str">
            <v>3100</v>
          </cell>
          <cell r="C1597">
            <v>470001</v>
          </cell>
          <cell r="D1597">
            <v>41244</v>
          </cell>
          <cell r="E1597">
            <v>374544000</v>
          </cell>
          <cell r="F1597">
            <v>374544000</v>
          </cell>
          <cell r="G1597">
            <v>367557297</v>
          </cell>
          <cell r="H1597">
            <v>31212000</v>
          </cell>
          <cell r="I1597">
            <v>30634000</v>
          </cell>
        </row>
        <row r="1598">
          <cell r="A1598" t="str">
            <v>3100|470002</v>
          </cell>
          <cell r="B1598" t="str">
            <v>3100</v>
          </cell>
          <cell r="C1598">
            <v>470002</v>
          </cell>
          <cell r="D1598">
            <v>41244</v>
          </cell>
          <cell r="E1598">
            <v>2279558331</v>
          </cell>
          <cell r="F1598">
            <v>2279558331</v>
          </cell>
          <cell r="G1598">
            <v>2506477345</v>
          </cell>
          <cell r="H1598">
            <v>189963194</v>
          </cell>
          <cell r="I1598">
            <v>246896255</v>
          </cell>
        </row>
        <row r="1599">
          <cell r="A1599" t="str">
            <v>3100|470102</v>
          </cell>
          <cell r="B1599" t="str">
            <v>3100</v>
          </cell>
          <cell r="C1599">
            <v>470102</v>
          </cell>
          <cell r="D1599">
            <v>41244</v>
          </cell>
          <cell r="E1599">
            <v>3640230</v>
          </cell>
          <cell r="F1599">
            <v>3640230</v>
          </cell>
          <cell r="G1599">
            <v>10405338</v>
          </cell>
          <cell r="H1599">
            <v>303352</v>
          </cell>
          <cell r="I1599">
            <v>987130</v>
          </cell>
        </row>
        <row r="1600">
          <cell r="A1600" t="str">
            <v>3100|471000</v>
          </cell>
          <cell r="B1600" t="str">
            <v>3100</v>
          </cell>
          <cell r="C1600">
            <v>471000</v>
          </cell>
          <cell r="D1600">
            <v>41244</v>
          </cell>
          <cell r="E1600">
            <v>4301490</v>
          </cell>
          <cell r="F1600">
            <v>4301490</v>
          </cell>
          <cell r="G1600">
            <v>4162780</v>
          </cell>
          <cell r="H1600">
            <v>358457</v>
          </cell>
          <cell r="I1600">
            <v>0</v>
          </cell>
        </row>
        <row r="1601">
          <cell r="A1601" t="str">
            <v>3100|472000</v>
          </cell>
          <cell r="B1601" t="str">
            <v>3100</v>
          </cell>
          <cell r="C1601">
            <v>472000</v>
          </cell>
          <cell r="D1601">
            <v>41244</v>
          </cell>
          <cell r="E1601">
            <v>6000000</v>
          </cell>
          <cell r="F1601">
            <v>6000000</v>
          </cell>
          <cell r="G1601">
            <v>9503064</v>
          </cell>
          <cell r="H1601">
            <v>500000</v>
          </cell>
          <cell r="I1601">
            <v>7494812</v>
          </cell>
        </row>
        <row r="1602">
          <cell r="A1602" t="str">
            <v>3100|473000</v>
          </cell>
          <cell r="B1602" t="str">
            <v>3100</v>
          </cell>
          <cell r="C1602">
            <v>473000</v>
          </cell>
          <cell r="D1602">
            <v>41244</v>
          </cell>
          <cell r="E1602">
            <v>310000</v>
          </cell>
          <cell r="F1602">
            <v>310000</v>
          </cell>
          <cell r="G1602">
            <v>36000</v>
          </cell>
          <cell r="H1602">
            <v>25833</v>
          </cell>
          <cell r="I1602">
            <v>0</v>
          </cell>
        </row>
        <row r="1603">
          <cell r="A1603" t="str">
            <v>3100|473120</v>
          </cell>
          <cell r="B1603" t="str">
            <v>3100</v>
          </cell>
          <cell r="C1603">
            <v>473120</v>
          </cell>
          <cell r="D1603">
            <v>41244</v>
          </cell>
          <cell r="E1603">
            <v>94997606</v>
          </cell>
          <cell r="F1603">
            <v>94997606</v>
          </cell>
          <cell r="G1603">
            <v>42897937</v>
          </cell>
          <cell r="H1603">
            <v>7916467</v>
          </cell>
          <cell r="I1603">
            <v>3904476</v>
          </cell>
        </row>
        <row r="1604">
          <cell r="A1604" t="str">
            <v>3100|474100</v>
          </cell>
          <cell r="B1604" t="str">
            <v>3100</v>
          </cell>
          <cell r="C1604">
            <v>474100</v>
          </cell>
          <cell r="D1604">
            <v>41244</v>
          </cell>
          <cell r="E1604">
            <v>260161868</v>
          </cell>
          <cell r="F1604">
            <v>260161868</v>
          </cell>
          <cell r="G1604">
            <v>195305769</v>
          </cell>
          <cell r="H1604">
            <v>21680156</v>
          </cell>
          <cell r="I1604">
            <v>8916433</v>
          </cell>
        </row>
        <row r="1605">
          <cell r="A1605" t="str">
            <v>3100|474101</v>
          </cell>
          <cell r="B1605" t="str">
            <v>3100</v>
          </cell>
          <cell r="C1605">
            <v>474101</v>
          </cell>
          <cell r="D1605">
            <v>41244</v>
          </cell>
          <cell r="E1605">
            <v>23859566</v>
          </cell>
          <cell r="F1605">
            <v>23859566</v>
          </cell>
          <cell r="G1605">
            <v>-5980000</v>
          </cell>
          <cell r="H1605">
            <v>1988297</v>
          </cell>
          <cell r="I1605">
            <v>0</v>
          </cell>
        </row>
        <row r="1606">
          <cell r="A1606" t="str">
            <v>3100|475004</v>
          </cell>
          <cell r="B1606" t="str">
            <v>3100</v>
          </cell>
          <cell r="C1606">
            <v>475004</v>
          </cell>
          <cell r="D1606">
            <v>41244</v>
          </cell>
          <cell r="E1606">
            <v>34293406</v>
          </cell>
          <cell r="F1606">
            <v>34293406</v>
          </cell>
          <cell r="G1606">
            <v>29704974</v>
          </cell>
          <cell r="H1606">
            <v>2857784</v>
          </cell>
          <cell r="I1606">
            <v>2750000</v>
          </cell>
        </row>
        <row r="1607">
          <cell r="A1607" t="str">
            <v>3100|475006</v>
          </cell>
          <cell r="B1607" t="str">
            <v>3100</v>
          </cell>
          <cell r="C1607">
            <v>475006</v>
          </cell>
          <cell r="D1607">
            <v>41244</v>
          </cell>
          <cell r="E1607">
            <v>0</v>
          </cell>
          <cell r="F1607">
            <v>0</v>
          </cell>
          <cell r="G1607">
            <v>15682013</v>
          </cell>
          <cell r="H1607">
            <v>0</v>
          </cell>
          <cell r="I1607">
            <v>664063</v>
          </cell>
        </row>
        <row r="1608">
          <cell r="A1608" t="str">
            <v>3100|476000</v>
          </cell>
          <cell r="B1608" t="str">
            <v>3100</v>
          </cell>
          <cell r="C1608">
            <v>476000</v>
          </cell>
          <cell r="D1608">
            <v>41244</v>
          </cell>
          <cell r="E1608">
            <v>9188584</v>
          </cell>
          <cell r="F1608">
            <v>9188584</v>
          </cell>
          <cell r="G1608">
            <v>1187660</v>
          </cell>
          <cell r="H1608">
            <v>765715</v>
          </cell>
          <cell r="I1608">
            <v>55800</v>
          </cell>
        </row>
        <row r="1609">
          <cell r="A1609" t="str">
            <v>3100|476001</v>
          </cell>
          <cell r="B1609" t="str">
            <v>3100</v>
          </cell>
          <cell r="C1609">
            <v>476001</v>
          </cell>
          <cell r="D1609">
            <v>41244</v>
          </cell>
          <cell r="E1609">
            <v>7782522</v>
          </cell>
          <cell r="F1609">
            <v>7782522</v>
          </cell>
          <cell r="G1609">
            <v>-30101888</v>
          </cell>
          <cell r="H1609">
            <v>648543</v>
          </cell>
          <cell r="I1609">
            <v>-32266838</v>
          </cell>
        </row>
        <row r="1610">
          <cell r="A1610" t="str">
            <v>3100|476002</v>
          </cell>
          <cell r="B1610" t="str">
            <v>3100</v>
          </cell>
          <cell r="C1610">
            <v>476002</v>
          </cell>
          <cell r="D1610">
            <v>41244</v>
          </cell>
          <cell r="E1610">
            <v>8697199</v>
          </cell>
          <cell r="F1610">
            <v>8697199</v>
          </cell>
          <cell r="G1610">
            <v>2008454</v>
          </cell>
          <cell r="H1610">
            <v>724767</v>
          </cell>
          <cell r="I1610">
            <v>0</v>
          </cell>
        </row>
        <row r="1611">
          <cell r="A1611" t="str">
            <v>3100|476204</v>
          </cell>
          <cell r="B1611" t="str">
            <v>3100</v>
          </cell>
          <cell r="C1611">
            <v>476204</v>
          </cell>
          <cell r="D1611">
            <v>41244</v>
          </cell>
          <cell r="E1611">
            <v>410560</v>
          </cell>
          <cell r="F1611">
            <v>410560</v>
          </cell>
          <cell r="G1611">
            <v>0</v>
          </cell>
          <cell r="H1611">
            <v>34213</v>
          </cell>
          <cell r="I1611">
            <v>0</v>
          </cell>
        </row>
        <row r="1612">
          <cell r="A1612" t="str">
            <v>3100|476220</v>
          </cell>
          <cell r="B1612" t="str">
            <v>3100</v>
          </cell>
          <cell r="C1612">
            <v>476220</v>
          </cell>
          <cell r="D1612">
            <v>41244</v>
          </cell>
          <cell r="E1612">
            <v>35214368</v>
          </cell>
          <cell r="F1612">
            <v>35214368</v>
          </cell>
          <cell r="G1612">
            <v>79229588</v>
          </cell>
          <cell r="H1612">
            <v>2934531</v>
          </cell>
          <cell r="I1612">
            <v>7193108</v>
          </cell>
        </row>
        <row r="1613">
          <cell r="A1613" t="str">
            <v>3100|476900</v>
          </cell>
          <cell r="B1613" t="str">
            <v>3100</v>
          </cell>
          <cell r="C1613">
            <v>476900</v>
          </cell>
          <cell r="D1613">
            <v>41244</v>
          </cell>
          <cell r="E1613">
            <v>23500000</v>
          </cell>
          <cell r="F1613">
            <v>23500000</v>
          </cell>
          <cell r="G1613">
            <v>23202611</v>
          </cell>
          <cell r="H1613">
            <v>1958333</v>
          </cell>
          <cell r="I1613">
            <v>2496660</v>
          </cell>
        </row>
        <row r="1614">
          <cell r="A1614" t="str">
            <v>3100|476910</v>
          </cell>
          <cell r="B1614" t="str">
            <v>3100</v>
          </cell>
          <cell r="C1614">
            <v>476910</v>
          </cell>
          <cell r="D1614">
            <v>41244</v>
          </cell>
          <cell r="E1614">
            <v>27514308</v>
          </cell>
          <cell r="F1614">
            <v>27514308</v>
          </cell>
          <cell r="G1614">
            <v>0</v>
          </cell>
          <cell r="H1614">
            <v>2292859</v>
          </cell>
          <cell r="I1614">
            <v>0</v>
          </cell>
        </row>
        <row r="1615">
          <cell r="A1615" t="str">
            <v>3100|477100</v>
          </cell>
          <cell r="B1615" t="str">
            <v>3100</v>
          </cell>
          <cell r="C1615">
            <v>477100</v>
          </cell>
          <cell r="D1615">
            <v>41244</v>
          </cell>
          <cell r="E1615">
            <v>0</v>
          </cell>
          <cell r="F1615">
            <v>0</v>
          </cell>
          <cell r="G1615">
            <v>2229395</v>
          </cell>
          <cell r="H1615">
            <v>0</v>
          </cell>
          <cell r="I1615">
            <v>0</v>
          </cell>
        </row>
        <row r="1616">
          <cell r="A1616" t="str">
            <v>3100|477310</v>
          </cell>
          <cell r="B1616" t="str">
            <v>3100</v>
          </cell>
          <cell r="C1616">
            <v>477310</v>
          </cell>
          <cell r="D1616">
            <v>41244</v>
          </cell>
          <cell r="E1616">
            <v>0</v>
          </cell>
          <cell r="F1616">
            <v>0</v>
          </cell>
          <cell r="G1616">
            <v>137000</v>
          </cell>
          <cell r="H1616">
            <v>0</v>
          </cell>
          <cell r="I1616">
            <v>0</v>
          </cell>
        </row>
        <row r="1617">
          <cell r="A1617" t="str">
            <v>3100|477450</v>
          </cell>
          <cell r="B1617" t="str">
            <v>3100</v>
          </cell>
          <cell r="C1617">
            <v>477450</v>
          </cell>
          <cell r="D1617">
            <v>41244</v>
          </cell>
          <cell r="E1617">
            <v>4333700</v>
          </cell>
          <cell r="F1617">
            <v>4333700</v>
          </cell>
          <cell r="G1617">
            <v>0</v>
          </cell>
          <cell r="H1617">
            <v>361142</v>
          </cell>
          <cell r="I1617">
            <v>0</v>
          </cell>
        </row>
        <row r="1618">
          <cell r="A1618" t="str">
            <v>3130|211100</v>
          </cell>
          <cell r="B1618" t="str">
            <v>3130</v>
          </cell>
          <cell r="C1618">
            <v>211100</v>
          </cell>
          <cell r="D1618">
            <v>41244</v>
          </cell>
          <cell r="E1618">
            <v>685757</v>
          </cell>
          <cell r="F1618">
            <v>685757</v>
          </cell>
          <cell r="G1618">
            <v>1175727</v>
          </cell>
          <cell r="H1618">
            <v>57146</v>
          </cell>
          <cell r="I1618">
            <v>81685</v>
          </cell>
        </row>
        <row r="1619">
          <cell r="A1619" t="str">
            <v>3130|420003</v>
          </cell>
          <cell r="B1619" t="str">
            <v>3130</v>
          </cell>
          <cell r="C1619">
            <v>420003</v>
          </cell>
          <cell r="D1619">
            <v>41244</v>
          </cell>
          <cell r="E1619">
            <v>360752357</v>
          </cell>
          <cell r="F1619">
            <v>360752357</v>
          </cell>
          <cell r="G1619">
            <v>355421921</v>
          </cell>
          <cell r="H1619">
            <v>30062696</v>
          </cell>
          <cell r="I1619">
            <v>29805959</v>
          </cell>
        </row>
        <row r="1620">
          <cell r="A1620" t="str">
            <v>3130|422003</v>
          </cell>
          <cell r="B1620" t="str">
            <v>3130</v>
          </cell>
          <cell r="C1620">
            <v>422003</v>
          </cell>
          <cell r="D1620">
            <v>41244</v>
          </cell>
          <cell r="E1620">
            <v>1161653</v>
          </cell>
          <cell r="F1620">
            <v>1161653</v>
          </cell>
          <cell r="G1620">
            <v>898050</v>
          </cell>
          <cell r="H1620">
            <v>96804</v>
          </cell>
          <cell r="I1620">
            <v>0</v>
          </cell>
        </row>
        <row r="1621">
          <cell r="A1621" t="str">
            <v>3130|431002</v>
          </cell>
          <cell r="B1621" t="str">
            <v>3130</v>
          </cell>
          <cell r="C1621">
            <v>431002</v>
          </cell>
          <cell r="D1621">
            <v>41244</v>
          </cell>
          <cell r="E1621">
            <v>779746</v>
          </cell>
          <cell r="F1621">
            <v>779746</v>
          </cell>
          <cell r="G1621">
            <v>1502189</v>
          </cell>
          <cell r="H1621">
            <v>64979</v>
          </cell>
          <cell r="I1621">
            <v>0</v>
          </cell>
        </row>
        <row r="1622">
          <cell r="A1622" t="str">
            <v>3130|434013</v>
          </cell>
          <cell r="B1622" t="str">
            <v>3130</v>
          </cell>
          <cell r="C1622">
            <v>434013</v>
          </cell>
          <cell r="D1622">
            <v>41244</v>
          </cell>
          <cell r="E1622">
            <v>0</v>
          </cell>
          <cell r="F1622">
            <v>0</v>
          </cell>
          <cell r="G1622">
            <v>8489777</v>
          </cell>
          <cell r="H1622">
            <v>0</v>
          </cell>
          <cell r="I1622">
            <v>2733193</v>
          </cell>
        </row>
        <row r="1623">
          <cell r="A1623" t="str">
            <v>3130|435003</v>
          </cell>
          <cell r="B1623" t="str">
            <v>3130</v>
          </cell>
          <cell r="C1623">
            <v>435003</v>
          </cell>
          <cell r="D1623">
            <v>41244</v>
          </cell>
          <cell r="E1623">
            <v>45094045</v>
          </cell>
          <cell r="F1623">
            <v>45094045</v>
          </cell>
          <cell r="G1623">
            <v>42985742</v>
          </cell>
          <cell r="H1623">
            <v>3757837</v>
          </cell>
          <cell r="I1623">
            <v>0</v>
          </cell>
        </row>
        <row r="1624">
          <cell r="A1624" t="str">
            <v>3130|439003</v>
          </cell>
          <cell r="B1624" t="str">
            <v>3130</v>
          </cell>
          <cell r="C1624">
            <v>439003</v>
          </cell>
          <cell r="D1624">
            <v>41244</v>
          </cell>
          <cell r="E1624">
            <v>88111268</v>
          </cell>
          <cell r="F1624">
            <v>88111268</v>
          </cell>
          <cell r="G1624">
            <v>134456622</v>
          </cell>
          <cell r="H1624">
            <v>7342606</v>
          </cell>
          <cell r="I1624">
            <v>16593200</v>
          </cell>
        </row>
        <row r="1625">
          <cell r="A1625" t="str">
            <v>3130|439203</v>
          </cell>
          <cell r="B1625" t="str">
            <v>3130</v>
          </cell>
          <cell r="C1625">
            <v>439203</v>
          </cell>
          <cell r="D1625">
            <v>41244</v>
          </cell>
          <cell r="E1625">
            <v>12000000</v>
          </cell>
          <cell r="F1625">
            <v>12000000</v>
          </cell>
          <cell r="G1625">
            <v>9900000</v>
          </cell>
          <cell r="H1625">
            <v>1000000</v>
          </cell>
          <cell r="I1625">
            <v>1000000</v>
          </cell>
        </row>
        <row r="1626">
          <cell r="A1626" t="str">
            <v>3130|440003</v>
          </cell>
          <cell r="B1626" t="str">
            <v>3130</v>
          </cell>
          <cell r="C1626">
            <v>440003</v>
          </cell>
          <cell r="D1626">
            <v>41244</v>
          </cell>
          <cell r="E1626">
            <v>35464799</v>
          </cell>
          <cell r="F1626">
            <v>35464799</v>
          </cell>
          <cell r="G1626">
            <v>30971740</v>
          </cell>
          <cell r="H1626">
            <v>2955400</v>
          </cell>
          <cell r="I1626">
            <v>2753775</v>
          </cell>
        </row>
        <row r="1627">
          <cell r="A1627" t="str">
            <v>3130|447003</v>
          </cell>
          <cell r="B1627" t="str">
            <v>3130</v>
          </cell>
          <cell r="C1627">
            <v>447003</v>
          </cell>
          <cell r="D1627">
            <v>41244</v>
          </cell>
          <cell r="E1627">
            <v>2864602</v>
          </cell>
          <cell r="F1627">
            <v>2864602</v>
          </cell>
          <cell r="G1627">
            <v>3239166</v>
          </cell>
          <cell r="H1627">
            <v>238717</v>
          </cell>
          <cell r="I1627">
            <v>272326</v>
          </cell>
        </row>
        <row r="1628">
          <cell r="A1628" t="str">
            <v>3130|447013</v>
          </cell>
          <cell r="B1628" t="str">
            <v>3130</v>
          </cell>
          <cell r="C1628">
            <v>447013</v>
          </cell>
          <cell r="D1628">
            <v>41244</v>
          </cell>
          <cell r="E1628">
            <v>6750974</v>
          </cell>
          <cell r="F1628">
            <v>6750974</v>
          </cell>
          <cell r="G1628">
            <v>13270164</v>
          </cell>
          <cell r="H1628">
            <v>562581</v>
          </cell>
          <cell r="I1628">
            <v>1115661</v>
          </cell>
        </row>
        <row r="1629">
          <cell r="A1629" t="str">
            <v>3130|447023</v>
          </cell>
          <cell r="B1629" t="str">
            <v>3130</v>
          </cell>
          <cell r="C1629">
            <v>447023</v>
          </cell>
          <cell r="D1629">
            <v>41244</v>
          </cell>
          <cell r="E1629">
            <v>286460</v>
          </cell>
          <cell r="F1629">
            <v>286460</v>
          </cell>
          <cell r="G1629">
            <v>571651</v>
          </cell>
          <cell r="H1629">
            <v>23872</v>
          </cell>
          <cell r="I1629">
            <v>48000</v>
          </cell>
        </row>
        <row r="1630">
          <cell r="A1630" t="str">
            <v>3130|448003</v>
          </cell>
          <cell r="B1630" t="str">
            <v>3130</v>
          </cell>
          <cell r="C1630">
            <v>448003</v>
          </cell>
          <cell r="D1630">
            <v>41244</v>
          </cell>
          <cell r="E1630">
            <v>34992284</v>
          </cell>
          <cell r="F1630">
            <v>34992284</v>
          </cell>
          <cell r="G1630">
            <v>13310434</v>
          </cell>
          <cell r="H1630">
            <v>2916024</v>
          </cell>
          <cell r="I1630">
            <v>0</v>
          </cell>
        </row>
        <row r="1631">
          <cell r="A1631" t="str">
            <v>3130|449023</v>
          </cell>
          <cell r="B1631" t="str">
            <v>3130</v>
          </cell>
          <cell r="C1631">
            <v>449023</v>
          </cell>
          <cell r="D1631">
            <v>41244</v>
          </cell>
          <cell r="E1631">
            <v>37410000</v>
          </cell>
          <cell r="F1631">
            <v>37410000</v>
          </cell>
          <cell r="G1631">
            <v>35104388</v>
          </cell>
          <cell r="H1631">
            <v>3117500</v>
          </cell>
          <cell r="I1631">
            <v>2946600</v>
          </cell>
        </row>
        <row r="1632">
          <cell r="A1632" t="str">
            <v>3130|449032</v>
          </cell>
          <cell r="B1632" t="str">
            <v>3130</v>
          </cell>
          <cell r="C1632">
            <v>449032</v>
          </cell>
          <cell r="D1632">
            <v>41244</v>
          </cell>
          <cell r="E1632">
            <v>853847</v>
          </cell>
          <cell r="F1632">
            <v>853847</v>
          </cell>
          <cell r="G1632">
            <v>800000</v>
          </cell>
          <cell r="H1632">
            <v>71154</v>
          </cell>
          <cell r="I1632">
            <v>0</v>
          </cell>
        </row>
        <row r="1633">
          <cell r="A1633" t="str">
            <v>3130|449050</v>
          </cell>
          <cell r="B1633" t="str">
            <v>3130</v>
          </cell>
          <cell r="C1633">
            <v>449050</v>
          </cell>
          <cell r="D1633">
            <v>41244</v>
          </cell>
          <cell r="E1633">
            <v>0</v>
          </cell>
          <cell r="F1633">
            <v>0</v>
          </cell>
          <cell r="G1633">
            <v>29600004</v>
          </cell>
          <cell r="H1633">
            <v>0</v>
          </cell>
          <cell r="I1633">
            <v>2466667</v>
          </cell>
        </row>
        <row r="1634">
          <cell r="A1634" t="str">
            <v>3130|449061</v>
          </cell>
          <cell r="B1634" t="str">
            <v>3130</v>
          </cell>
          <cell r="C1634">
            <v>449061</v>
          </cell>
          <cell r="D1634">
            <v>41244</v>
          </cell>
          <cell r="E1634">
            <v>18610000</v>
          </cell>
          <cell r="F1634">
            <v>18610000</v>
          </cell>
          <cell r="G1634">
            <v>11746500</v>
          </cell>
          <cell r="H1634">
            <v>1550833</v>
          </cell>
          <cell r="I1634">
            <v>1472000</v>
          </cell>
        </row>
        <row r="1635">
          <cell r="A1635" t="str">
            <v>3130|472000</v>
          </cell>
          <cell r="B1635" t="str">
            <v>3130</v>
          </cell>
          <cell r="C1635">
            <v>472000</v>
          </cell>
          <cell r="D1635">
            <v>41244</v>
          </cell>
          <cell r="E1635">
            <v>0</v>
          </cell>
          <cell r="F1635">
            <v>0</v>
          </cell>
          <cell r="G1635">
            <v>125297</v>
          </cell>
          <cell r="H1635">
            <v>0</v>
          </cell>
          <cell r="I1635">
            <v>0</v>
          </cell>
        </row>
        <row r="1636">
          <cell r="A1636" t="str">
            <v>3130|473000</v>
          </cell>
          <cell r="B1636" t="str">
            <v>3130</v>
          </cell>
          <cell r="C1636">
            <v>473000</v>
          </cell>
          <cell r="D1636">
            <v>41244</v>
          </cell>
          <cell r="E1636">
            <v>1500000</v>
          </cell>
          <cell r="F1636">
            <v>1500000</v>
          </cell>
          <cell r="G1636">
            <v>1500000</v>
          </cell>
          <cell r="H1636">
            <v>125000</v>
          </cell>
          <cell r="I1636">
            <v>0</v>
          </cell>
        </row>
        <row r="1637">
          <cell r="A1637" t="str">
            <v>3130|473120</v>
          </cell>
          <cell r="B1637" t="str">
            <v>3130</v>
          </cell>
          <cell r="C1637">
            <v>473120</v>
          </cell>
          <cell r="D1637">
            <v>41244</v>
          </cell>
          <cell r="E1637">
            <v>6319169</v>
          </cell>
          <cell r="F1637">
            <v>6319169</v>
          </cell>
          <cell r="G1637">
            <v>7191248</v>
          </cell>
          <cell r="H1637">
            <v>526597</v>
          </cell>
          <cell r="I1637">
            <v>1554027</v>
          </cell>
        </row>
        <row r="1638">
          <cell r="A1638" t="str">
            <v>3130|474101</v>
          </cell>
          <cell r="B1638" t="str">
            <v>3130</v>
          </cell>
          <cell r="C1638">
            <v>474101</v>
          </cell>
          <cell r="D1638">
            <v>41244</v>
          </cell>
          <cell r="E1638">
            <v>16777651</v>
          </cell>
          <cell r="F1638">
            <v>16777651</v>
          </cell>
          <cell r="G1638">
            <v>9103374</v>
          </cell>
          <cell r="H1638">
            <v>1398137</v>
          </cell>
          <cell r="I1638">
            <v>0</v>
          </cell>
        </row>
        <row r="1639">
          <cell r="A1639" t="str">
            <v>3130|475003</v>
          </cell>
          <cell r="B1639" t="str">
            <v>3130</v>
          </cell>
          <cell r="C1639">
            <v>475003</v>
          </cell>
          <cell r="D1639">
            <v>41244</v>
          </cell>
          <cell r="E1639">
            <v>3410000</v>
          </cell>
          <cell r="F1639">
            <v>3410000</v>
          </cell>
          <cell r="G1639">
            <v>2285180</v>
          </cell>
          <cell r="H1639">
            <v>284167</v>
          </cell>
          <cell r="I1639">
            <v>0</v>
          </cell>
        </row>
        <row r="1640">
          <cell r="A1640" t="str">
            <v>3130|475006</v>
          </cell>
          <cell r="B1640" t="str">
            <v>3130</v>
          </cell>
          <cell r="C1640">
            <v>475006</v>
          </cell>
          <cell r="D1640">
            <v>41244</v>
          </cell>
          <cell r="E1640">
            <v>2051325</v>
          </cell>
          <cell r="F1640">
            <v>2051325</v>
          </cell>
          <cell r="G1640">
            <v>2518128</v>
          </cell>
          <cell r="H1640">
            <v>170944</v>
          </cell>
          <cell r="I1640">
            <v>209844</v>
          </cell>
        </row>
        <row r="1641">
          <cell r="A1641" t="str">
            <v>3130|476001</v>
          </cell>
          <cell r="B1641" t="str">
            <v>3130</v>
          </cell>
          <cell r="C1641">
            <v>476001</v>
          </cell>
          <cell r="D1641">
            <v>41244</v>
          </cell>
          <cell r="E1641">
            <v>758700</v>
          </cell>
          <cell r="F1641">
            <v>758700</v>
          </cell>
          <cell r="G1641">
            <v>583500</v>
          </cell>
          <cell r="H1641">
            <v>63225</v>
          </cell>
          <cell r="I1641">
            <v>0</v>
          </cell>
        </row>
        <row r="1642">
          <cell r="A1642" t="str">
            <v>3200|211100</v>
          </cell>
          <cell r="B1642" t="str">
            <v>3200</v>
          </cell>
          <cell r="C1642">
            <v>211100</v>
          </cell>
          <cell r="D1642">
            <v>41244</v>
          </cell>
          <cell r="E1642">
            <v>55230844</v>
          </cell>
          <cell r="F1642">
            <v>55230844</v>
          </cell>
          <cell r="G1642">
            <v>209176182</v>
          </cell>
          <cell r="H1642">
            <v>4602570</v>
          </cell>
          <cell r="I1642">
            <v>17267761</v>
          </cell>
        </row>
        <row r="1643">
          <cell r="A1643" t="str">
            <v>3200|246006</v>
          </cell>
          <cell r="B1643" t="str">
            <v>3200</v>
          </cell>
          <cell r="C1643">
            <v>246006</v>
          </cell>
          <cell r="D1643">
            <v>41244</v>
          </cell>
          <cell r="E1643">
            <v>21747260</v>
          </cell>
          <cell r="F1643">
            <v>21747260</v>
          </cell>
          <cell r="G1643">
            <v>0</v>
          </cell>
          <cell r="H1643">
            <v>1812272</v>
          </cell>
          <cell r="I1643">
            <v>0</v>
          </cell>
        </row>
        <row r="1644">
          <cell r="A1644" t="str">
            <v>3200|400040</v>
          </cell>
          <cell r="B1644" t="str">
            <v>3200</v>
          </cell>
          <cell r="C1644">
            <v>400040</v>
          </cell>
          <cell r="D1644">
            <v>41244</v>
          </cell>
          <cell r="E1644">
            <v>420877000</v>
          </cell>
          <cell r="F1644">
            <v>420877000</v>
          </cell>
          <cell r="G1644">
            <v>144231878</v>
          </cell>
          <cell r="H1644">
            <v>35073083</v>
          </cell>
          <cell r="I1644">
            <v>263552</v>
          </cell>
        </row>
        <row r="1645">
          <cell r="A1645" t="str">
            <v>3200|405200</v>
          </cell>
          <cell r="B1645" t="str">
            <v>3200</v>
          </cell>
          <cell r="C1645">
            <v>405200</v>
          </cell>
          <cell r="D1645">
            <v>41244</v>
          </cell>
          <cell r="E1645">
            <v>88867000</v>
          </cell>
          <cell r="F1645">
            <v>88867000</v>
          </cell>
          <cell r="G1645">
            <v>167875591</v>
          </cell>
          <cell r="H1645">
            <v>7405583</v>
          </cell>
          <cell r="I1645">
            <v>36164692</v>
          </cell>
        </row>
        <row r="1646">
          <cell r="A1646" t="str">
            <v>3200|405251</v>
          </cell>
          <cell r="B1646" t="str">
            <v>3200</v>
          </cell>
          <cell r="C1646">
            <v>405251</v>
          </cell>
          <cell r="D1646">
            <v>41244</v>
          </cell>
          <cell r="E1646">
            <v>0</v>
          </cell>
          <cell r="F1646">
            <v>0</v>
          </cell>
          <cell r="G1646">
            <v>11705643</v>
          </cell>
          <cell r="H1646">
            <v>0</v>
          </cell>
          <cell r="I1646">
            <v>0</v>
          </cell>
        </row>
        <row r="1647">
          <cell r="A1647" t="str">
            <v>3200|420002</v>
          </cell>
          <cell r="B1647" t="str">
            <v>3200</v>
          </cell>
          <cell r="C1647">
            <v>420002</v>
          </cell>
          <cell r="D1647">
            <v>41244</v>
          </cell>
          <cell r="E1647">
            <v>285215390</v>
          </cell>
          <cell r="F1647">
            <v>285215390</v>
          </cell>
          <cell r="G1647">
            <v>128682000</v>
          </cell>
          <cell r="H1647">
            <v>23767949</v>
          </cell>
          <cell r="I1647">
            <v>10819000</v>
          </cell>
        </row>
        <row r="1648">
          <cell r="A1648" t="str">
            <v>3200|420003</v>
          </cell>
          <cell r="B1648" t="str">
            <v>3200</v>
          </cell>
          <cell r="C1648">
            <v>420003</v>
          </cell>
          <cell r="D1648">
            <v>41244</v>
          </cell>
          <cell r="E1648">
            <v>630847943</v>
          </cell>
          <cell r="F1648">
            <v>630847943</v>
          </cell>
          <cell r="G1648">
            <v>1017704688</v>
          </cell>
          <cell r="H1648">
            <v>52570662</v>
          </cell>
          <cell r="I1648">
            <v>73545577</v>
          </cell>
        </row>
        <row r="1649">
          <cell r="A1649" t="str">
            <v>3200|422002</v>
          </cell>
          <cell r="B1649" t="str">
            <v>3200</v>
          </cell>
          <cell r="C1649">
            <v>422002</v>
          </cell>
          <cell r="D1649">
            <v>41244</v>
          </cell>
          <cell r="E1649">
            <v>551988</v>
          </cell>
          <cell r="F1649">
            <v>551988</v>
          </cell>
          <cell r="G1649">
            <v>0</v>
          </cell>
          <cell r="H1649">
            <v>45999</v>
          </cell>
          <cell r="I1649">
            <v>0</v>
          </cell>
        </row>
        <row r="1650">
          <cell r="A1650" t="str">
            <v>3200|422003</v>
          </cell>
          <cell r="B1650" t="str">
            <v>3200</v>
          </cell>
          <cell r="C1650">
            <v>422003</v>
          </cell>
          <cell r="D1650">
            <v>41244</v>
          </cell>
          <cell r="E1650">
            <v>306234</v>
          </cell>
          <cell r="F1650">
            <v>306234</v>
          </cell>
          <cell r="G1650">
            <v>75796161</v>
          </cell>
          <cell r="H1650">
            <v>25519</v>
          </cell>
          <cell r="I1650">
            <v>75609111</v>
          </cell>
        </row>
        <row r="1651">
          <cell r="A1651" t="str">
            <v>3200|431000</v>
          </cell>
          <cell r="B1651" t="str">
            <v>3200</v>
          </cell>
          <cell r="C1651">
            <v>431000</v>
          </cell>
          <cell r="D1651">
            <v>41244</v>
          </cell>
          <cell r="E1651">
            <v>6520000</v>
          </cell>
          <cell r="F1651">
            <v>6520000</v>
          </cell>
          <cell r="G1651">
            <v>19377945</v>
          </cell>
          <cell r="H1651">
            <v>543333</v>
          </cell>
          <cell r="I1651">
            <v>0</v>
          </cell>
        </row>
        <row r="1652">
          <cell r="A1652" t="str">
            <v>3200|431001</v>
          </cell>
          <cell r="B1652" t="str">
            <v>3200</v>
          </cell>
          <cell r="C1652">
            <v>431001</v>
          </cell>
          <cell r="D1652">
            <v>41244</v>
          </cell>
          <cell r="E1652">
            <v>0</v>
          </cell>
          <cell r="F1652">
            <v>0</v>
          </cell>
          <cell r="G1652">
            <v>14439743</v>
          </cell>
          <cell r="H1652">
            <v>0</v>
          </cell>
          <cell r="I1652">
            <v>0</v>
          </cell>
        </row>
        <row r="1653">
          <cell r="A1653" t="str">
            <v>3200|431002</v>
          </cell>
          <cell r="B1653" t="str">
            <v>3200</v>
          </cell>
          <cell r="C1653">
            <v>431002</v>
          </cell>
          <cell r="D1653">
            <v>41244</v>
          </cell>
          <cell r="E1653">
            <v>31249905</v>
          </cell>
          <cell r="F1653">
            <v>31249905</v>
          </cell>
          <cell r="G1653">
            <v>27311989</v>
          </cell>
          <cell r="H1653">
            <v>2604159</v>
          </cell>
          <cell r="I1653">
            <v>0</v>
          </cell>
        </row>
        <row r="1654">
          <cell r="A1654" t="str">
            <v>3200|433002</v>
          </cell>
          <cell r="B1654" t="str">
            <v>3200</v>
          </cell>
          <cell r="C1654">
            <v>433002</v>
          </cell>
          <cell r="D1654">
            <v>41244</v>
          </cell>
          <cell r="E1654">
            <v>873864</v>
          </cell>
          <cell r="F1654">
            <v>873864</v>
          </cell>
          <cell r="G1654">
            <v>0</v>
          </cell>
          <cell r="H1654">
            <v>72822</v>
          </cell>
          <cell r="I1654">
            <v>0</v>
          </cell>
        </row>
        <row r="1655">
          <cell r="A1655" t="str">
            <v>3200|434012</v>
          </cell>
          <cell r="B1655" t="str">
            <v>3200</v>
          </cell>
          <cell r="C1655">
            <v>434012</v>
          </cell>
          <cell r="D1655">
            <v>41244</v>
          </cell>
          <cell r="E1655">
            <v>5118750</v>
          </cell>
          <cell r="F1655">
            <v>5118750</v>
          </cell>
          <cell r="G1655">
            <v>11297904</v>
          </cell>
          <cell r="H1655">
            <v>426562</v>
          </cell>
          <cell r="I1655">
            <v>1964291</v>
          </cell>
        </row>
        <row r="1656">
          <cell r="A1656" t="str">
            <v>3200|434013</v>
          </cell>
          <cell r="B1656" t="str">
            <v>3200</v>
          </cell>
          <cell r="C1656">
            <v>434013</v>
          </cell>
          <cell r="D1656">
            <v>41244</v>
          </cell>
          <cell r="E1656">
            <v>0</v>
          </cell>
          <cell r="F1656">
            <v>0</v>
          </cell>
          <cell r="G1656">
            <v>21224439</v>
          </cell>
          <cell r="H1656">
            <v>0</v>
          </cell>
          <cell r="I1656">
            <v>6832981</v>
          </cell>
        </row>
        <row r="1657">
          <cell r="A1657" t="str">
            <v>3200|435002</v>
          </cell>
          <cell r="B1657" t="str">
            <v>3200</v>
          </cell>
          <cell r="C1657">
            <v>435002</v>
          </cell>
          <cell r="D1657">
            <v>41244</v>
          </cell>
          <cell r="E1657">
            <v>23767949</v>
          </cell>
          <cell r="F1657">
            <v>23767949</v>
          </cell>
          <cell r="G1657">
            <v>10819000</v>
          </cell>
          <cell r="H1657">
            <v>1980662</v>
          </cell>
          <cell r="I1657">
            <v>10819000</v>
          </cell>
        </row>
        <row r="1658">
          <cell r="A1658" t="str">
            <v>3200|435003</v>
          </cell>
          <cell r="B1658" t="str">
            <v>3200</v>
          </cell>
          <cell r="C1658">
            <v>435003</v>
          </cell>
          <cell r="D1658">
            <v>41244</v>
          </cell>
          <cell r="E1658">
            <v>78855993</v>
          </cell>
          <cell r="F1658">
            <v>78855993</v>
          </cell>
          <cell r="G1658">
            <v>91025304</v>
          </cell>
          <cell r="H1658">
            <v>6571333</v>
          </cell>
          <cell r="I1658">
            <v>0</v>
          </cell>
        </row>
        <row r="1659">
          <cell r="A1659" t="str">
            <v>3200|439003</v>
          </cell>
          <cell r="B1659" t="str">
            <v>3200</v>
          </cell>
          <cell r="C1659">
            <v>439003</v>
          </cell>
          <cell r="D1659">
            <v>41244</v>
          </cell>
          <cell r="E1659">
            <v>132166901</v>
          </cell>
          <cell r="F1659">
            <v>132166901</v>
          </cell>
          <cell r="G1659">
            <v>331865482</v>
          </cell>
          <cell r="H1659">
            <v>11013908</v>
          </cell>
          <cell r="I1659">
            <v>41482999</v>
          </cell>
        </row>
        <row r="1660">
          <cell r="A1660" t="str">
            <v>3200|439008</v>
          </cell>
          <cell r="B1660" t="str">
            <v>3200</v>
          </cell>
          <cell r="C1660">
            <v>439008</v>
          </cell>
          <cell r="D1660">
            <v>41244</v>
          </cell>
          <cell r="E1660">
            <v>65475620</v>
          </cell>
          <cell r="F1660">
            <v>65475620</v>
          </cell>
          <cell r="G1660">
            <v>44693241</v>
          </cell>
          <cell r="H1660">
            <v>5456302</v>
          </cell>
          <cell r="I1660">
            <v>0</v>
          </cell>
        </row>
        <row r="1661">
          <cell r="A1661" t="str">
            <v>3200|439202</v>
          </cell>
          <cell r="B1661" t="str">
            <v>3200</v>
          </cell>
          <cell r="C1661">
            <v>439202</v>
          </cell>
          <cell r="D1661">
            <v>41244</v>
          </cell>
          <cell r="E1661">
            <v>12000000</v>
          </cell>
          <cell r="F1661">
            <v>12000000</v>
          </cell>
          <cell r="G1661">
            <v>9550000</v>
          </cell>
          <cell r="H1661">
            <v>1000000</v>
          </cell>
          <cell r="I1661">
            <v>975000</v>
          </cell>
        </row>
        <row r="1662">
          <cell r="A1662" t="str">
            <v>3200|439203</v>
          </cell>
          <cell r="B1662" t="str">
            <v>3200</v>
          </cell>
          <cell r="C1662">
            <v>439203</v>
          </cell>
          <cell r="D1662">
            <v>41244</v>
          </cell>
          <cell r="E1662">
            <v>30000000</v>
          </cell>
          <cell r="F1662">
            <v>30000000</v>
          </cell>
          <cell r="G1662">
            <v>23732000</v>
          </cell>
          <cell r="H1662">
            <v>2500000</v>
          </cell>
          <cell r="I1662">
            <v>2550000</v>
          </cell>
        </row>
        <row r="1663">
          <cell r="A1663" t="str">
            <v>3200|440002</v>
          </cell>
          <cell r="B1663" t="str">
            <v>3200</v>
          </cell>
          <cell r="C1663">
            <v>440002</v>
          </cell>
          <cell r="D1663">
            <v>41244</v>
          </cell>
          <cell r="E1663">
            <v>23767949</v>
          </cell>
          <cell r="F1663">
            <v>23767949</v>
          </cell>
          <cell r="G1663">
            <v>11425748</v>
          </cell>
          <cell r="H1663">
            <v>1980662</v>
          </cell>
          <cell r="I1663">
            <v>1116969</v>
          </cell>
        </row>
        <row r="1664">
          <cell r="A1664" t="str">
            <v>3200|440003</v>
          </cell>
          <cell r="B1664" t="str">
            <v>3200</v>
          </cell>
          <cell r="C1664">
            <v>440003</v>
          </cell>
          <cell r="D1664">
            <v>41244</v>
          </cell>
          <cell r="E1664">
            <v>63374867</v>
          </cell>
          <cell r="F1664">
            <v>63374867</v>
          </cell>
          <cell r="G1664">
            <v>61217150</v>
          </cell>
          <cell r="H1664">
            <v>5281239</v>
          </cell>
          <cell r="I1664">
            <v>6794882</v>
          </cell>
        </row>
        <row r="1665">
          <cell r="A1665" t="str">
            <v>3200|446002</v>
          </cell>
          <cell r="B1665" t="str">
            <v>3200</v>
          </cell>
          <cell r="C1665">
            <v>446002</v>
          </cell>
          <cell r="D1665">
            <v>41244</v>
          </cell>
          <cell r="E1665">
            <v>18720875</v>
          </cell>
          <cell r="F1665">
            <v>18720875</v>
          </cell>
          <cell r="G1665">
            <v>3451801</v>
          </cell>
          <cell r="H1665">
            <v>1560073</v>
          </cell>
          <cell r="I1665">
            <v>300000</v>
          </cell>
        </row>
        <row r="1666">
          <cell r="A1666" t="str">
            <v>3200|447002</v>
          </cell>
          <cell r="B1666" t="str">
            <v>3200</v>
          </cell>
          <cell r="C1666">
            <v>447002</v>
          </cell>
          <cell r="D1666">
            <v>41244</v>
          </cell>
          <cell r="E1666">
            <v>8290607</v>
          </cell>
          <cell r="F1666">
            <v>8290607</v>
          </cell>
          <cell r="G1666">
            <v>1239558</v>
          </cell>
          <cell r="H1666">
            <v>690884</v>
          </cell>
          <cell r="I1666">
            <v>104216</v>
          </cell>
        </row>
        <row r="1667">
          <cell r="A1667" t="str">
            <v>3200|447003</v>
          </cell>
          <cell r="B1667" t="str">
            <v>3200</v>
          </cell>
          <cell r="C1667">
            <v>447003</v>
          </cell>
          <cell r="D1667">
            <v>41244</v>
          </cell>
          <cell r="E1667">
            <v>5286480</v>
          </cell>
          <cell r="F1667">
            <v>5286480</v>
          </cell>
          <cell r="G1667">
            <v>4328960</v>
          </cell>
          <cell r="H1667">
            <v>440540</v>
          </cell>
          <cell r="I1667">
            <v>365146</v>
          </cell>
        </row>
        <row r="1668">
          <cell r="A1668" t="str">
            <v>3200|447012</v>
          </cell>
          <cell r="B1668" t="str">
            <v>3200</v>
          </cell>
          <cell r="C1668">
            <v>447012</v>
          </cell>
          <cell r="D1668">
            <v>41244</v>
          </cell>
          <cell r="E1668">
            <v>19538372</v>
          </cell>
          <cell r="F1668">
            <v>19538372</v>
          </cell>
          <cell r="G1668">
            <v>4761240</v>
          </cell>
          <cell r="H1668">
            <v>1628198</v>
          </cell>
          <cell r="I1668">
            <v>400303</v>
          </cell>
        </row>
        <row r="1669">
          <cell r="A1669" t="str">
            <v>3200|447013</v>
          </cell>
          <cell r="B1669" t="str">
            <v>3200</v>
          </cell>
          <cell r="C1669">
            <v>447013</v>
          </cell>
          <cell r="D1669">
            <v>41244</v>
          </cell>
          <cell r="E1669">
            <v>12458583</v>
          </cell>
          <cell r="F1669">
            <v>12458583</v>
          </cell>
          <cell r="G1669">
            <v>29661322</v>
          </cell>
          <cell r="H1669">
            <v>1038215</v>
          </cell>
          <cell r="I1669">
            <v>2501922</v>
          </cell>
        </row>
        <row r="1670">
          <cell r="A1670" t="str">
            <v>3200|447022</v>
          </cell>
          <cell r="B1670" t="str">
            <v>3200</v>
          </cell>
          <cell r="C1670">
            <v>447022</v>
          </cell>
          <cell r="D1670">
            <v>41244</v>
          </cell>
          <cell r="E1670">
            <v>829061</v>
          </cell>
          <cell r="F1670">
            <v>829061</v>
          </cell>
          <cell r="G1670">
            <v>190036</v>
          </cell>
          <cell r="H1670">
            <v>69088</v>
          </cell>
          <cell r="I1670">
            <v>17250</v>
          </cell>
        </row>
        <row r="1671">
          <cell r="A1671" t="str">
            <v>3200|447023</v>
          </cell>
          <cell r="B1671" t="str">
            <v>3200</v>
          </cell>
          <cell r="C1671">
            <v>447023</v>
          </cell>
          <cell r="D1671">
            <v>41244</v>
          </cell>
          <cell r="E1671">
            <v>528648</v>
          </cell>
          <cell r="F1671">
            <v>528648</v>
          </cell>
          <cell r="G1671">
            <v>965829</v>
          </cell>
          <cell r="H1671">
            <v>44054</v>
          </cell>
          <cell r="I1671">
            <v>61700</v>
          </cell>
        </row>
        <row r="1672">
          <cell r="A1672" t="str">
            <v>3200|448002</v>
          </cell>
          <cell r="B1672" t="str">
            <v>3200</v>
          </cell>
          <cell r="C1672">
            <v>448002</v>
          </cell>
          <cell r="D1672">
            <v>41244</v>
          </cell>
          <cell r="E1672">
            <v>49257667</v>
          </cell>
          <cell r="F1672">
            <v>49257667</v>
          </cell>
          <cell r="G1672">
            <v>5557500</v>
          </cell>
          <cell r="H1672">
            <v>4104806</v>
          </cell>
          <cell r="I1672">
            <v>2296800</v>
          </cell>
        </row>
        <row r="1673">
          <cell r="A1673" t="str">
            <v>3200|448003</v>
          </cell>
          <cell r="B1673" t="str">
            <v>3200</v>
          </cell>
          <cell r="C1673">
            <v>448003</v>
          </cell>
          <cell r="D1673">
            <v>41244</v>
          </cell>
          <cell r="E1673">
            <v>57779285</v>
          </cell>
          <cell r="F1673">
            <v>57779285</v>
          </cell>
          <cell r="G1673">
            <v>61294325</v>
          </cell>
          <cell r="H1673">
            <v>4814940</v>
          </cell>
          <cell r="I1673">
            <v>7380500</v>
          </cell>
        </row>
        <row r="1674">
          <cell r="A1674" t="str">
            <v>3200|449022</v>
          </cell>
          <cell r="B1674" t="str">
            <v>3200</v>
          </cell>
          <cell r="C1674">
            <v>449022</v>
          </cell>
          <cell r="D1674">
            <v>41244</v>
          </cell>
          <cell r="E1674">
            <v>15840000</v>
          </cell>
          <cell r="F1674">
            <v>15840000</v>
          </cell>
          <cell r="G1674">
            <v>7531000</v>
          </cell>
          <cell r="H1674">
            <v>1320000</v>
          </cell>
          <cell r="I1674">
            <v>663000</v>
          </cell>
        </row>
        <row r="1675">
          <cell r="A1675" t="str">
            <v>3200|449023</v>
          </cell>
          <cell r="B1675" t="str">
            <v>3200</v>
          </cell>
          <cell r="C1675">
            <v>449023</v>
          </cell>
          <cell r="D1675">
            <v>41244</v>
          </cell>
          <cell r="E1675">
            <v>7920000</v>
          </cell>
          <cell r="F1675">
            <v>7920000</v>
          </cell>
          <cell r="G1675">
            <v>15959000</v>
          </cell>
          <cell r="H1675">
            <v>660000</v>
          </cell>
          <cell r="I1675">
            <v>1597000</v>
          </cell>
        </row>
        <row r="1676">
          <cell r="A1676" t="str">
            <v>3200|449032</v>
          </cell>
          <cell r="B1676" t="str">
            <v>3200</v>
          </cell>
          <cell r="C1676">
            <v>449032</v>
          </cell>
          <cell r="D1676">
            <v>41244</v>
          </cell>
          <cell r="E1676">
            <v>6350000</v>
          </cell>
          <cell r="F1676">
            <v>6350000</v>
          </cell>
          <cell r="G1676">
            <v>0</v>
          </cell>
          <cell r="H1676">
            <v>529167</v>
          </cell>
          <cell r="I1676">
            <v>0</v>
          </cell>
        </row>
        <row r="1677">
          <cell r="A1677" t="str">
            <v>3200|449040</v>
          </cell>
          <cell r="B1677" t="str">
            <v>3200</v>
          </cell>
          <cell r="C1677">
            <v>449040</v>
          </cell>
          <cell r="D1677">
            <v>41244</v>
          </cell>
          <cell r="E1677">
            <v>46693518</v>
          </cell>
          <cell r="F1677">
            <v>46693518</v>
          </cell>
          <cell r="G1677">
            <v>49697500</v>
          </cell>
          <cell r="H1677">
            <v>3891126</v>
          </cell>
          <cell r="I1677">
            <v>3790000</v>
          </cell>
        </row>
        <row r="1678">
          <cell r="A1678" t="str">
            <v>3200|449050</v>
          </cell>
          <cell r="B1678" t="str">
            <v>3200</v>
          </cell>
          <cell r="C1678">
            <v>449050</v>
          </cell>
          <cell r="D1678">
            <v>41244</v>
          </cell>
          <cell r="E1678">
            <v>6400000</v>
          </cell>
          <cell r="F1678">
            <v>6400000</v>
          </cell>
          <cell r="G1678">
            <v>232283311</v>
          </cell>
          <cell r="H1678">
            <v>533333</v>
          </cell>
          <cell r="I1678">
            <v>29584975</v>
          </cell>
        </row>
        <row r="1679">
          <cell r="A1679" t="str">
            <v>3200|449060</v>
          </cell>
          <cell r="B1679" t="str">
            <v>3200</v>
          </cell>
          <cell r="C1679">
            <v>449060</v>
          </cell>
          <cell r="D1679">
            <v>41244</v>
          </cell>
          <cell r="E1679">
            <v>0</v>
          </cell>
          <cell r="F1679">
            <v>0</v>
          </cell>
          <cell r="G1679">
            <v>146322</v>
          </cell>
          <cell r="H1679">
            <v>0</v>
          </cell>
          <cell r="I1679">
            <v>0</v>
          </cell>
        </row>
        <row r="1680">
          <cell r="A1680" t="str">
            <v>3200|449061</v>
          </cell>
          <cell r="B1680" t="str">
            <v>3200</v>
          </cell>
          <cell r="C1680">
            <v>449061</v>
          </cell>
          <cell r="D1680">
            <v>41244</v>
          </cell>
          <cell r="E1680">
            <v>52192750</v>
          </cell>
          <cell r="F1680">
            <v>52192750</v>
          </cell>
          <cell r="G1680">
            <v>37146820</v>
          </cell>
          <cell r="H1680">
            <v>4349396</v>
          </cell>
          <cell r="I1680">
            <v>1920300</v>
          </cell>
        </row>
        <row r="1681">
          <cell r="A1681" t="str">
            <v>3200|451000</v>
          </cell>
          <cell r="B1681" t="str">
            <v>3200</v>
          </cell>
          <cell r="C1681">
            <v>451000</v>
          </cell>
          <cell r="D1681">
            <v>41244</v>
          </cell>
          <cell r="E1681">
            <v>58995000</v>
          </cell>
          <cell r="F1681">
            <v>58995000</v>
          </cell>
          <cell r="G1681">
            <v>-147487</v>
          </cell>
          <cell r="H1681">
            <v>4916250</v>
          </cell>
          <cell r="I1681">
            <v>0</v>
          </cell>
        </row>
        <row r="1682">
          <cell r="A1682" t="str">
            <v>3200|459002</v>
          </cell>
          <cell r="B1682" t="str">
            <v>3200</v>
          </cell>
          <cell r="C1682">
            <v>459002</v>
          </cell>
          <cell r="D1682">
            <v>41244</v>
          </cell>
          <cell r="E1682">
            <v>54158950</v>
          </cell>
          <cell r="F1682">
            <v>54158950</v>
          </cell>
          <cell r="G1682">
            <v>51545936</v>
          </cell>
          <cell r="H1682">
            <v>4513246</v>
          </cell>
          <cell r="I1682">
            <v>0</v>
          </cell>
        </row>
        <row r="1683">
          <cell r="A1683" t="str">
            <v>3200|459005</v>
          </cell>
          <cell r="B1683" t="str">
            <v>3200</v>
          </cell>
          <cell r="C1683">
            <v>459005</v>
          </cell>
          <cell r="D1683">
            <v>41244</v>
          </cell>
          <cell r="E1683">
            <v>1</v>
          </cell>
          <cell r="F1683">
            <v>1</v>
          </cell>
          <cell r="G1683">
            <v>0</v>
          </cell>
          <cell r="H1683">
            <v>0</v>
          </cell>
          <cell r="I1683">
            <v>0</v>
          </cell>
        </row>
        <row r="1684">
          <cell r="A1684" t="str">
            <v>3200|470002</v>
          </cell>
          <cell r="B1684" t="str">
            <v>3200</v>
          </cell>
          <cell r="C1684">
            <v>470002</v>
          </cell>
          <cell r="D1684">
            <v>41244</v>
          </cell>
          <cell r="E1684">
            <v>2400000</v>
          </cell>
          <cell r="F1684">
            <v>2400000</v>
          </cell>
          <cell r="G1684">
            <v>0</v>
          </cell>
          <cell r="H1684">
            <v>200000</v>
          </cell>
          <cell r="I1684">
            <v>0</v>
          </cell>
        </row>
        <row r="1685">
          <cell r="A1685" t="str">
            <v>3200|470102</v>
          </cell>
          <cell r="B1685" t="str">
            <v>3200</v>
          </cell>
          <cell r="C1685">
            <v>470102</v>
          </cell>
          <cell r="D1685">
            <v>41244</v>
          </cell>
          <cell r="E1685">
            <v>2957037</v>
          </cell>
          <cell r="F1685">
            <v>2957037</v>
          </cell>
          <cell r="G1685">
            <v>597000</v>
          </cell>
          <cell r="H1685">
            <v>246420</v>
          </cell>
          <cell r="I1685">
            <v>-375000</v>
          </cell>
        </row>
        <row r="1686">
          <cell r="A1686" t="str">
            <v>3200|471000</v>
          </cell>
          <cell r="B1686" t="str">
            <v>3200</v>
          </cell>
          <cell r="C1686">
            <v>471000</v>
          </cell>
          <cell r="D1686">
            <v>41244</v>
          </cell>
          <cell r="E1686">
            <v>8483025</v>
          </cell>
          <cell r="F1686">
            <v>8483025</v>
          </cell>
          <cell r="G1686">
            <v>2880000</v>
          </cell>
          <cell r="H1686">
            <v>706919</v>
          </cell>
          <cell r="I1686">
            <v>0</v>
          </cell>
        </row>
        <row r="1687">
          <cell r="A1687" t="str">
            <v>3200|472000</v>
          </cell>
          <cell r="B1687" t="str">
            <v>3200</v>
          </cell>
          <cell r="C1687">
            <v>472000</v>
          </cell>
          <cell r="D1687">
            <v>41244</v>
          </cell>
          <cell r="E1687">
            <v>1430000</v>
          </cell>
          <cell r="F1687">
            <v>1430000</v>
          </cell>
          <cell r="G1687">
            <v>1831635</v>
          </cell>
          <cell r="H1687">
            <v>119167</v>
          </cell>
          <cell r="I1687">
            <v>0</v>
          </cell>
        </row>
        <row r="1688">
          <cell r="A1688" t="str">
            <v>3200|473000</v>
          </cell>
          <cell r="B1688" t="str">
            <v>3200</v>
          </cell>
          <cell r="C1688">
            <v>473000</v>
          </cell>
          <cell r="D1688">
            <v>41244</v>
          </cell>
          <cell r="E1688">
            <v>1000000</v>
          </cell>
          <cell r="F1688">
            <v>1000000</v>
          </cell>
          <cell r="G1688">
            <v>896761</v>
          </cell>
          <cell r="H1688">
            <v>83333</v>
          </cell>
          <cell r="I1688">
            <v>450000</v>
          </cell>
        </row>
        <row r="1689">
          <cell r="A1689" t="str">
            <v>3200|473120</v>
          </cell>
          <cell r="B1689" t="str">
            <v>3200</v>
          </cell>
          <cell r="C1689">
            <v>473120</v>
          </cell>
          <cell r="D1689">
            <v>41244</v>
          </cell>
          <cell r="E1689">
            <v>33864785</v>
          </cell>
          <cell r="F1689">
            <v>33864785</v>
          </cell>
          <cell r="G1689">
            <v>38035515</v>
          </cell>
          <cell r="H1689">
            <v>2822065</v>
          </cell>
          <cell r="I1689">
            <v>4794983</v>
          </cell>
        </row>
        <row r="1690">
          <cell r="A1690" t="str">
            <v>3200|474100</v>
          </cell>
          <cell r="B1690" t="str">
            <v>3200</v>
          </cell>
          <cell r="C1690">
            <v>474100</v>
          </cell>
          <cell r="D1690">
            <v>41244</v>
          </cell>
          <cell r="E1690">
            <v>157597597</v>
          </cell>
          <cell r="F1690">
            <v>157597597</v>
          </cell>
          <cell r="G1690">
            <v>157810446</v>
          </cell>
          <cell r="H1690">
            <v>13133133</v>
          </cell>
          <cell r="I1690">
            <v>0</v>
          </cell>
        </row>
        <row r="1691">
          <cell r="A1691" t="str">
            <v>3200|474101</v>
          </cell>
          <cell r="B1691" t="str">
            <v>3200</v>
          </cell>
          <cell r="C1691">
            <v>474101</v>
          </cell>
          <cell r="D1691">
            <v>41244</v>
          </cell>
          <cell r="E1691">
            <v>76910000</v>
          </cell>
          <cell r="F1691">
            <v>76910000</v>
          </cell>
          <cell r="G1691">
            <v>63742323</v>
          </cell>
          <cell r="H1691">
            <v>6409165</v>
          </cell>
          <cell r="I1691">
            <v>49663978</v>
          </cell>
        </row>
        <row r="1692">
          <cell r="A1692" t="str">
            <v>3200|475000</v>
          </cell>
          <cell r="B1692" t="str">
            <v>3200</v>
          </cell>
          <cell r="C1692">
            <v>475000</v>
          </cell>
          <cell r="D1692">
            <v>41244</v>
          </cell>
          <cell r="E1692">
            <v>500000</v>
          </cell>
          <cell r="F1692">
            <v>500000</v>
          </cell>
          <cell r="G1692">
            <v>36000</v>
          </cell>
          <cell r="H1692">
            <v>41667</v>
          </cell>
          <cell r="I1692">
            <v>36000</v>
          </cell>
        </row>
        <row r="1693">
          <cell r="A1693" t="str">
            <v>3200|475001</v>
          </cell>
          <cell r="B1693" t="str">
            <v>3200</v>
          </cell>
          <cell r="C1693">
            <v>475001</v>
          </cell>
          <cell r="D1693">
            <v>41244</v>
          </cell>
          <cell r="E1693">
            <v>438622600</v>
          </cell>
          <cell r="F1693">
            <v>438622600</v>
          </cell>
          <cell r="G1693">
            <v>-8430000</v>
          </cell>
          <cell r="H1693">
            <v>36551883</v>
          </cell>
          <cell r="I1693">
            <v>0</v>
          </cell>
        </row>
        <row r="1694">
          <cell r="A1694" t="str">
            <v>3200|475002</v>
          </cell>
          <cell r="B1694" t="str">
            <v>3200</v>
          </cell>
          <cell r="C1694">
            <v>475002</v>
          </cell>
          <cell r="D1694">
            <v>41244</v>
          </cell>
          <cell r="E1694">
            <v>0</v>
          </cell>
          <cell r="F1694">
            <v>0</v>
          </cell>
          <cell r="G1694">
            <v>7658037</v>
          </cell>
          <cell r="H1694">
            <v>0</v>
          </cell>
          <cell r="I1694">
            <v>10390123</v>
          </cell>
        </row>
        <row r="1695">
          <cell r="A1695" t="str">
            <v>3200|475003</v>
          </cell>
          <cell r="B1695" t="str">
            <v>3200</v>
          </cell>
          <cell r="C1695">
            <v>475003</v>
          </cell>
          <cell r="D1695">
            <v>41244</v>
          </cell>
          <cell r="E1695">
            <v>9043500</v>
          </cell>
          <cell r="F1695">
            <v>9043500</v>
          </cell>
          <cell r="G1695">
            <v>11190235</v>
          </cell>
          <cell r="H1695">
            <v>753625</v>
          </cell>
          <cell r="I1695">
            <v>0</v>
          </cell>
        </row>
        <row r="1696">
          <cell r="A1696" t="str">
            <v>3200|475004</v>
          </cell>
          <cell r="B1696" t="str">
            <v>3200</v>
          </cell>
          <cell r="C1696">
            <v>475004</v>
          </cell>
          <cell r="D1696">
            <v>41244</v>
          </cell>
          <cell r="E1696">
            <v>13935826</v>
          </cell>
          <cell r="F1696">
            <v>13935826</v>
          </cell>
          <cell r="G1696">
            <v>13337703</v>
          </cell>
          <cell r="H1696">
            <v>1161318</v>
          </cell>
          <cell r="I1696">
            <v>1746720</v>
          </cell>
        </row>
        <row r="1697">
          <cell r="A1697" t="str">
            <v>3200|475005</v>
          </cell>
          <cell r="B1697" t="str">
            <v>3200</v>
          </cell>
          <cell r="C1697">
            <v>475005</v>
          </cell>
          <cell r="D1697">
            <v>41244</v>
          </cell>
          <cell r="E1697">
            <v>66141275</v>
          </cell>
          <cell r="F1697">
            <v>66141275</v>
          </cell>
          <cell r="G1697">
            <v>206250</v>
          </cell>
          <cell r="H1697">
            <v>5511773</v>
          </cell>
          <cell r="I1697">
            <v>0</v>
          </cell>
        </row>
        <row r="1698">
          <cell r="A1698" t="str">
            <v>3200|475006</v>
          </cell>
          <cell r="B1698" t="str">
            <v>3200</v>
          </cell>
          <cell r="C1698">
            <v>475006</v>
          </cell>
          <cell r="D1698">
            <v>41244</v>
          </cell>
          <cell r="E1698">
            <v>70237323</v>
          </cell>
          <cell r="F1698">
            <v>70237323</v>
          </cell>
          <cell r="G1698">
            <v>152313708</v>
          </cell>
          <cell r="H1698">
            <v>5853110</v>
          </cell>
          <cell r="I1698">
            <v>10121091</v>
          </cell>
        </row>
        <row r="1699">
          <cell r="A1699" t="str">
            <v>3200|476000</v>
          </cell>
          <cell r="B1699" t="str">
            <v>3200</v>
          </cell>
          <cell r="C1699">
            <v>476000</v>
          </cell>
          <cell r="D1699">
            <v>41244</v>
          </cell>
          <cell r="E1699">
            <v>650000</v>
          </cell>
          <cell r="F1699">
            <v>650000</v>
          </cell>
          <cell r="G1699">
            <v>2583004</v>
          </cell>
          <cell r="H1699">
            <v>54167</v>
          </cell>
          <cell r="I1699">
            <v>0</v>
          </cell>
        </row>
        <row r="1700">
          <cell r="A1700" t="str">
            <v>3200|476001</v>
          </cell>
          <cell r="B1700" t="str">
            <v>3200</v>
          </cell>
          <cell r="C1700">
            <v>476001</v>
          </cell>
          <cell r="D1700">
            <v>41244</v>
          </cell>
          <cell r="E1700">
            <v>19932337</v>
          </cell>
          <cell r="F1700">
            <v>19932337</v>
          </cell>
          <cell r="G1700">
            <v>19442096</v>
          </cell>
          <cell r="H1700">
            <v>1661027</v>
          </cell>
          <cell r="I1700">
            <v>85745</v>
          </cell>
        </row>
        <row r="1701">
          <cell r="A1701" t="str">
            <v>3200|476201</v>
          </cell>
          <cell r="B1701" t="str">
            <v>3200</v>
          </cell>
          <cell r="C1701">
            <v>476201</v>
          </cell>
          <cell r="D1701">
            <v>41244</v>
          </cell>
          <cell r="E1701">
            <v>0</v>
          </cell>
          <cell r="F1701">
            <v>0</v>
          </cell>
          <cell r="G1701">
            <v>44527355</v>
          </cell>
          <cell r="H1701">
            <v>0</v>
          </cell>
          <cell r="I1701">
            <v>-607526045</v>
          </cell>
        </row>
        <row r="1702">
          <cell r="A1702" t="str">
            <v>3200|476220</v>
          </cell>
          <cell r="B1702" t="str">
            <v>3200</v>
          </cell>
          <cell r="C1702">
            <v>476220</v>
          </cell>
          <cell r="D1702">
            <v>41244</v>
          </cell>
          <cell r="E1702">
            <v>98130368</v>
          </cell>
          <cell r="F1702">
            <v>98130368</v>
          </cell>
          <cell r="G1702">
            <v>12551266</v>
          </cell>
          <cell r="H1702">
            <v>8177531</v>
          </cell>
          <cell r="I1702">
            <v>0</v>
          </cell>
        </row>
        <row r="1703">
          <cell r="A1703" t="str">
            <v>3200|476223</v>
          </cell>
          <cell r="B1703" t="str">
            <v>3200</v>
          </cell>
          <cell r="C1703">
            <v>476223</v>
          </cell>
          <cell r="D1703">
            <v>41244</v>
          </cell>
          <cell r="E1703">
            <v>0</v>
          </cell>
          <cell r="F1703">
            <v>0</v>
          </cell>
          <cell r="G1703">
            <v>-133425000</v>
          </cell>
          <cell r="H1703">
            <v>0</v>
          </cell>
          <cell r="I1703">
            <v>0</v>
          </cell>
        </row>
        <row r="1704">
          <cell r="A1704" t="str">
            <v>3200|476900</v>
          </cell>
          <cell r="B1704" t="str">
            <v>3200</v>
          </cell>
          <cell r="C1704">
            <v>476900</v>
          </cell>
          <cell r="D1704">
            <v>41244</v>
          </cell>
          <cell r="E1704">
            <v>0</v>
          </cell>
          <cell r="F1704">
            <v>0</v>
          </cell>
          <cell r="G1704">
            <v>3271043</v>
          </cell>
          <cell r="H1704">
            <v>0</v>
          </cell>
          <cell r="I1704">
            <v>1401593</v>
          </cell>
        </row>
        <row r="1705">
          <cell r="A1705" t="str">
            <v>3200|476910</v>
          </cell>
          <cell r="B1705" t="str">
            <v>3200</v>
          </cell>
          <cell r="C1705">
            <v>476910</v>
          </cell>
          <cell r="D1705">
            <v>41244</v>
          </cell>
          <cell r="E1705">
            <v>4358300</v>
          </cell>
          <cell r="F1705">
            <v>4358300</v>
          </cell>
          <cell r="G1705">
            <v>426600</v>
          </cell>
          <cell r="H1705">
            <v>363192</v>
          </cell>
          <cell r="I1705">
            <v>0</v>
          </cell>
        </row>
        <row r="1706">
          <cell r="A1706" t="str">
            <v>3200|477001</v>
          </cell>
          <cell r="B1706" t="str">
            <v>3200</v>
          </cell>
          <cell r="C1706">
            <v>477001</v>
          </cell>
          <cell r="D1706">
            <v>41244</v>
          </cell>
          <cell r="E1706">
            <v>300000000</v>
          </cell>
          <cell r="F1706">
            <v>300000000</v>
          </cell>
          <cell r="G1706">
            <v>389775040</v>
          </cell>
          <cell r="H1706">
            <v>25000000</v>
          </cell>
          <cell r="I1706">
            <v>0</v>
          </cell>
        </row>
        <row r="1707">
          <cell r="A1707" t="str">
            <v>3200|477100</v>
          </cell>
          <cell r="B1707" t="str">
            <v>3200</v>
          </cell>
          <cell r="C1707">
            <v>477100</v>
          </cell>
          <cell r="D1707">
            <v>41244</v>
          </cell>
          <cell r="E1707">
            <v>0</v>
          </cell>
          <cell r="F1707">
            <v>0</v>
          </cell>
          <cell r="G1707">
            <v>24906276</v>
          </cell>
          <cell r="H1707">
            <v>0</v>
          </cell>
          <cell r="I1707">
            <v>0</v>
          </cell>
        </row>
        <row r="1708">
          <cell r="A1708" t="str">
            <v>3200|477300</v>
          </cell>
          <cell r="B1708" t="str">
            <v>3200</v>
          </cell>
          <cell r="C1708">
            <v>477300</v>
          </cell>
          <cell r="D1708">
            <v>41244</v>
          </cell>
          <cell r="E1708">
            <v>20000000</v>
          </cell>
          <cell r="F1708">
            <v>20000000</v>
          </cell>
          <cell r="G1708">
            <v>14318820</v>
          </cell>
          <cell r="H1708">
            <v>1666667</v>
          </cell>
          <cell r="I1708">
            <v>0</v>
          </cell>
        </row>
        <row r="1709">
          <cell r="A1709" t="str">
            <v>3200|477310</v>
          </cell>
          <cell r="B1709" t="str">
            <v>3200</v>
          </cell>
          <cell r="C1709">
            <v>477310</v>
          </cell>
          <cell r="D1709">
            <v>41244</v>
          </cell>
          <cell r="E1709">
            <v>0</v>
          </cell>
          <cell r="F1709">
            <v>0</v>
          </cell>
          <cell r="G1709">
            <v>5389520</v>
          </cell>
          <cell r="H1709">
            <v>0</v>
          </cell>
          <cell r="I1709">
            <v>0</v>
          </cell>
        </row>
        <row r="1710">
          <cell r="A1710" t="str">
            <v>3200|477400</v>
          </cell>
          <cell r="B1710" t="str">
            <v>3200</v>
          </cell>
          <cell r="C1710">
            <v>477400</v>
          </cell>
          <cell r="D1710">
            <v>41244</v>
          </cell>
          <cell r="E1710">
            <v>0</v>
          </cell>
          <cell r="F1710">
            <v>0</v>
          </cell>
          <cell r="G1710">
            <v>-469425000</v>
          </cell>
          <cell r="H1710">
            <v>0</v>
          </cell>
          <cell r="I1710">
            <v>0</v>
          </cell>
        </row>
        <row r="1711">
          <cell r="A1711" t="str">
            <v>3200|477450</v>
          </cell>
          <cell r="B1711" t="str">
            <v>3200</v>
          </cell>
          <cell r="C1711">
            <v>477450</v>
          </cell>
          <cell r="D1711">
            <v>41244</v>
          </cell>
          <cell r="E1711">
            <v>2763281127</v>
          </cell>
          <cell r="F1711">
            <v>2763281127</v>
          </cell>
          <cell r="G1711">
            <v>2495028565</v>
          </cell>
          <cell r="H1711">
            <v>230273427</v>
          </cell>
          <cell r="I1711">
            <v>-18489817871</v>
          </cell>
        </row>
        <row r="1712">
          <cell r="A1712" t="str">
            <v>3200|477910</v>
          </cell>
          <cell r="B1712" t="str">
            <v>3200</v>
          </cell>
          <cell r="C1712">
            <v>477910</v>
          </cell>
          <cell r="D1712">
            <v>41244</v>
          </cell>
          <cell r="E1712">
            <v>750000000</v>
          </cell>
          <cell r="F1712">
            <v>750000000</v>
          </cell>
          <cell r="G1712">
            <v>-12725000</v>
          </cell>
          <cell r="H1712">
            <v>62500000</v>
          </cell>
          <cell r="I1712">
            <v>206153000</v>
          </cell>
        </row>
        <row r="1713">
          <cell r="A1713" t="str">
            <v>3210|211100</v>
          </cell>
          <cell r="B1713" t="str">
            <v>3210</v>
          </cell>
          <cell r="C1713">
            <v>211100</v>
          </cell>
          <cell r="D1713">
            <v>41244</v>
          </cell>
          <cell r="E1713">
            <v>229316775</v>
          </cell>
          <cell r="F1713">
            <v>229316775</v>
          </cell>
          <cell r="G1713">
            <v>410656988</v>
          </cell>
          <cell r="H1713">
            <v>19109731</v>
          </cell>
          <cell r="I1713">
            <v>66715883</v>
          </cell>
        </row>
        <row r="1714">
          <cell r="A1714" t="str">
            <v>3210|246000</v>
          </cell>
          <cell r="B1714" t="str">
            <v>3210</v>
          </cell>
          <cell r="C1714">
            <v>246000</v>
          </cell>
          <cell r="D1714">
            <v>41244</v>
          </cell>
          <cell r="E1714">
            <v>9500000</v>
          </cell>
          <cell r="F1714">
            <v>9500000</v>
          </cell>
          <cell r="G1714">
            <v>6127280</v>
          </cell>
          <cell r="H1714">
            <v>791667</v>
          </cell>
          <cell r="I1714">
            <v>0</v>
          </cell>
        </row>
        <row r="1715">
          <cell r="A1715" t="str">
            <v>3210|246006</v>
          </cell>
          <cell r="B1715" t="str">
            <v>3210</v>
          </cell>
          <cell r="C1715">
            <v>246006</v>
          </cell>
          <cell r="D1715">
            <v>41244</v>
          </cell>
          <cell r="E1715">
            <v>187000000</v>
          </cell>
          <cell r="F1715">
            <v>187000000</v>
          </cell>
          <cell r="G1715">
            <v>185000000</v>
          </cell>
          <cell r="H1715">
            <v>15583334</v>
          </cell>
          <cell r="I1715">
            <v>0</v>
          </cell>
        </row>
        <row r="1716">
          <cell r="A1716" t="str">
            <v>3210|400040</v>
          </cell>
          <cell r="B1716" t="str">
            <v>3210</v>
          </cell>
          <cell r="C1716">
            <v>400040</v>
          </cell>
          <cell r="D1716">
            <v>41244</v>
          </cell>
          <cell r="E1716">
            <v>1149616995</v>
          </cell>
          <cell r="F1716">
            <v>1149616995</v>
          </cell>
          <cell r="G1716">
            <v>1847238957</v>
          </cell>
          <cell r="H1716">
            <v>95801416</v>
          </cell>
          <cell r="I1716">
            <v>193349565</v>
          </cell>
        </row>
        <row r="1717">
          <cell r="A1717" t="str">
            <v>3210|405200</v>
          </cell>
          <cell r="B1717" t="str">
            <v>3210</v>
          </cell>
          <cell r="C1717">
            <v>405200</v>
          </cell>
          <cell r="D1717">
            <v>41244</v>
          </cell>
          <cell r="E1717">
            <v>256906882</v>
          </cell>
          <cell r="F1717">
            <v>256906882</v>
          </cell>
          <cell r="G1717">
            <v>23427100</v>
          </cell>
          <cell r="H1717">
            <v>21408907</v>
          </cell>
          <cell r="I1717">
            <v>3625000</v>
          </cell>
        </row>
        <row r="1718">
          <cell r="A1718" t="str">
            <v>3210|405251</v>
          </cell>
          <cell r="B1718" t="str">
            <v>3210</v>
          </cell>
          <cell r="C1718">
            <v>405251</v>
          </cell>
          <cell r="D1718">
            <v>41244</v>
          </cell>
          <cell r="E1718">
            <v>0</v>
          </cell>
          <cell r="F1718">
            <v>0</v>
          </cell>
          <cell r="G1718">
            <v>55338974</v>
          </cell>
          <cell r="H1718">
            <v>0</v>
          </cell>
          <cell r="I1718">
            <v>-9132433</v>
          </cell>
        </row>
        <row r="1719">
          <cell r="A1719" t="str">
            <v>3210|405252</v>
          </cell>
          <cell r="B1719" t="str">
            <v>3210</v>
          </cell>
          <cell r="C1719">
            <v>405252</v>
          </cell>
          <cell r="D1719">
            <v>41244</v>
          </cell>
          <cell r="E1719">
            <v>1908000</v>
          </cell>
          <cell r="F1719">
            <v>1908000</v>
          </cell>
          <cell r="G1719">
            <v>0</v>
          </cell>
          <cell r="H1719">
            <v>159000</v>
          </cell>
          <cell r="I1719">
            <v>0</v>
          </cell>
        </row>
        <row r="1720">
          <cell r="A1720" t="str">
            <v>3210|406000</v>
          </cell>
          <cell r="B1720" t="str">
            <v>3210</v>
          </cell>
          <cell r="C1720">
            <v>406000</v>
          </cell>
          <cell r="D1720">
            <v>41244</v>
          </cell>
          <cell r="E1720">
            <v>0</v>
          </cell>
          <cell r="F1720">
            <v>0</v>
          </cell>
          <cell r="G1720">
            <v>155641756</v>
          </cell>
          <cell r="H1720">
            <v>0</v>
          </cell>
          <cell r="I1720">
            <v>28212000</v>
          </cell>
        </row>
        <row r="1721">
          <cell r="A1721" t="str">
            <v>3210|420000</v>
          </cell>
          <cell r="B1721" t="str">
            <v>3210</v>
          </cell>
          <cell r="C1721">
            <v>420000</v>
          </cell>
          <cell r="D1721">
            <v>41244</v>
          </cell>
          <cell r="E1721">
            <v>163102473</v>
          </cell>
          <cell r="F1721">
            <v>163102473</v>
          </cell>
          <cell r="G1721">
            <v>211754892</v>
          </cell>
          <cell r="H1721">
            <v>13591873</v>
          </cell>
          <cell r="I1721">
            <v>16210000</v>
          </cell>
        </row>
        <row r="1722">
          <cell r="A1722" t="str">
            <v>3210|420001</v>
          </cell>
          <cell r="B1722" t="str">
            <v>3210</v>
          </cell>
          <cell r="C1722">
            <v>420001</v>
          </cell>
          <cell r="D1722">
            <v>41244</v>
          </cell>
          <cell r="E1722">
            <v>406094080</v>
          </cell>
          <cell r="F1722">
            <v>406094080</v>
          </cell>
          <cell r="G1722">
            <v>344944882</v>
          </cell>
          <cell r="H1722">
            <v>33841173</v>
          </cell>
          <cell r="I1722">
            <v>31952332</v>
          </cell>
        </row>
        <row r="1723">
          <cell r="A1723" t="str">
            <v>3210|420002</v>
          </cell>
          <cell r="B1723" t="str">
            <v>3210</v>
          </cell>
          <cell r="C1723">
            <v>420002</v>
          </cell>
          <cell r="D1723">
            <v>41244</v>
          </cell>
          <cell r="E1723">
            <v>285215390</v>
          </cell>
          <cell r="F1723">
            <v>285215390</v>
          </cell>
          <cell r="G1723">
            <v>175956165</v>
          </cell>
          <cell r="H1723">
            <v>23767949</v>
          </cell>
          <cell r="I1723">
            <v>0</v>
          </cell>
        </row>
        <row r="1724">
          <cell r="A1724" t="str">
            <v>3210|420003</v>
          </cell>
          <cell r="B1724" t="str">
            <v>3210</v>
          </cell>
          <cell r="C1724">
            <v>420003</v>
          </cell>
          <cell r="D1724">
            <v>41244</v>
          </cell>
          <cell r="E1724">
            <v>231101892</v>
          </cell>
          <cell r="F1724">
            <v>231101892</v>
          </cell>
          <cell r="G1724">
            <v>185774363</v>
          </cell>
          <cell r="H1724">
            <v>19258491</v>
          </cell>
          <cell r="I1724">
            <v>19094022</v>
          </cell>
        </row>
        <row r="1725">
          <cell r="A1725" t="str">
            <v>3210|422000</v>
          </cell>
          <cell r="B1725" t="str">
            <v>3210</v>
          </cell>
          <cell r="C1725">
            <v>422000</v>
          </cell>
          <cell r="D1725">
            <v>41244</v>
          </cell>
          <cell r="E1725">
            <v>0</v>
          </cell>
          <cell r="F1725">
            <v>0</v>
          </cell>
          <cell r="G1725">
            <v>88200</v>
          </cell>
          <cell r="H1725">
            <v>0</v>
          </cell>
          <cell r="I1725">
            <v>0</v>
          </cell>
        </row>
        <row r="1726">
          <cell r="A1726" t="str">
            <v>3210|422001</v>
          </cell>
          <cell r="B1726" t="str">
            <v>3210</v>
          </cell>
          <cell r="C1726">
            <v>422001</v>
          </cell>
          <cell r="D1726">
            <v>41244</v>
          </cell>
          <cell r="E1726">
            <v>818805</v>
          </cell>
          <cell r="F1726">
            <v>818805</v>
          </cell>
          <cell r="G1726">
            <v>267100</v>
          </cell>
          <cell r="H1726">
            <v>68234</v>
          </cell>
          <cell r="I1726">
            <v>0</v>
          </cell>
        </row>
        <row r="1727">
          <cell r="A1727" t="str">
            <v>3210|422002</v>
          </cell>
          <cell r="B1727" t="str">
            <v>3210</v>
          </cell>
          <cell r="C1727">
            <v>422002</v>
          </cell>
          <cell r="D1727">
            <v>41244</v>
          </cell>
          <cell r="E1727">
            <v>750641</v>
          </cell>
          <cell r="F1727">
            <v>750641</v>
          </cell>
          <cell r="G1727">
            <v>289650</v>
          </cell>
          <cell r="H1727">
            <v>62553</v>
          </cell>
          <cell r="I1727">
            <v>0</v>
          </cell>
        </row>
        <row r="1728">
          <cell r="A1728" t="str">
            <v>3210|422003</v>
          </cell>
          <cell r="B1728" t="str">
            <v>3210</v>
          </cell>
          <cell r="C1728">
            <v>422003</v>
          </cell>
          <cell r="D1728">
            <v>41244</v>
          </cell>
          <cell r="E1728">
            <v>362363</v>
          </cell>
          <cell r="F1728">
            <v>362363</v>
          </cell>
          <cell r="G1728">
            <v>254100</v>
          </cell>
          <cell r="H1728">
            <v>30197</v>
          </cell>
          <cell r="I1728">
            <v>0</v>
          </cell>
        </row>
        <row r="1729">
          <cell r="A1729" t="str">
            <v>3210|431000</v>
          </cell>
          <cell r="B1729" t="str">
            <v>3210</v>
          </cell>
          <cell r="C1729">
            <v>431000</v>
          </cell>
          <cell r="D1729">
            <v>41244</v>
          </cell>
          <cell r="E1729">
            <v>803673</v>
          </cell>
          <cell r="F1729">
            <v>803673</v>
          </cell>
          <cell r="G1729">
            <v>63423760</v>
          </cell>
          <cell r="H1729">
            <v>66973</v>
          </cell>
          <cell r="I1729">
            <v>2024773</v>
          </cell>
        </row>
        <row r="1730">
          <cell r="A1730" t="str">
            <v>3210|431001</v>
          </cell>
          <cell r="B1730" t="str">
            <v>3210</v>
          </cell>
          <cell r="C1730">
            <v>431001</v>
          </cell>
          <cell r="D1730">
            <v>41244</v>
          </cell>
          <cell r="E1730">
            <v>30351241</v>
          </cell>
          <cell r="F1730">
            <v>30351241</v>
          </cell>
          <cell r="G1730">
            <v>109043621</v>
          </cell>
          <cell r="H1730">
            <v>2529271</v>
          </cell>
          <cell r="I1730">
            <v>5491001</v>
          </cell>
        </row>
        <row r="1731">
          <cell r="A1731" t="str">
            <v>3210|431002</v>
          </cell>
          <cell r="B1731" t="str">
            <v>3210</v>
          </cell>
          <cell r="C1731">
            <v>431002</v>
          </cell>
          <cell r="D1731">
            <v>41244</v>
          </cell>
          <cell r="E1731">
            <v>8545600</v>
          </cell>
          <cell r="F1731">
            <v>8545600</v>
          </cell>
          <cell r="G1731">
            <v>30170363</v>
          </cell>
          <cell r="H1731">
            <v>712133</v>
          </cell>
          <cell r="I1731">
            <v>0</v>
          </cell>
        </row>
        <row r="1732">
          <cell r="A1732" t="str">
            <v>3210|433002</v>
          </cell>
          <cell r="B1732" t="str">
            <v>3210</v>
          </cell>
          <cell r="C1732">
            <v>433002</v>
          </cell>
          <cell r="D1732">
            <v>41244</v>
          </cell>
          <cell r="E1732">
            <v>6722384</v>
          </cell>
          <cell r="F1732">
            <v>6722384</v>
          </cell>
          <cell r="G1732">
            <v>2896600</v>
          </cell>
          <cell r="H1732">
            <v>560199</v>
          </cell>
          <cell r="I1732">
            <v>0</v>
          </cell>
        </row>
        <row r="1733">
          <cell r="A1733" t="str">
            <v>3210|434010</v>
          </cell>
          <cell r="B1733" t="str">
            <v>3210</v>
          </cell>
          <cell r="C1733">
            <v>434010</v>
          </cell>
          <cell r="D1733">
            <v>41244</v>
          </cell>
          <cell r="E1733">
            <v>0</v>
          </cell>
          <cell r="F1733">
            <v>0</v>
          </cell>
          <cell r="G1733">
            <v>2387703</v>
          </cell>
          <cell r="H1733">
            <v>0</v>
          </cell>
          <cell r="I1733">
            <v>189452</v>
          </cell>
        </row>
        <row r="1734">
          <cell r="A1734" t="str">
            <v>3210|434011</v>
          </cell>
          <cell r="B1734" t="str">
            <v>3210</v>
          </cell>
          <cell r="C1734">
            <v>434011</v>
          </cell>
          <cell r="D1734">
            <v>41244</v>
          </cell>
          <cell r="E1734">
            <v>12879245</v>
          </cell>
          <cell r="F1734">
            <v>12879245</v>
          </cell>
          <cell r="G1734">
            <v>30971161</v>
          </cell>
          <cell r="H1734">
            <v>1073270</v>
          </cell>
          <cell r="I1734">
            <v>3366035</v>
          </cell>
        </row>
        <row r="1735">
          <cell r="A1735" t="str">
            <v>3210|434012</v>
          </cell>
          <cell r="B1735" t="str">
            <v>3210</v>
          </cell>
          <cell r="C1735">
            <v>434012</v>
          </cell>
          <cell r="D1735">
            <v>41244</v>
          </cell>
          <cell r="E1735">
            <v>0</v>
          </cell>
          <cell r="F1735">
            <v>0</v>
          </cell>
          <cell r="G1735">
            <v>7269587</v>
          </cell>
          <cell r="H1735">
            <v>0</v>
          </cell>
          <cell r="I1735">
            <v>0</v>
          </cell>
        </row>
        <row r="1736">
          <cell r="A1736" t="str">
            <v>3210|434013</v>
          </cell>
          <cell r="B1736" t="str">
            <v>3210</v>
          </cell>
          <cell r="C1736">
            <v>434013</v>
          </cell>
          <cell r="D1736">
            <v>41244</v>
          </cell>
          <cell r="E1736">
            <v>0</v>
          </cell>
          <cell r="F1736">
            <v>0</v>
          </cell>
          <cell r="G1736">
            <v>4244886</v>
          </cell>
          <cell r="H1736">
            <v>0</v>
          </cell>
          <cell r="I1736">
            <v>1366596</v>
          </cell>
        </row>
        <row r="1737">
          <cell r="A1737" t="str">
            <v>3210|435000</v>
          </cell>
          <cell r="B1737" t="str">
            <v>3210</v>
          </cell>
          <cell r="C1737">
            <v>435000</v>
          </cell>
          <cell r="D1737">
            <v>41244</v>
          </cell>
          <cell r="E1737">
            <v>13591873</v>
          </cell>
          <cell r="F1737">
            <v>13591873</v>
          </cell>
          <cell r="G1737">
            <v>0</v>
          </cell>
          <cell r="H1737">
            <v>1132656</v>
          </cell>
          <cell r="I1737">
            <v>0</v>
          </cell>
        </row>
        <row r="1738">
          <cell r="A1738" t="str">
            <v>3210|435001</v>
          </cell>
          <cell r="B1738" t="str">
            <v>3210</v>
          </cell>
          <cell r="C1738">
            <v>435001</v>
          </cell>
          <cell r="D1738">
            <v>41244</v>
          </cell>
          <cell r="E1738">
            <v>33841173</v>
          </cell>
          <cell r="F1738">
            <v>33841173</v>
          </cell>
          <cell r="G1738">
            <v>32622952</v>
          </cell>
          <cell r="H1738">
            <v>2820098</v>
          </cell>
          <cell r="I1738">
            <v>32622952</v>
          </cell>
        </row>
        <row r="1739">
          <cell r="A1739" t="str">
            <v>3210|435002</v>
          </cell>
          <cell r="B1739" t="str">
            <v>3210</v>
          </cell>
          <cell r="C1739">
            <v>435002</v>
          </cell>
          <cell r="D1739">
            <v>41244</v>
          </cell>
          <cell r="E1739">
            <v>23767949</v>
          </cell>
          <cell r="F1739">
            <v>23767949</v>
          </cell>
          <cell r="G1739">
            <v>0</v>
          </cell>
          <cell r="H1739">
            <v>1980662</v>
          </cell>
          <cell r="I1739">
            <v>0</v>
          </cell>
        </row>
        <row r="1740">
          <cell r="A1740" t="str">
            <v>3210|435003</v>
          </cell>
          <cell r="B1740" t="str">
            <v>3210</v>
          </cell>
          <cell r="C1740">
            <v>435003</v>
          </cell>
          <cell r="D1740">
            <v>41244</v>
          </cell>
          <cell r="E1740">
            <v>28887737</v>
          </cell>
          <cell r="F1740">
            <v>28887737</v>
          </cell>
          <cell r="G1740">
            <v>20466090</v>
          </cell>
          <cell r="H1740">
            <v>2407311</v>
          </cell>
          <cell r="I1740">
            <v>0</v>
          </cell>
        </row>
        <row r="1741">
          <cell r="A1741" t="str">
            <v>3210|439000</v>
          </cell>
          <cell r="B1741" t="str">
            <v>3210</v>
          </cell>
          <cell r="C1741">
            <v>439000</v>
          </cell>
          <cell r="D1741">
            <v>41244</v>
          </cell>
          <cell r="E1741">
            <v>0</v>
          </cell>
          <cell r="F1741">
            <v>0</v>
          </cell>
          <cell r="G1741">
            <v>48553236</v>
          </cell>
          <cell r="H1741">
            <v>0</v>
          </cell>
          <cell r="I1741">
            <v>0</v>
          </cell>
        </row>
        <row r="1742">
          <cell r="A1742" t="str">
            <v>3210|439001</v>
          </cell>
          <cell r="B1742" t="str">
            <v>3210</v>
          </cell>
          <cell r="C1742">
            <v>439001</v>
          </cell>
          <cell r="D1742">
            <v>41244</v>
          </cell>
          <cell r="E1742">
            <v>56376625</v>
          </cell>
          <cell r="F1742">
            <v>56376625</v>
          </cell>
          <cell r="G1742">
            <v>138370743</v>
          </cell>
          <cell r="H1742">
            <v>4698052</v>
          </cell>
          <cell r="I1742">
            <v>0</v>
          </cell>
        </row>
        <row r="1743">
          <cell r="A1743" t="str">
            <v>3210|439003</v>
          </cell>
          <cell r="B1743" t="str">
            <v>3210</v>
          </cell>
          <cell r="C1743">
            <v>439003</v>
          </cell>
          <cell r="D1743">
            <v>41244</v>
          </cell>
          <cell r="E1743">
            <v>44055634</v>
          </cell>
          <cell r="F1743">
            <v>44055634</v>
          </cell>
          <cell r="G1743">
            <v>67228313</v>
          </cell>
          <cell r="H1743">
            <v>3671303</v>
          </cell>
          <cell r="I1743">
            <v>8296600</v>
          </cell>
        </row>
        <row r="1744">
          <cell r="A1744" t="str">
            <v>3210|439008</v>
          </cell>
          <cell r="B1744" t="str">
            <v>3210</v>
          </cell>
          <cell r="C1744">
            <v>439008</v>
          </cell>
          <cell r="D1744">
            <v>41244</v>
          </cell>
          <cell r="E1744">
            <v>65475620</v>
          </cell>
          <cell r="F1744">
            <v>65475620</v>
          </cell>
          <cell r="G1744">
            <v>64068774</v>
          </cell>
          <cell r="H1744">
            <v>5456302</v>
          </cell>
          <cell r="I1744">
            <v>0</v>
          </cell>
        </row>
        <row r="1745">
          <cell r="A1745" t="str">
            <v>3210|439100</v>
          </cell>
          <cell r="B1745" t="str">
            <v>3210</v>
          </cell>
          <cell r="C1745">
            <v>439100</v>
          </cell>
          <cell r="D1745">
            <v>41244</v>
          </cell>
          <cell r="E1745">
            <v>0</v>
          </cell>
          <cell r="F1745">
            <v>0</v>
          </cell>
          <cell r="G1745">
            <v>500000</v>
          </cell>
          <cell r="H1745">
            <v>0</v>
          </cell>
          <cell r="I1745">
            <v>0</v>
          </cell>
        </row>
        <row r="1746">
          <cell r="A1746" t="str">
            <v>3210|439102</v>
          </cell>
          <cell r="B1746" t="str">
            <v>3210</v>
          </cell>
          <cell r="C1746">
            <v>439102</v>
          </cell>
          <cell r="D1746">
            <v>41244</v>
          </cell>
          <cell r="E1746">
            <v>0</v>
          </cell>
          <cell r="F1746">
            <v>0</v>
          </cell>
          <cell r="G1746">
            <v>500000</v>
          </cell>
          <cell r="H1746">
            <v>0</v>
          </cell>
          <cell r="I1746">
            <v>0</v>
          </cell>
        </row>
        <row r="1747">
          <cell r="A1747" t="str">
            <v>3210|439200</v>
          </cell>
          <cell r="B1747" t="str">
            <v>3210</v>
          </cell>
          <cell r="C1747">
            <v>439200</v>
          </cell>
          <cell r="D1747">
            <v>41244</v>
          </cell>
          <cell r="E1747">
            <v>0</v>
          </cell>
          <cell r="F1747">
            <v>0</v>
          </cell>
          <cell r="G1747">
            <v>1101000</v>
          </cell>
          <cell r="H1747">
            <v>0</v>
          </cell>
          <cell r="I1747">
            <v>0</v>
          </cell>
        </row>
        <row r="1748">
          <cell r="A1748" t="str">
            <v>3210|439201</v>
          </cell>
          <cell r="B1748" t="str">
            <v>3210</v>
          </cell>
          <cell r="C1748">
            <v>439201</v>
          </cell>
          <cell r="D1748">
            <v>41244</v>
          </cell>
          <cell r="E1748">
            <v>0</v>
          </cell>
          <cell r="F1748">
            <v>0</v>
          </cell>
          <cell r="G1748">
            <v>2375000</v>
          </cell>
          <cell r="H1748">
            <v>0</v>
          </cell>
          <cell r="I1748">
            <v>0</v>
          </cell>
        </row>
        <row r="1749">
          <cell r="A1749" t="str">
            <v>3210|439202</v>
          </cell>
          <cell r="B1749" t="str">
            <v>3210</v>
          </cell>
          <cell r="C1749">
            <v>439202</v>
          </cell>
          <cell r="D1749">
            <v>41244</v>
          </cell>
          <cell r="E1749">
            <v>0</v>
          </cell>
          <cell r="F1749">
            <v>0</v>
          </cell>
          <cell r="G1749">
            <v>848000</v>
          </cell>
          <cell r="H1749">
            <v>0</v>
          </cell>
          <cell r="I1749">
            <v>0</v>
          </cell>
        </row>
        <row r="1750">
          <cell r="A1750" t="str">
            <v>3210|440000</v>
          </cell>
          <cell r="B1750" t="str">
            <v>3210</v>
          </cell>
          <cell r="C1750">
            <v>440000</v>
          </cell>
          <cell r="D1750">
            <v>41244</v>
          </cell>
          <cell r="E1750">
            <v>13591873</v>
          </cell>
          <cell r="F1750">
            <v>13591873</v>
          </cell>
          <cell r="G1750">
            <v>22400709</v>
          </cell>
          <cell r="H1750">
            <v>1132656</v>
          </cell>
          <cell r="I1750">
            <v>334498</v>
          </cell>
        </row>
        <row r="1751">
          <cell r="A1751" t="str">
            <v>3210|440001</v>
          </cell>
          <cell r="B1751" t="str">
            <v>3210</v>
          </cell>
          <cell r="C1751">
            <v>440001</v>
          </cell>
          <cell r="D1751">
            <v>41244</v>
          </cell>
          <cell r="E1751">
            <v>33841173</v>
          </cell>
          <cell r="F1751">
            <v>33841173</v>
          </cell>
          <cell r="G1751">
            <v>31694745</v>
          </cell>
          <cell r="H1751">
            <v>2820098</v>
          </cell>
          <cell r="I1751">
            <v>3567815</v>
          </cell>
        </row>
        <row r="1752">
          <cell r="A1752" t="str">
            <v>3210|440002</v>
          </cell>
          <cell r="B1752" t="str">
            <v>3210</v>
          </cell>
          <cell r="C1752">
            <v>440002</v>
          </cell>
          <cell r="D1752">
            <v>41244</v>
          </cell>
          <cell r="E1752">
            <v>23767949</v>
          </cell>
          <cell r="F1752">
            <v>23767949</v>
          </cell>
          <cell r="G1752">
            <v>14747219</v>
          </cell>
          <cell r="H1752">
            <v>1980662</v>
          </cell>
          <cell r="I1752">
            <v>0</v>
          </cell>
        </row>
        <row r="1753">
          <cell r="A1753" t="str">
            <v>3210|440003</v>
          </cell>
          <cell r="B1753" t="str">
            <v>3210</v>
          </cell>
          <cell r="C1753">
            <v>440003</v>
          </cell>
          <cell r="D1753">
            <v>41244</v>
          </cell>
          <cell r="E1753">
            <v>19258491</v>
          </cell>
          <cell r="F1753">
            <v>19258491</v>
          </cell>
          <cell r="G1753">
            <v>11040723</v>
          </cell>
          <cell r="H1753">
            <v>1604874</v>
          </cell>
          <cell r="I1753">
            <v>1764098</v>
          </cell>
        </row>
        <row r="1754">
          <cell r="A1754" t="str">
            <v>3210|446000</v>
          </cell>
          <cell r="B1754" t="str">
            <v>3210</v>
          </cell>
          <cell r="C1754">
            <v>446000</v>
          </cell>
          <cell r="D1754">
            <v>41244</v>
          </cell>
          <cell r="E1754">
            <v>0</v>
          </cell>
          <cell r="F1754">
            <v>0</v>
          </cell>
          <cell r="G1754">
            <v>-59034</v>
          </cell>
          <cell r="H1754">
            <v>0</v>
          </cell>
          <cell r="I1754">
            <v>300000</v>
          </cell>
        </row>
        <row r="1755">
          <cell r="A1755" t="str">
            <v>3210|446001</v>
          </cell>
          <cell r="B1755" t="str">
            <v>3210</v>
          </cell>
          <cell r="C1755">
            <v>446001</v>
          </cell>
          <cell r="D1755">
            <v>41244</v>
          </cell>
          <cell r="E1755">
            <v>16920587</v>
          </cell>
          <cell r="F1755">
            <v>16920587</v>
          </cell>
          <cell r="G1755">
            <v>39076904</v>
          </cell>
          <cell r="H1755">
            <v>1410049</v>
          </cell>
          <cell r="I1755">
            <v>1600000</v>
          </cell>
        </row>
        <row r="1756">
          <cell r="A1756" t="str">
            <v>3210|446002</v>
          </cell>
          <cell r="B1756" t="str">
            <v>3210</v>
          </cell>
          <cell r="C1756">
            <v>446002</v>
          </cell>
          <cell r="D1756">
            <v>41244</v>
          </cell>
          <cell r="E1756">
            <v>21883975</v>
          </cell>
          <cell r="F1756">
            <v>21883975</v>
          </cell>
          <cell r="G1756">
            <v>11604495</v>
          </cell>
          <cell r="H1756">
            <v>1823664</v>
          </cell>
          <cell r="I1756">
            <v>0</v>
          </cell>
        </row>
        <row r="1757">
          <cell r="A1757" t="str">
            <v>3210|447000</v>
          </cell>
          <cell r="B1757" t="str">
            <v>3210</v>
          </cell>
          <cell r="C1757">
            <v>447000</v>
          </cell>
          <cell r="D1757">
            <v>41244</v>
          </cell>
          <cell r="E1757">
            <v>2560709</v>
          </cell>
          <cell r="F1757">
            <v>2560709</v>
          </cell>
          <cell r="G1757">
            <v>3178012</v>
          </cell>
          <cell r="H1757">
            <v>213392</v>
          </cell>
          <cell r="I1757">
            <v>254497</v>
          </cell>
        </row>
        <row r="1758">
          <cell r="A1758" t="str">
            <v>3210|447001</v>
          </cell>
          <cell r="B1758" t="str">
            <v>3210</v>
          </cell>
          <cell r="C1758">
            <v>447001</v>
          </cell>
          <cell r="D1758">
            <v>41244</v>
          </cell>
          <cell r="E1758">
            <v>6375677</v>
          </cell>
          <cell r="F1758">
            <v>6375677</v>
          </cell>
          <cell r="G1758">
            <v>4453262</v>
          </cell>
          <cell r="H1758">
            <v>531306</v>
          </cell>
          <cell r="I1758">
            <v>441978</v>
          </cell>
        </row>
        <row r="1759">
          <cell r="A1759" t="str">
            <v>3210|447002</v>
          </cell>
          <cell r="B1759" t="str">
            <v>3210</v>
          </cell>
          <cell r="C1759">
            <v>447002</v>
          </cell>
          <cell r="D1759">
            <v>41244</v>
          </cell>
          <cell r="E1759">
            <v>8290607</v>
          </cell>
          <cell r="F1759">
            <v>8290607</v>
          </cell>
          <cell r="G1759">
            <v>1832408</v>
          </cell>
          <cell r="H1759">
            <v>690884</v>
          </cell>
          <cell r="I1759">
            <v>0</v>
          </cell>
        </row>
        <row r="1760">
          <cell r="A1760" t="str">
            <v>3210|447003</v>
          </cell>
          <cell r="B1760" t="str">
            <v>3210</v>
          </cell>
          <cell r="C1760">
            <v>447003</v>
          </cell>
          <cell r="D1760">
            <v>41244</v>
          </cell>
          <cell r="E1760">
            <v>2035512</v>
          </cell>
          <cell r="F1760">
            <v>2035512</v>
          </cell>
          <cell r="G1760">
            <v>2693364</v>
          </cell>
          <cell r="H1760">
            <v>169626</v>
          </cell>
          <cell r="I1760">
            <v>226441</v>
          </cell>
        </row>
        <row r="1761">
          <cell r="A1761" t="str">
            <v>3210|447010</v>
          </cell>
          <cell r="B1761" t="str">
            <v>3210</v>
          </cell>
          <cell r="C1761">
            <v>447010</v>
          </cell>
          <cell r="D1761">
            <v>41244</v>
          </cell>
          <cell r="E1761">
            <v>6034791</v>
          </cell>
          <cell r="F1761">
            <v>6034791</v>
          </cell>
          <cell r="G1761">
            <v>7489534</v>
          </cell>
          <cell r="H1761">
            <v>502899</v>
          </cell>
          <cell r="I1761">
            <v>599770</v>
          </cell>
        </row>
        <row r="1762">
          <cell r="A1762" t="str">
            <v>3210|447011</v>
          </cell>
          <cell r="B1762" t="str">
            <v>3210</v>
          </cell>
          <cell r="C1762">
            <v>447011</v>
          </cell>
          <cell r="D1762">
            <v>41244</v>
          </cell>
          <cell r="E1762">
            <v>15025481</v>
          </cell>
          <cell r="F1762">
            <v>15025481</v>
          </cell>
          <cell r="G1762">
            <v>12462817</v>
          </cell>
          <cell r="H1762">
            <v>1252123</v>
          </cell>
          <cell r="I1762">
            <v>1207050</v>
          </cell>
        </row>
        <row r="1763">
          <cell r="A1763" t="str">
            <v>3210|447012</v>
          </cell>
          <cell r="B1763" t="str">
            <v>3210</v>
          </cell>
          <cell r="C1763">
            <v>447012</v>
          </cell>
          <cell r="D1763">
            <v>41244</v>
          </cell>
          <cell r="E1763">
            <v>19538372</v>
          </cell>
          <cell r="F1763">
            <v>19538372</v>
          </cell>
          <cell r="G1763">
            <v>6324216</v>
          </cell>
          <cell r="H1763">
            <v>1628198</v>
          </cell>
          <cell r="I1763">
            <v>0</v>
          </cell>
        </row>
        <row r="1764">
          <cell r="A1764" t="str">
            <v>3210|447013</v>
          </cell>
          <cell r="B1764" t="str">
            <v>3210</v>
          </cell>
          <cell r="C1764">
            <v>447013</v>
          </cell>
          <cell r="D1764">
            <v>41244</v>
          </cell>
          <cell r="E1764">
            <v>4797067</v>
          </cell>
          <cell r="F1764">
            <v>4797067</v>
          </cell>
          <cell r="G1764">
            <v>6347424</v>
          </cell>
          <cell r="H1764">
            <v>399756</v>
          </cell>
          <cell r="I1764">
            <v>533651</v>
          </cell>
        </row>
        <row r="1765">
          <cell r="A1765" t="str">
            <v>3210|447020</v>
          </cell>
          <cell r="B1765" t="str">
            <v>3210</v>
          </cell>
          <cell r="C1765">
            <v>447020</v>
          </cell>
          <cell r="D1765">
            <v>41244</v>
          </cell>
          <cell r="E1765">
            <v>256071</v>
          </cell>
          <cell r="F1765">
            <v>256071</v>
          </cell>
          <cell r="G1765">
            <v>415061</v>
          </cell>
          <cell r="H1765">
            <v>21339</v>
          </cell>
          <cell r="I1765">
            <v>44850</v>
          </cell>
        </row>
        <row r="1766">
          <cell r="A1766" t="str">
            <v>3210|447021</v>
          </cell>
          <cell r="B1766" t="str">
            <v>3210</v>
          </cell>
          <cell r="C1766">
            <v>447021</v>
          </cell>
          <cell r="D1766">
            <v>41244</v>
          </cell>
          <cell r="E1766">
            <v>637568</v>
          </cell>
          <cell r="F1766">
            <v>637568</v>
          </cell>
          <cell r="G1766">
            <v>303299</v>
          </cell>
          <cell r="H1766">
            <v>53131</v>
          </cell>
          <cell r="I1766">
            <v>39000</v>
          </cell>
        </row>
        <row r="1767">
          <cell r="A1767" t="str">
            <v>3210|447022</v>
          </cell>
          <cell r="B1767" t="str">
            <v>3210</v>
          </cell>
          <cell r="C1767">
            <v>447022</v>
          </cell>
          <cell r="D1767">
            <v>41244</v>
          </cell>
          <cell r="E1767">
            <v>829061</v>
          </cell>
          <cell r="F1767">
            <v>829061</v>
          </cell>
          <cell r="G1767">
            <v>228347</v>
          </cell>
          <cell r="H1767">
            <v>69088</v>
          </cell>
          <cell r="I1767">
            <v>0</v>
          </cell>
        </row>
        <row r="1768">
          <cell r="A1768" t="str">
            <v>3210|447023</v>
          </cell>
          <cell r="B1768" t="str">
            <v>3210</v>
          </cell>
          <cell r="C1768">
            <v>447023</v>
          </cell>
          <cell r="D1768">
            <v>41244</v>
          </cell>
          <cell r="E1768">
            <v>203551</v>
          </cell>
          <cell r="F1768">
            <v>203551</v>
          </cell>
          <cell r="G1768">
            <v>435351</v>
          </cell>
          <cell r="H1768">
            <v>16963</v>
          </cell>
          <cell r="I1768">
            <v>0</v>
          </cell>
        </row>
        <row r="1769">
          <cell r="A1769" t="str">
            <v>3210|448000</v>
          </cell>
          <cell r="B1769" t="str">
            <v>3210</v>
          </cell>
          <cell r="C1769">
            <v>448000</v>
          </cell>
          <cell r="D1769">
            <v>41244</v>
          </cell>
          <cell r="E1769">
            <v>31247653</v>
          </cell>
          <cell r="F1769">
            <v>31247653</v>
          </cell>
          <cell r="G1769">
            <v>5554000</v>
          </cell>
          <cell r="H1769">
            <v>2603971</v>
          </cell>
          <cell r="I1769">
            <v>133000</v>
          </cell>
        </row>
        <row r="1770">
          <cell r="A1770" t="str">
            <v>3210|448001</v>
          </cell>
          <cell r="B1770" t="str">
            <v>3210</v>
          </cell>
          <cell r="C1770">
            <v>448001</v>
          </cell>
          <cell r="D1770">
            <v>41244</v>
          </cell>
          <cell r="E1770">
            <v>90980525</v>
          </cell>
          <cell r="F1770">
            <v>90980525</v>
          </cell>
          <cell r="G1770">
            <v>36867972</v>
          </cell>
          <cell r="H1770">
            <v>7581710</v>
          </cell>
          <cell r="I1770">
            <v>5320900</v>
          </cell>
        </row>
        <row r="1771">
          <cell r="A1771" t="str">
            <v>3210|448002</v>
          </cell>
          <cell r="B1771" t="str">
            <v>3210</v>
          </cell>
          <cell r="C1771">
            <v>448002</v>
          </cell>
          <cell r="D1771">
            <v>41244</v>
          </cell>
          <cell r="E1771">
            <v>39257667</v>
          </cell>
          <cell r="F1771">
            <v>39257667</v>
          </cell>
          <cell r="G1771">
            <v>2378200</v>
          </cell>
          <cell r="H1771">
            <v>3271473</v>
          </cell>
          <cell r="I1771">
            <v>0</v>
          </cell>
        </row>
        <row r="1772">
          <cell r="A1772" t="str">
            <v>3210|448003</v>
          </cell>
          <cell r="B1772" t="str">
            <v>3210</v>
          </cell>
          <cell r="C1772">
            <v>448003</v>
          </cell>
          <cell r="D1772">
            <v>41244</v>
          </cell>
          <cell r="E1772">
            <v>19610005</v>
          </cell>
          <cell r="F1772">
            <v>19610005</v>
          </cell>
          <cell r="G1772">
            <v>2138264</v>
          </cell>
          <cell r="H1772">
            <v>1634167</v>
          </cell>
          <cell r="I1772">
            <v>0</v>
          </cell>
        </row>
        <row r="1773">
          <cell r="A1773" t="str">
            <v>3210|449020</v>
          </cell>
          <cell r="B1773" t="str">
            <v>3210</v>
          </cell>
          <cell r="C1773">
            <v>449020</v>
          </cell>
          <cell r="D1773">
            <v>41244</v>
          </cell>
          <cell r="E1773">
            <v>15840000</v>
          </cell>
          <cell r="F1773">
            <v>15840000</v>
          </cell>
          <cell r="G1773">
            <v>18808000</v>
          </cell>
          <cell r="H1773">
            <v>1320000</v>
          </cell>
          <cell r="I1773">
            <v>357000</v>
          </cell>
        </row>
        <row r="1774">
          <cell r="A1774" t="str">
            <v>3210|449022</v>
          </cell>
          <cell r="B1774" t="str">
            <v>3210</v>
          </cell>
          <cell r="C1774">
            <v>449022</v>
          </cell>
          <cell r="D1774">
            <v>41244</v>
          </cell>
          <cell r="E1774">
            <v>15840000</v>
          </cell>
          <cell r="F1774">
            <v>15840000</v>
          </cell>
          <cell r="G1774">
            <v>13400000</v>
          </cell>
          <cell r="H1774">
            <v>1320000</v>
          </cell>
          <cell r="I1774">
            <v>0</v>
          </cell>
        </row>
        <row r="1775">
          <cell r="A1775" t="str">
            <v>3210|449023</v>
          </cell>
          <cell r="B1775" t="str">
            <v>3210</v>
          </cell>
          <cell r="C1775">
            <v>449023</v>
          </cell>
          <cell r="D1775">
            <v>41244</v>
          </cell>
          <cell r="E1775">
            <v>33450000</v>
          </cell>
          <cell r="F1775">
            <v>33450000</v>
          </cell>
          <cell r="G1775">
            <v>34631112</v>
          </cell>
          <cell r="H1775">
            <v>2787500</v>
          </cell>
          <cell r="I1775">
            <v>2230000</v>
          </cell>
        </row>
        <row r="1776">
          <cell r="A1776" t="str">
            <v>3210|449025</v>
          </cell>
          <cell r="B1776" t="str">
            <v>3210</v>
          </cell>
          <cell r="C1776">
            <v>449025</v>
          </cell>
          <cell r="D1776">
            <v>41244</v>
          </cell>
          <cell r="E1776">
            <v>39600000</v>
          </cell>
          <cell r="F1776">
            <v>39600000</v>
          </cell>
          <cell r="G1776">
            <v>40665000</v>
          </cell>
          <cell r="H1776">
            <v>3300000</v>
          </cell>
          <cell r="I1776">
            <v>4494000</v>
          </cell>
        </row>
        <row r="1777">
          <cell r="A1777" t="str">
            <v>3210|449032</v>
          </cell>
          <cell r="B1777" t="str">
            <v>3210</v>
          </cell>
          <cell r="C1777">
            <v>449032</v>
          </cell>
          <cell r="D1777">
            <v>41244</v>
          </cell>
          <cell r="E1777">
            <v>1753847</v>
          </cell>
          <cell r="F1777">
            <v>1753847</v>
          </cell>
          <cell r="G1777">
            <v>0</v>
          </cell>
          <cell r="H1777">
            <v>146154</v>
          </cell>
          <cell r="I1777">
            <v>0</v>
          </cell>
        </row>
        <row r="1778">
          <cell r="A1778" t="str">
            <v>3210|449040</v>
          </cell>
          <cell r="B1778" t="str">
            <v>3210</v>
          </cell>
          <cell r="C1778">
            <v>449040</v>
          </cell>
          <cell r="D1778">
            <v>41244</v>
          </cell>
          <cell r="E1778">
            <v>6250000</v>
          </cell>
          <cell r="F1778">
            <v>6250000</v>
          </cell>
          <cell r="G1778">
            <v>-1000000</v>
          </cell>
          <cell r="H1778">
            <v>520832</v>
          </cell>
          <cell r="I1778">
            <v>0</v>
          </cell>
        </row>
        <row r="1779">
          <cell r="A1779" t="str">
            <v>3210|449050</v>
          </cell>
          <cell r="B1779" t="str">
            <v>3210</v>
          </cell>
          <cell r="C1779">
            <v>449050</v>
          </cell>
          <cell r="D1779">
            <v>41244</v>
          </cell>
          <cell r="E1779">
            <v>0</v>
          </cell>
          <cell r="F1779">
            <v>0</v>
          </cell>
          <cell r="G1779">
            <v>14799982</v>
          </cell>
          <cell r="H1779">
            <v>0</v>
          </cell>
          <cell r="I1779">
            <v>2466667</v>
          </cell>
        </row>
        <row r="1780">
          <cell r="A1780" t="str">
            <v>3210|449060</v>
          </cell>
          <cell r="B1780" t="str">
            <v>3210</v>
          </cell>
          <cell r="C1780">
            <v>449060</v>
          </cell>
          <cell r="D1780">
            <v>41244</v>
          </cell>
          <cell r="E1780">
            <v>2196735</v>
          </cell>
          <cell r="F1780">
            <v>2196735</v>
          </cell>
          <cell r="G1780">
            <v>5176519</v>
          </cell>
          <cell r="H1780">
            <v>183061</v>
          </cell>
          <cell r="I1780">
            <v>505260</v>
          </cell>
        </row>
        <row r="1781">
          <cell r="A1781" t="str">
            <v>3210|449061</v>
          </cell>
          <cell r="B1781" t="str">
            <v>3210</v>
          </cell>
          <cell r="C1781">
            <v>449061</v>
          </cell>
          <cell r="D1781">
            <v>41244</v>
          </cell>
          <cell r="E1781">
            <v>30019100</v>
          </cell>
          <cell r="F1781">
            <v>30019100</v>
          </cell>
          <cell r="G1781">
            <v>25257375</v>
          </cell>
          <cell r="H1781">
            <v>2501592</v>
          </cell>
          <cell r="I1781">
            <v>2606400</v>
          </cell>
        </row>
        <row r="1782">
          <cell r="A1782" t="str">
            <v>3210|451000</v>
          </cell>
          <cell r="B1782" t="str">
            <v>3210</v>
          </cell>
          <cell r="C1782">
            <v>451000</v>
          </cell>
          <cell r="D1782">
            <v>41244</v>
          </cell>
          <cell r="E1782">
            <v>61508500</v>
          </cell>
          <cell r="F1782">
            <v>61508500</v>
          </cell>
          <cell r="G1782">
            <v>37596722</v>
          </cell>
          <cell r="H1782">
            <v>5125717</v>
          </cell>
          <cell r="I1782">
            <v>8114344</v>
          </cell>
        </row>
        <row r="1783">
          <cell r="A1783" t="str">
            <v>3210|452000</v>
          </cell>
          <cell r="B1783" t="str">
            <v>3210</v>
          </cell>
          <cell r="C1783">
            <v>452000</v>
          </cell>
          <cell r="D1783">
            <v>41244</v>
          </cell>
          <cell r="E1783">
            <v>28242200</v>
          </cell>
          <cell r="F1783">
            <v>28242200</v>
          </cell>
          <cell r="G1783">
            <v>15757500</v>
          </cell>
          <cell r="H1783">
            <v>2353515</v>
          </cell>
          <cell r="I1783">
            <v>14385000</v>
          </cell>
        </row>
        <row r="1784">
          <cell r="A1784" t="str">
            <v>3210|452001</v>
          </cell>
          <cell r="B1784" t="str">
            <v>3210</v>
          </cell>
          <cell r="C1784">
            <v>452001</v>
          </cell>
          <cell r="D1784">
            <v>41244</v>
          </cell>
          <cell r="E1784">
            <v>3087500</v>
          </cell>
          <cell r="F1784">
            <v>3087500</v>
          </cell>
          <cell r="G1784">
            <v>1275000</v>
          </cell>
          <cell r="H1784">
            <v>257292</v>
          </cell>
          <cell r="I1784">
            <v>0</v>
          </cell>
        </row>
        <row r="1785">
          <cell r="A1785" t="str">
            <v>3210|455000</v>
          </cell>
          <cell r="B1785" t="str">
            <v>3210</v>
          </cell>
          <cell r="C1785">
            <v>455000</v>
          </cell>
          <cell r="D1785">
            <v>41244</v>
          </cell>
          <cell r="E1785">
            <v>5743907</v>
          </cell>
          <cell r="F1785">
            <v>5743907</v>
          </cell>
          <cell r="G1785">
            <v>19265521</v>
          </cell>
          <cell r="H1785">
            <v>478659</v>
          </cell>
          <cell r="I1785">
            <v>880204</v>
          </cell>
        </row>
        <row r="1786">
          <cell r="A1786" t="str">
            <v>3210|455001</v>
          </cell>
          <cell r="B1786" t="str">
            <v>3210</v>
          </cell>
          <cell r="C1786">
            <v>455001</v>
          </cell>
          <cell r="D1786">
            <v>41244</v>
          </cell>
          <cell r="E1786">
            <v>0</v>
          </cell>
          <cell r="F1786">
            <v>0</v>
          </cell>
          <cell r="G1786">
            <v>1202872</v>
          </cell>
          <cell r="H1786">
            <v>0</v>
          </cell>
          <cell r="I1786">
            <v>0</v>
          </cell>
        </row>
        <row r="1787">
          <cell r="A1787" t="str">
            <v>3210|455002</v>
          </cell>
          <cell r="B1787" t="str">
            <v>3210</v>
          </cell>
          <cell r="C1787">
            <v>455002</v>
          </cell>
          <cell r="D1787">
            <v>41244</v>
          </cell>
          <cell r="E1787">
            <v>1099579</v>
          </cell>
          <cell r="F1787">
            <v>1099579</v>
          </cell>
          <cell r="G1787">
            <v>8201789</v>
          </cell>
          <cell r="H1787">
            <v>91632</v>
          </cell>
          <cell r="I1787">
            <v>62745</v>
          </cell>
        </row>
        <row r="1788">
          <cell r="A1788" t="str">
            <v>3210|459000</v>
          </cell>
          <cell r="B1788" t="str">
            <v>3210</v>
          </cell>
          <cell r="C1788">
            <v>459000</v>
          </cell>
          <cell r="D1788">
            <v>41244</v>
          </cell>
          <cell r="E1788">
            <v>2550000</v>
          </cell>
          <cell r="F1788">
            <v>2550000</v>
          </cell>
          <cell r="G1788">
            <v>2122730</v>
          </cell>
          <cell r="H1788">
            <v>212500</v>
          </cell>
          <cell r="I1788">
            <v>0</v>
          </cell>
        </row>
        <row r="1789">
          <cell r="A1789" t="str">
            <v>3210|459002</v>
          </cell>
          <cell r="B1789" t="str">
            <v>3210</v>
          </cell>
          <cell r="C1789">
            <v>459002</v>
          </cell>
          <cell r="D1789">
            <v>41244</v>
          </cell>
          <cell r="E1789">
            <v>76700000</v>
          </cell>
          <cell r="F1789">
            <v>76700000</v>
          </cell>
          <cell r="G1789">
            <v>75723300</v>
          </cell>
          <cell r="H1789">
            <v>6391667</v>
          </cell>
          <cell r="I1789">
            <v>962500</v>
          </cell>
        </row>
        <row r="1790">
          <cell r="A1790" t="str">
            <v>3210|470101</v>
          </cell>
          <cell r="B1790" t="str">
            <v>3210</v>
          </cell>
          <cell r="C1790">
            <v>470101</v>
          </cell>
          <cell r="D1790">
            <v>41244</v>
          </cell>
          <cell r="E1790">
            <v>399771</v>
          </cell>
          <cell r="F1790">
            <v>399771</v>
          </cell>
          <cell r="G1790">
            <v>0</v>
          </cell>
          <cell r="H1790">
            <v>33314</v>
          </cell>
          <cell r="I1790">
            <v>0</v>
          </cell>
        </row>
        <row r="1791">
          <cell r="A1791" t="str">
            <v>3210|470102</v>
          </cell>
          <cell r="B1791" t="str">
            <v>3210</v>
          </cell>
          <cell r="C1791">
            <v>470102</v>
          </cell>
          <cell r="D1791">
            <v>41244</v>
          </cell>
          <cell r="E1791">
            <v>5914800</v>
          </cell>
          <cell r="F1791">
            <v>5914800</v>
          </cell>
          <cell r="G1791">
            <v>8344745</v>
          </cell>
          <cell r="H1791">
            <v>492900</v>
          </cell>
          <cell r="I1791">
            <v>860998</v>
          </cell>
        </row>
        <row r="1792">
          <cell r="A1792" t="str">
            <v>3210|471000</v>
          </cell>
          <cell r="B1792" t="str">
            <v>3210</v>
          </cell>
          <cell r="C1792">
            <v>471000</v>
          </cell>
          <cell r="D1792">
            <v>41244</v>
          </cell>
          <cell r="E1792">
            <v>21715565</v>
          </cell>
          <cell r="F1792">
            <v>21715565</v>
          </cell>
          <cell r="G1792">
            <v>36441420</v>
          </cell>
          <cell r="H1792">
            <v>1809630</v>
          </cell>
          <cell r="I1792">
            <v>8637070</v>
          </cell>
        </row>
        <row r="1793">
          <cell r="A1793" t="str">
            <v>3210|473000</v>
          </cell>
          <cell r="B1793" t="str">
            <v>3210</v>
          </cell>
          <cell r="C1793">
            <v>473000</v>
          </cell>
          <cell r="D1793">
            <v>41244</v>
          </cell>
          <cell r="E1793">
            <v>30000</v>
          </cell>
          <cell r="F1793">
            <v>30000</v>
          </cell>
          <cell r="G1793">
            <v>30000</v>
          </cell>
          <cell r="H1793">
            <v>2500</v>
          </cell>
          <cell r="I1793">
            <v>0</v>
          </cell>
        </row>
        <row r="1794">
          <cell r="A1794" t="str">
            <v>3210|473120</v>
          </cell>
          <cell r="B1794" t="str">
            <v>3210</v>
          </cell>
          <cell r="C1794">
            <v>473120</v>
          </cell>
          <cell r="D1794">
            <v>41244</v>
          </cell>
          <cell r="E1794">
            <v>6054281</v>
          </cell>
          <cell r="F1794">
            <v>6054281</v>
          </cell>
          <cell r="G1794">
            <v>5337654</v>
          </cell>
          <cell r="H1794">
            <v>504523</v>
          </cell>
          <cell r="I1794">
            <v>454294</v>
          </cell>
        </row>
        <row r="1795">
          <cell r="A1795" t="str">
            <v>3210|474100</v>
          </cell>
          <cell r="B1795" t="str">
            <v>3210</v>
          </cell>
          <cell r="C1795">
            <v>474100</v>
          </cell>
          <cell r="D1795">
            <v>41244</v>
          </cell>
          <cell r="E1795">
            <v>362000</v>
          </cell>
          <cell r="F1795">
            <v>362000</v>
          </cell>
          <cell r="G1795">
            <v>-362000</v>
          </cell>
          <cell r="H1795">
            <v>30167</v>
          </cell>
          <cell r="I1795">
            <v>0</v>
          </cell>
        </row>
        <row r="1796">
          <cell r="A1796" t="str">
            <v>3210|475000</v>
          </cell>
          <cell r="B1796" t="str">
            <v>3210</v>
          </cell>
          <cell r="C1796">
            <v>475000</v>
          </cell>
          <cell r="D1796">
            <v>41244</v>
          </cell>
          <cell r="E1796">
            <v>9210849</v>
          </cell>
          <cell r="F1796">
            <v>9210849</v>
          </cell>
          <cell r="G1796">
            <v>144354</v>
          </cell>
          <cell r="H1796">
            <v>767571</v>
          </cell>
          <cell r="I1796">
            <v>0</v>
          </cell>
        </row>
        <row r="1797">
          <cell r="A1797" t="str">
            <v>3210|475001</v>
          </cell>
          <cell r="B1797" t="str">
            <v>3210</v>
          </cell>
          <cell r="C1797">
            <v>475001</v>
          </cell>
          <cell r="D1797">
            <v>41244</v>
          </cell>
          <cell r="E1797">
            <v>12398700</v>
          </cell>
          <cell r="F1797">
            <v>12398700</v>
          </cell>
          <cell r="G1797">
            <v>-1000000</v>
          </cell>
          <cell r="H1797">
            <v>1033225</v>
          </cell>
          <cell r="I1797">
            <v>0</v>
          </cell>
        </row>
        <row r="1798">
          <cell r="A1798" t="str">
            <v>3210|475002</v>
          </cell>
          <cell r="B1798" t="str">
            <v>3210</v>
          </cell>
          <cell r="C1798">
            <v>475002</v>
          </cell>
          <cell r="D1798">
            <v>41244</v>
          </cell>
          <cell r="E1798">
            <v>0</v>
          </cell>
          <cell r="F1798">
            <v>0</v>
          </cell>
          <cell r="G1798">
            <v>2876335</v>
          </cell>
          <cell r="H1798">
            <v>0</v>
          </cell>
          <cell r="I1798">
            <v>142188</v>
          </cell>
        </row>
        <row r="1799">
          <cell r="A1799" t="str">
            <v>3210|475003</v>
          </cell>
          <cell r="B1799" t="str">
            <v>3210</v>
          </cell>
          <cell r="C1799">
            <v>475003</v>
          </cell>
          <cell r="D1799">
            <v>41244</v>
          </cell>
          <cell r="E1799">
            <v>890000</v>
          </cell>
          <cell r="F1799">
            <v>890000</v>
          </cell>
          <cell r="G1799">
            <v>0</v>
          </cell>
          <cell r="H1799">
            <v>74167</v>
          </cell>
          <cell r="I1799">
            <v>0</v>
          </cell>
        </row>
        <row r="1800">
          <cell r="A1800" t="str">
            <v>3210|475006</v>
          </cell>
          <cell r="B1800" t="str">
            <v>3210</v>
          </cell>
          <cell r="C1800">
            <v>475006</v>
          </cell>
          <cell r="D1800">
            <v>41244</v>
          </cell>
          <cell r="E1800">
            <v>1637550</v>
          </cell>
          <cell r="F1800">
            <v>1637550</v>
          </cell>
          <cell r="G1800">
            <v>0</v>
          </cell>
          <cell r="H1800">
            <v>136462</v>
          </cell>
          <cell r="I1800">
            <v>0</v>
          </cell>
        </row>
        <row r="1801">
          <cell r="A1801" t="str">
            <v>3210|476000</v>
          </cell>
          <cell r="B1801" t="str">
            <v>3210</v>
          </cell>
          <cell r="C1801">
            <v>476000</v>
          </cell>
          <cell r="D1801">
            <v>41244</v>
          </cell>
          <cell r="E1801">
            <v>15774773</v>
          </cell>
          <cell r="F1801">
            <v>15774773</v>
          </cell>
          <cell r="G1801">
            <v>12590374</v>
          </cell>
          <cell r="H1801">
            <v>1314564</v>
          </cell>
          <cell r="I1801">
            <v>1403900</v>
          </cell>
        </row>
        <row r="1802">
          <cell r="A1802" t="str">
            <v>3210|476001</v>
          </cell>
          <cell r="B1802" t="str">
            <v>3210</v>
          </cell>
          <cell r="C1802">
            <v>476001</v>
          </cell>
          <cell r="D1802">
            <v>41244</v>
          </cell>
          <cell r="E1802">
            <v>575000</v>
          </cell>
          <cell r="F1802">
            <v>575000</v>
          </cell>
          <cell r="G1802">
            <v>-245000</v>
          </cell>
          <cell r="H1802">
            <v>47917</v>
          </cell>
          <cell r="I1802">
            <v>0</v>
          </cell>
        </row>
        <row r="1803">
          <cell r="A1803" t="str">
            <v>3210|476220</v>
          </cell>
          <cell r="B1803" t="str">
            <v>3210</v>
          </cell>
          <cell r="C1803">
            <v>476220</v>
          </cell>
          <cell r="D1803">
            <v>41244</v>
          </cell>
          <cell r="E1803">
            <v>996100</v>
          </cell>
          <cell r="F1803">
            <v>996100</v>
          </cell>
          <cell r="G1803">
            <v>32517150</v>
          </cell>
          <cell r="H1803">
            <v>83008</v>
          </cell>
          <cell r="I1803">
            <v>9017661</v>
          </cell>
        </row>
        <row r="1804">
          <cell r="A1804" t="str">
            <v>3210|476223</v>
          </cell>
          <cell r="B1804" t="str">
            <v>3210</v>
          </cell>
          <cell r="C1804">
            <v>476223</v>
          </cell>
          <cell r="D1804">
            <v>41244</v>
          </cell>
          <cell r="E1804">
            <v>116023700</v>
          </cell>
          <cell r="F1804">
            <v>116023700</v>
          </cell>
          <cell r="G1804">
            <v>30829741</v>
          </cell>
          <cell r="H1804">
            <v>9668643</v>
          </cell>
          <cell r="I1804">
            <v>9318358</v>
          </cell>
        </row>
        <row r="1805">
          <cell r="A1805" t="str">
            <v>3210|477800</v>
          </cell>
          <cell r="B1805" t="str">
            <v>3210</v>
          </cell>
          <cell r="C1805">
            <v>477800</v>
          </cell>
          <cell r="D1805">
            <v>41244</v>
          </cell>
          <cell r="E1805">
            <v>244119900</v>
          </cell>
          <cell r="F1805">
            <v>244119900</v>
          </cell>
          <cell r="G1805">
            <v>258894334</v>
          </cell>
          <cell r="H1805">
            <v>20343325</v>
          </cell>
          <cell r="I1805">
            <v>19035480</v>
          </cell>
        </row>
        <row r="1806">
          <cell r="A1806" t="str">
            <v>3220|211100</v>
          </cell>
          <cell r="B1806" t="str">
            <v>3220</v>
          </cell>
          <cell r="C1806">
            <v>211100</v>
          </cell>
          <cell r="D1806">
            <v>41244</v>
          </cell>
          <cell r="E1806">
            <v>689085</v>
          </cell>
          <cell r="F1806">
            <v>689085</v>
          </cell>
          <cell r="G1806">
            <v>2842490</v>
          </cell>
          <cell r="H1806">
            <v>57424</v>
          </cell>
          <cell r="I1806">
            <v>362641</v>
          </cell>
        </row>
        <row r="1807">
          <cell r="A1807" t="str">
            <v>3220|246000</v>
          </cell>
          <cell r="B1807" t="str">
            <v>3220</v>
          </cell>
          <cell r="C1807">
            <v>246000</v>
          </cell>
          <cell r="D1807">
            <v>41244</v>
          </cell>
          <cell r="E1807">
            <v>2400000</v>
          </cell>
          <cell r="F1807">
            <v>2400000</v>
          </cell>
          <cell r="G1807">
            <v>2000000</v>
          </cell>
          <cell r="H1807">
            <v>200000</v>
          </cell>
          <cell r="I1807">
            <v>0</v>
          </cell>
        </row>
        <row r="1808">
          <cell r="A1808" t="str">
            <v>3220|400040</v>
          </cell>
          <cell r="B1808" t="str">
            <v>3220</v>
          </cell>
          <cell r="C1808">
            <v>400040</v>
          </cell>
          <cell r="D1808">
            <v>41244</v>
          </cell>
          <cell r="E1808">
            <v>410000</v>
          </cell>
          <cell r="F1808">
            <v>410000</v>
          </cell>
          <cell r="G1808">
            <v>0</v>
          </cell>
          <cell r="H1808">
            <v>34167</v>
          </cell>
          <cell r="I1808">
            <v>0</v>
          </cell>
        </row>
        <row r="1809">
          <cell r="A1809" t="str">
            <v>3220|420002</v>
          </cell>
          <cell r="B1809" t="str">
            <v>3220</v>
          </cell>
          <cell r="C1809">
            <v>420002</v>
          </cell>
          <cell r="D1809">
            <v>41244</v>
          </cell>
          <cell r="E1809">
            <v>71303847</v>
          </cell>
          <cell r="F1809">
            <v>71303847</v>
          </cell>
          <cell r="G1809">
            <v>133347000</v>
          </cell>
          <cell r="H1809">
            <v>5941987</v>
          </cell>
          <cell r="I1809">
            <v>11211000</v>
          </cell>
        </row>
        <row r="1810">
          <cell r="A1810" t="str">
            <v>3220|420003</v>
          </cell>
          <cell r="B1810" t="str">
            <v>3220</v>
          </cell>
          <cell r="C1810">
            <v>420003</v>
          </cell>
          <cell r="D1810">
            <v>41244</v>
          </cell>
          <cell r="E1810">
            <v>231101892</v>
          </cell>
          <cell r="F1810">
            <v>231101892</v>
          </cell>
          <cell r="G1810">
            <v>227687156</v>
          </cell>
          <cell r="H1810">
            <v>19258491</v>
          </cell>
          <cell r="I1810">
            <v>19094022</v>
          </cell>
        </row>
        <row r="1811">
          <cell r="A1811" t="str">
            <v>3220|433002</v>
          </cell>
          <cell r="B1811" t="str">
            <v>3220</v>
          </cell>
          <cell r="C1811">
            <v>433002</v>
          </cell>
          <cell r="D1811">
            <v>41244</v>
          </cell>
          <cell r="E1811">
            <v>6126088</v>
          </cell>
          <cell r="F1811">
            <v>6126088</v>
          </cell>
          <cell r="G1811">
            <v>6667350</v>
          </cell>
          <cell r="H1811">
            <v>510507</v>
          </cell>
          <cell r="I1811">
            <v>560550</v>
          </cell>
        </row>
        <row r="1812">
          <cell r="A1812" t="str">
            <v>3220|434012</v>
          </cell>
          <cell r="B1812" t="str">
            <v>3220</v>
          </cell>
          <cell r="C1812">
            <v>434012</v>
          </cell>
          <cell r="D1812">
            <v>41244</v>
          </cell>
          <cell r="E1812">
            <v>0</v>
          </cell>
          <cell r="F1812">
            <v>0</v>
          </cell>
          <cell r="G1812">
            <v>2799543</v>
          </cell>
          <cell r="H1812">
            <v>0</v>
          </cell>
          <cell r="I1812">
            <v>982145</v>
          </cell>
        </row>
        <row r="1813">
          <cell r="A1813" t="str">
            <v>3220|434013</v>
          </cell>
          <cell r="B1813" t="str">
            <v>3220</v>
          </cell>
          <cell r="C1813">
            <v>434013</v>
          </cell>
          <cell r="D1813">
            <v>41244</v>
          </cell>
          <cell r="E1813">
            <v>0</v>
          </cell>
          <cell r="F1813">
            <v>0</v>
          </cell>
          <cell r="G1813">
            <v>4244886</v>
          </cell>
          <cell r="H1813">
            <v>0</v>
          </cell>
          <cell r="I1813">
            <v>1366596</v>
          </cell>
        </row>
        <row r="1814">
          <cell r="A1814" t="str">
            <v>3220|435002</v>
          </cell>
          <cell r="B1814" t="str">
            <v>3220</v>
          </cell>
          <cell r="C1814">
            <v>435002</v>
          </cell>
          <cell r="D1814">
            <v>41244</v>
          </cell>
          <cell r="E1814">
            <v>5941987</v>
          </cell>
          <cell r="F1814">
            <v>5941987</v>
          </cell>
          <cell r="G1814">
            <v>11211000</v>
          </cell>
          <cell r="H1814">
            <v>495166</v>
          </cell>
          <cell r="I1814">
            <v>11211000</v>
          </cell>
        </row>
        <row r="1815">
          <cell r="A1815" t="str">
            <v>3220|435003</v>
          </cell>
          <cell r="B1815" t="str">
            <v>3220</v>
          </cell>
          <cell r="C1815">
            <v>435003</v>
          </cell>
          <cell r="D1815">
            <v>41244</v>
          </cell>
          <cell r="E1815">
            <v>28887737</v>
          </cell>
          <cell r="F1815">
            <v>28887737</v>
          </cell>
          <cell r="G1815">
            <v>33129677</v>
          </cell>
          <cell r="H1815">
            <v>2407311</v>
          </cell>
          <cell r="I1815">
            <v>0</v>
          </cell>
        </row>
        <row r="1816">
          <cell r="A1816" t="str">
            <v>3220|439003</v>
          </cell>
          <cell r="B1816" t="str">
            <v>3220</v>
          </cell>
          <cell r="C1816">
            <v>439003</v>
          </cell>
          <cell r="D1816">
            <v>41244</v>
          </cell>
          <cell r="E1816">
            <v>44055634</v>
          </cell>
          <cell r="F1816">
            <v>44055634</v>
          </cell>
          <cell r="G1816">
            <v>67228313</v>
          </cell>
          <cell r="H1816">
            <v>3671303</v>
          </cell>
          <cell r="I1816">
            <v>8296600</v>
          </cell>
        </row>
        <row r="1817">
          <cell r="A1817" t="str">
            <v>3220|439008</v>
          </cell>
          <cell r="B1817" t="str">
            <v>3220</v>
          </cell>
          <cell r="C1817">
            <v>439008</v>
          </cell>
          <cell r="D1817">
            <v>41244</v>
          </cell>
          <cell r="E1817">
            <v>16368905</v>
          </cell>
          <cell r="F1817">
            <v>16368905</v>
          </cell>
          <cell r="G1817">
            <v>22346622</v>
          </cell>
          <cell r="H1817">
            <v>1364075</v>
          </cell>
          <cell r="I1817">
            <v>0</v>
          </cell>
        </row>
        <row r="1818">
          <cell r="A1818" t="str">
            <v>3220|439202</v>
          </cell>
          <cell r="B1818" t="str">
            <v>3220</v>
          </cell>
          <cell r="C1818">
            <v>439202</v>
          </cell>
          <cell r="D1818">
            <v>41244</v>
          </cell>
          <cell r="E1818">
            <v>6000000</v>
          </cell>
          <cell r="F1818">
            <v>6000000</v>
          </cell>
          <cell r="G1818">
            <v>4935000</v>
          </cell>
          <cell r="H1818">
            <v>500000</v>
          </cell>
          <cell r="I1818">
            <v>525000</v>
          </cell>
        </row>
        <row r="1819">
          <cell r="A1819" t="str">
            <v>3220|439203</v>
          </cell>
          <cell r="B1819" t="str">
            <v>3220</v>
          </cell>
          <cell r="C1819">
            <v>439203</v>
          </cell>
          <cell r="D1819">
            <v>41244</v>
          </cell>
          <cell r="E1819">
            <v>6000000</v>
          </cell>
          <cell r="F1819">
            <v>6000000</v>
          </cell>
          <cell r="G1819">
            <v>4825000</v>
          </cell>
          <cell r="H1819">
            <v>500000</v>
          </cell>
          <cell r="I1819">
            <v>475000</v>
          </cell>
        </row>
        <row r="1820">
          <cell r="A1820" t="str">
            <v>3220|440002</v>
          </cell>
          <cell r="B1820" t="str">
            <v>3220</v>
          </cell>
          <cell r="C1820">
            <v>440002</v>
          </cell>
          <cell r="D1820">
            <v>41244</v>
          </cell>
          <cell r="E1820">
            <v>5941987</v>
          </cell>
          <cell r="F1820">
            <v>5941987</v>
          </cell>
          <cell r="G1820">
            <v>11514373</v>
          </cell>
          <cell r="H1820">
            <v>495166</v>
          </cell>
          <cell r="I1820">
            <v>558485</v>
          </cell>
        </row>
        <row r="1821">
          <cell r="A1821" t="str">
            <v>3220|440003</v>
          </cell>
          <cell r="B1821" t="str">
            <v>3220</v>
          </cell>
          <cell r="C1821">
            <v>440003</v>
          </cell>
          <cell r="D1821">
            <v>41244</v>
          </cell>
          <cell r="E1821">
            <v>19258491</v>
          </cell>
          <cell r="F1821">
            <v>19258491</v>
          </cell>
          <cell r="G1821">
            <v>24501493</v>
          </cell>
          <cell r="H1821">
            <v>1604874</v>
          </cell>
          <cell r="I1821">
            <v>1764098</v>
          </cell>
        </row>
        <row r="1822">
          <cell r="A1822" t="str">
            <v>3220|446002</v>
          </cell>
          <cell r="B1822" t="str">
            <v>3220</v>
          </cell>
          <cell r="C1822">
            <v>446002</v>
          </cell>
          <cell r="D1822">
            <v>41244</v>
          </cell>
          <cell r="E1822">
            <v>2970994</v>
          </cell>
          <cell r="F1822">
            <v>2970994</v>
          </cell>
          <cell r="G1822">
            <v>3675650</v>
          </cell>
          <cell r="H1822">
            <v>247583</v>
          </cell>
          <cell r="I1822">
            <v>200000</v>
          </cell>
        </row>
        <row r="1823">
          <cell r="A1823" t="str">
            <v>3220|447002</v>
          </cell>
          <cell r="B1823" t="str">
            <v>3220</v>
          </cell>
          <cell r="C1823">
            <v>447002</v>
          </cell>
          <cell r="D1823">
            <v>41244</v>
          </cell>
          <cell r="E1823">
            <v>2072652</v>
          </cell>
          <cell r="F1823">
            <v>2072652</v>
          </cell>
          <cell r="G1823">
            <v>720072</v>
          </cell>
          <cell r="H1823">
            <v>172721</v>
          </cell>
          <cell r="I1823">
            <v>60539</v>
          </cell>
        </row>
        <row r="1824">
          <cell r="A1824" t="str">
            <v>3220|447003</v>
          </cell>
          <cell r="B1824" t="str">
            <v>3220</v>
          </cell>
          <cell r="C1824">
            <v>447003</v>
          </cell>
          <cell r="D1824">
            <v>41244</v>
          </cell>
          <cell r="E1824">
            <v>2035512</v>
          </cell>
          <cell r="F1824">
            <v>2035512</v>
          </cell>
          <cell r="G1824">
            <v>1540038</v>
          </cell>
          <cell r="H1824">
            <v>169626</v>
          </cell>
          <cell r="I1824">
            <v>129476</v>
          </cell>
        </row>
        <row r="1825">
          <cell r="A1825" t="str">
            <v>3220|447012</v>
          </cell>
          <cell r="B1825" t="str">
            <v>3220</v>
          </cell>
          <cell r="C1825">
            <v>447012</v>
          </cell>
          <cell r="D1825">
            <v>41244</v>
          </cell>
          <cell r="E1825">
            <v>4884593</v>
          </cell>
          <cell r="F1825">
            <v>4884593</v>
          </cell>
          <cell r="G1825">
            <v>4933842</v>
          </cell>
          <cell r="H1825">
            <v>407049</v>
          </cell>
          <cell r="I1825">
            <v>414807</v>
          </cell>
        </row>
        <row r="1826">
          <cell r="A1826" t="str">
            <v>3220|447013</v>
          </cell>
          <cell r="B1826" t="str">
            <v>3220</v>
          </cell>
          <cell r="C1826">
            <v>447013</v>
          </cell>
          <cell r="D1826">
            <v>41244</v>
          </cell>
          <cell r="E1826">
            <v>4797067</v>
          </cell>
          <cell r="F1826">
            <v>4797067</v>
          </cell>
          <cell r="G1826">
            <v>10552104</v>
          </cell>
          <cell r="H1826">
            <v>399756</v>
          </cell>
          <cell r="I1826">
            <v>887149</v>
          </cell>
        </row>
        <row r="1827">
          <cell r="A1827" t="str">
            <v>3220|447022</v>
          </cell>
          <cell r="B1827" t="str">
            <v>3220</v>
          </cell>
          <cell r="C1827">
            <v>447022</v>
          </cell>
          <cell r="D1827">
            <v>41244</v>
          </cell>
          <cell r="E1827">
            <v>207265</v>
          </cell>
          <cell r="F1827">
            <v>207265</v>
          </cell>
          <cell r="G1827">
            <v>127038</v>
          </cell>
          <cell r="H1827">
            <v>17272</v>
          </cell>
          <cell r="I1827">
            <v>10650</v>
          </cell>
        </row>
        <row r="1828">
          <cell r="A1828" t="str">
            <v>3220|447023</v>
          </cell>
          <cell r="B1828" t="str">
            <v>3220</v>
          </cell>
          <cell r="C1828">
            <v>447023</v>
          </cell>
          <cell r="D1828">
            <v>41244</v>
          </cell>
          <cell r="E1828">
            <v>203551</v>
          </cell>
          <cell r="F1828">
            <v>203551</v>
          </cell>
          <cell r="G1828">
            <v>494558</v>
          </cell>
          <cell r="H1828">
            <v>16963</v>
          </cell>
          <cell r="I1828">
            <v>43250</v>
          </cell>
        </row>
        <row r="1829">
          <cell r="A1829" t="str">
            <v>3220|448002</v>
          </cell>
          <cell r="B1829" t="str">
            <v>3220</v>
          </cell>
          <cell r="C1829">
            <v>448002</v>
          </cell>
          <cell r="D1829">
            <v>41244</v>
          </cell>
          <cell r="E1829">
            <v>12314417</v>
          </cell>
          <cell r="F1829">
            <v>12314417</v>
          </cell>
          <cell r="G1829">
            <v>24764700</v>
          </cell>
          <cell r="H1829">
            <v>1026201</v>
          </cell>
          <cell r="I1829">
            <v>3336800</v>
          </cell>
        </row>
        <row r="1830">
          <cell r="A1830" t="str">
            <v>3220|448003</v>
          </cell>
          <cell r="B1830" t="str">
            <v>3220</v>
          </cell>
          <cell r="C1830">
            <v>448003</v>
          </cell>
          <cell r="D1830">
            <v>41244</v>
          </cell>
          <cell r="E1830">
            <v>19610005</v>
          </cell>
          <cell r="F1830">
            <v>19610005</v>
          </cell>
          <cell r="G1830">
            <v>5495200</v>
          </cell>
          <cell r="H1830">
            <v>1634167</v>
          </cell>
          <cell r="I1830">
            <v>240000</v>
          </cell>
        </row>
        <row r="1831">
          <cell r="A1831" t="str">
            <v>3220|449022</v>
          </cell>
          <cell r="B1831" t="str">
            <v>3220</v>
          </cell>
          <cell r="C1831">
            <v>449022</v>
          </cell>
          <cell r="D1831">
            <v>41244</v>
          </cell>
          <cell r="E1831">
            <v>3960000</v>
          </cell>
          <cell r="F1831">
            <v>3960000</v>
          </cell>
          <cell r="G1831">
            <v>0</v>
          </cell>
          <cell r="H1831">
            <v>330000</v>
          </cell>
          <cell r="I1831">
            <v>0</v>
          </cell>
        </row>
        <row r="1832">
          <cell r="A1832" t="str">
            <v>3220|449023</v>
          </cell>
          <cell r="B1832" t="str">
            <v>3220</v>
          </cell>
          <cell r="C1832">
            <v>449023</v>
          </cell>
          <cell r="D1832">
            <v>41244</v>
          </cell>
          <cell r="E1832">
            <v>33450000</v>
          </cell>
          <cell r="F1832">
            <v>33450000</v>
          </cell>
          <cell r="G1832">
            <v>79888119</v>
          </cell>
          <cell r="H1832">
            <v>2787500</v>
          </cell>
          <cell r="I1832">
            <v>6666500</v>
          </cell>
        </row>
        <row r="1833">
          <cell r="A1833" t="str">
            <v>3220|449032</v>
          </cell>
          <cell r="B1833" t="str">
            <v>3220</v>
          </cell>
          <cell r="C1833">
            <v>449032</v>
          </cell>
          <cell r="D1833">
            <v>41244</v>
          </cell>
          <cell r="E1833">
            <v>15328847</v>
          </cell>
          <cell r="F1833">
            <v>15328847</v>
          </cell>
          <cell r="G1833">
            <v>0</v>
          </cell>
          <cell r="H1833">
            <v>1277404</v>
          </cell>
          <cell r="I1833">
            <v>0</v>
          </cell>
        </row>
        <row r="1834">
          <cell r="A1834" t="str">
            <v>3220|449040</v>
          </cell>
          <cell r="B1834" t="str">
            <v>3220</v>
          </cell>
          <cell r="C1834">
            <v>449040</v>
          </cell>
          <cell r="D1834">
            <v>41244</v>
          </cell>
          <cell r="E1834">
            <v>0</v>
          </cell>
          <cell r="F1834">
            <v>0</v>
          </cell>
          <cell r="G1834">
            <v>16980000</v>
          </cell>
          <cell r="H1834">
            <v>0</v>
          </cell>
          <cell r="I1834">
            <v>1755000</v>
          </cell>
        </row>
        <row r="1835">
          <cell r="A1835" t="str">
            <v>3220|449050</v>
          </cell>
          <cell r="B1835" t="str">
            <v>3220</v>
          </cell>
          <cell r="C1835">
            <v>449050</v>
          </cell>
          <cell r="D1835">
            <v>41244</v>
          </cell>
          <cell r="E1835">
            <v>29600004</v>
          </cell>
          <cell r="F1835">
            <v>29600004</v>
          </cell>
          <cell r="G1835">
            <v>0</v>
          </cell>
          <cell r="H1835">
            <v>2466667</v>
          </cell>
          <cell r="I1835">
            <v>0</v>
          </cell>
        </row>
        <row r="1836">
          <cell r="A1836" t="str">
            <v>3220|449060</v>
          </cell>
          <cell r="B1836" t="str">
            <v>3220</v>
          </cell>
          <cell r="C1836">
            <v>449060</v>
          </cell>
          <cell r="D1836">
            <v>41244</v>
          </cell>
          <cell r="E1836">
            <v>0</v>
          </cell>
          <cell r="F1836">
            <v>0</v>
          </cell>
          <cell r="G1836">
            <v>225000</v>
          </cell>
          <cell r="H1836">
            <v>0</v>
          </cell>
          <cell r="I1836">
            <v>0</v>
          </cell>
        </row>
        <row r="1837">
          <cell r="A1837" t="str">
            <v>3220|449061</v>
          </cell>
          <cell r="B1837" t="str">
            <v>3220</v>
          </cell>
          <cell r="C1837">
            <v>449061</v>
          </cell>
          <cell r="D1837">
            <v>41244</v>
          </cell>
          <cell r="E1837">
            <v>25360200</v>
          </cell>
          <cell r="F1837">
            <v>25360200</v>
          </cell>
          <cell r="G1837">
            <v>19719100</v>
          </cell>
          <cell r="H1837">
            <v>2113350</v>
          </cell>
          <cell r="I1837">
            <v>2809600</v>
          </cell>
        </row>
        <row r="1838">
          <cell r="A1838" t="str">
            <v>3220|472000</v>
          </cell>
          <cell r="B1838" t="str">
            <v>3220</v>
          </cell>
          <cell r="C1838">
            <v>472000</v>
          </cell>
          <cell r="D1838">
            <v>41244</v>
          </cell>
          <cell r="E1838">
            <v>2000000</v>
          </cell>
          <cell r="F1838">
            <v>2000000</v>
          </cell>
          <cell r="G1838">
            <v>1805618</v>
          </cell>
          <cell r="H1838">
            <v>166667</v>
          </cell>
          <cell r="I1838">
            <v>539854</v>
          </cell>
        </row>
        <row r="1839">
          <cell r="A1839" t="str">
            <v>3220|473000</v>
          </cell>
          <cell r="B1839" t="str">
            <v>3220</v>
          </cell>
          <cell r="C1839">
            <v>473000</v>
          </cell>
          <cell r="D1839">
            <v>41244</v>
          </cell>
          <cell r="E1839">
            <v>0</v>
          </cell>
          <cell r="F1839">
            <v>0</v>
          </cell>
          <cell r="G1839">
            <v>23587</v>
          </cell>
          <cell r="H1839">
            <v>0</v>
          </cell>
          <cell r="I1839">
            <v>0</v>
          </cell>
        </row>
        <row r="1840">
          <cell r="A1840" t="str">
            <v>3220|473120</v>
          </cell>
          <cell r="B1840" t="str">
            <v>3220</v>
          </cell>
          <cell r="C1840">
            <v>473120</v>
          </cell>
          <cell r="D1840">
            <v>41244</v>
          </cell>
          <cell r="E1840">
            <v>9819620</v>
          </cell>
          <cell r="F1840">
            <v>9819620</v>
          </cell>
          <cell r="G1840">
            <v>7006585</v>
          </cell>
          <cell r="H1840">
            <v>818302</v>
          </cell>
          <cell r="I1840">
            <v>411981</v>
          </cell>
        </row>
        <row r="1841">
          <cell r="A1841" t="str">
            <v>3220|474100</v>
          </cell>
          <cell r="B1841" t="str">
            <v>3220</v>
          </cell>
          <cell r="C1841">
            <v>474100</v>
          </cell>
          <cell r="D1841">
            <v>41244</v>
          </cell>
          <cell r="E1841">
            <v>24967354</v>
          </cell>
          <cell r="F1841">
            <v>24967354</v>
          </cell>
          <cell r="G1841">
            <v>21982164</v>
          </cell>
          <cell r="H1841">
            <v>2080612</v>
          </cell>
          <cell r="I1841">
            <v>15000000</v>
          </cell>
        </row>
        <row r="1842">
          <cell r="A1842" t="str">
            <v>3220|476001</v>
          </cell>
          <cell r="B1842" t="str">
            <v>3220</v>
          </cell>
          <cell r="C1842">
            <v>476001</v>
          </cell>
          <cell r="D1842">
            <v>41244</v>
          </cell>
          <cell r="E1842">
            <v>340000</v>
          </cell>
          <cell r="F1842">
            <v>340000</v>
          </cell>
          <cell r="G1842">
            <v>-340000</v>
          </cell>
          <cell r="H1842">
            <v>28333</v>
          </cell>
          <cell r="I1842">
            <v>0</v>
          </cell>
        </row>
        <row r="1843">
          <cell r="A1843" t="str">
            <v>3300|211100</v>
          </cell>
          <cell r="B1843" t="str">
            <v>3300</v>
          </cell>
          <cell r="C1843">
            <v>211100</v>
          </cell>
          <cell r="D1843">
            <v>41244</v>
          </cell>
          <cell r="E1843">
            <v>18488085</v>
          </cell>
          <cell r="F1843">
            <v>18488085</v>
          </cell>
          <cell r="G1843">
            <v>7406406</v>
          </cell>
          <cell r="H1843">
            <v>1540674</v>
          </cell>
          <cell r="I1843">
            <v>651179</v>
          </cell>
        </row>
        <row r="1844">
          <cell r="A1844" t="str">
            <v>3300|246000</v>
          </cell>
          <cell r="B1844" t="str">
            <v>3300</v>
          </cell>
          <cell r="C1844">
            <v>246000</v>
          </cell>
          <cell r="D1844">
            <v>41244</v>
          </cell>
          <cell r="E1844">
            <v>24726665</v>
          </cell>
          <cell r="F1844">
            <v>24726665</v>
          </cell>
          <cell r="G1844">
            <v>4700000</v>
          </cell>
          <cell r="H1844">
            <v>2060556</v>
          </cell>
          <cell r="I1844">
            <v>0</v>
          </cell>
        </row>
        <row r="1845">
          <cell r="A1845" t="str">
            <v>3300|400040</v>
          </cell>
          <cell r="B1845" t="str">
            <v>3300</v>
          </cell>
          <cell r="C1845">
            <v>400040</v>
          </cell>
          <cell r="D1845">
            <v>41244</v>
          </cell>
          <cell r="E1845">
            <v>91519696</v>
          </cell>
          <cell r="F1845">
            <v>91519696</v>
          </cell>
          <cell r="G1845">
            <v>194999601</v>
          </cell>
          <cell r="H1845">
            <v>7626642</v>
          </cell>
          <cell r="I1845">
            <v>179401</v>
          </cell>
        </row>
        <row r="1846">
          <cell r="A1846" t="str">
            <v>3300|405200</v>
          </cell>
          <cell r="B1846" t="str">
            <v>3300</v>
          </cell>
          <cell r="C1846">
            <v>405200</v>
          </cell>
          <cell r="D1846">
            <v>41244</v>
          </cell>
          <cell r="E1846">
            <v>6898160</v>
          </cell>
          <cell r="F1846">
            <v>6898160</v>
          </cell>
          <cell r="G1846">
            <v>18831217</v>
          </cell>
          <cell r="H1846">
            <v>574847</v>
          </cell>
          <cell r="I1846">
            <v>18831217</v>
          </cell>
        </row>
        <row r="1847">
          <cell r="A1847" t="str">
            <v>3300|405251</v>
          </cell>
          <cell r="B1847" t="str">
            <v>3300</v>
          </cell>
          <cell r="C1847">
            <v>405251</v>
          </cell>
          <cell r="D1847">
            <v>41244</v>
          </cell>
          <cell r="E1847">
            <v>6085779</v>
          </cell>
          <cell r="F1847">
            <v>6085779</v>
          </cell>
          <cell r="G1847">
            <v>233436640</v>
          </cell>
          <cell r="H1847">
            <v>507148</v>
          </cell>
          <cell r="I1847">
            <v>0</v>
          </cell>
        </row>
        <row r="1848">
          <cell r="A1848" t="str">
            <v>3300|405252</v>
          </cell>
          <cell r="B1848" t="str">
            <v>3300</v>
          </cell>
          <cell r="C1848">
            <v>405252</v>
          </cell>
          <cell r="D1848">
            <v>41244</v>
          </cell>
          <cell r="E1848">
            <v>1300000000</v>
          </cell>
          <cell r="F1848">
            <v>1300000000</v>
          </cell>
          <cell r="G1848">
            <v>121475200</v>
          </cell>
          <cell r="H1848">
            <v>108333334</v>
          </cell>
          <cell r="I1848">
            <v>27287200</v>
          </cell>
        </row>
        <row r="1849">
          <cell r="A1849" t="str">
            <v>3300|420002</v>
          </cell>
          <cell r="B1849" t="str">
            <v>3300</v>
          </cell>
          <cell r="C1849">
            <v>420002</v>
          </cell>
          <cell r="D1849">
            <v>41244</v>
          </cell>
          <cell r="E1849">
            <v>71303847</v>
          </cell>
          <cell r="F1849">
            <v>71303847</v>
          </cell>
          <cell r="G1849">
            <v>66513000</v>
          </cell>
          <cell r="H1849">
            <v>5941987</v>
          </cell>
          <cell r="I1849">
            <v>5592000</v>
          </cell>
        </row>
        <row r="1850">
          <cell r="A1850" t="str">
            <v>3300|420003</v>
          </cell>
          <cell r="B1850" t="str">
            <v>3300</v>
          </cell>
          <cell r="C1850">
            <v>420003</v>
          </cell>
          <cell r="D1850">
            <v>41244</v>
          </cell>
          <cell r="E1850">
            <v>602648905</v>
          </cell>
          <cell r="F1850">
            <v>602648905</v>
          </cell>
          <cell r="G1850">
            <v>382719899</v>
          </cell>
          <cell r="H1850">
            <v>50220742</v>
          </cell>
          <cell r="I1850">
            <v>60503789</v>
          </cell>
        </row>
        <row r="1851">
          <cell r="A1851" t="str">
            <v>3300|422002</v>
          </cell>
          <cell r="B1851" t="str">
            <v>3300</v>
          </cell>
          <cell r="C1851">
            <v>422002</v>
          </cell>
          <cell r="D1851">
            <v>41244</v>
          </cell>
          <cell r="E1851">
            <v>201096</v>
          </cell>
          <cell r="F1851">
            <v>201096</v>
          </cell>
          <cell r="G1851">
            <v>349650</v>
          </cell>
          <cell r="H1851">
            <v>16758</v>
          </cell>
          <cell r="I1851">
            <v>0</v>
          </cell>
        </row>
        <row r="1852">
          <cell r="A1852" t="str">
            <v>3300|431002</v>
          </cell>
          <cell r="B1852" t="str">
            <v>3300</v>
          </cell>
          <cell r="C1852">
            <v>431002</v>
          </cell>
          <cell r="D1852">
            <v>41244</v>
          </cell>
          <cell r="E1852">
            <v>0</v>
          </cell>
          <cell r="F1852">
            <v>0</v>
          </cell>
          <cell r="G1852">
            <v>1098305</v>
          </cell>
          <cell r="H1852">
            <v>0</v>
          </cell>
          <cell r="I1852">
            <v>0</v>
          </cell>
        </row>
        <row r="1853">
          <cell r="A1853" t="str">
            <v>3300|434012</v>
          </cell>
          <cell r="B1853" t="str">
            <v>3300</v>
          </cell>
          <cell r="C1853">
            <v>434012</v>
          </cell>
          <cell r="D1853">
            <v>41244</v>
          </cell>
          <cell r="E1853">
            <v>7223250</v>
          </cell>
          <cell r="F1853">
            <v>7223250</v>
          </cell>
          <cell r="G1853">
            <v>10841349</v>
          </cell>
          <cell r="H1853">
            <v>601937</v>
          </cell>
          <cell r="I1853">
            <v>982145</v>
          </cell>
        </row>
        <row r="1854">
          <cell r="A1854" t="str">
            <v>3300|434013</v>
          </cell>
          <cell r="B1854" t="str">
            <v>3300</v>
          </cell>
          <cell r="C1854">
            <v>434013</v>
          </cell>
          <cell r="D1854">
            <v>41244</v>
          </cell>
          <cell r="E1854">
            <v>0</v>
          </cell>
          <cell r="F1854">
            <v>0</v>
          </cell>
          <cell r="G1854">
            <v>9348609</v>
          </cell>
          <cell r="H1854">
            <v>0</v>
          </cell>
          <cell r="I1854">
            <v>4099789</v>
          </cell>
        </row>
        <row r="1855">
          <cell r="A1855" t="str">
            <v>3300|435002</v>
          </cell>
          <cell r="B1855" t="str">
            <v>3300</v>
          </cell>
          <cell r="C1855">
            <v>435002</v>
          </cell>
          <cell r="D1855">
            <v>41244</v>
          </cell>
          <cell r="E1855">
            <v>5941987</v>
          </cell>
          <cell r="F1855">
            <v>5941987</v>
          </cell>
          <cell r="G1855">
            <v>5592000</v>
          </cell>
          <cell r="H1855">
            <v>495166</v>
          </cell>
          <cell r="I1855">
            <v>5592000</v>
          </cell>
        </row>
        <row r="1856">
          <cell r="A1856" t="str">
            <v>3300|435003</v>
          </cell>
          <cell r="B1856" t="str">
            <v>3300</v>
          </cell>
          <cell r="C1856">
            <v>435003</v>
          </cell>
          <cell r="D1856">
            <v>41244</v>
          </cell>
          <cell r="E1856">
            <v>75331113</v>
          </cell>
          <cell r="F1856">
            <v>75331113</v>
          </cell>
          <cell r="G1856">
            <v>29609026</v>
          </cell>
          <cell r="H1856">
            <v>6277593</v>
          </cell>
          <cell r="I1856">
            <v>0</v>
          </cell>
        </row>
        <row r="1857">
          <cell r="A1857" t="str">
            <v>3300|439003</v>
          </cell>
          <cell r="B1857" t="str">
            <v>3300</v>
          </cell>
          <cell r="C1857">
            <v>439003</v>
          </cell>
          <cell r="D1857">
            <v>41244</v>
          </cell>
          <cell r="E1857">
            <v>88111268</v>
          </cell>
          <cell r="F1857">
            <v>88111268</v>
          </cell>
          <cell r="G1857">
            <v>126789624</v>
          </cell>
          <cell r="H1857">
            <v>7342606</v>
          </cell>
          <cell r="I1857">
            <v>24889799</v>
          </cell>
        </row>
        <row r="1858">
          <cell r="A1858" t="str">
            <v>3300|439008</v>
          </cell>
          <cell r="B1858" t="str">
            <v>3300</v>
          </cell>
          <cell r="C1858">
            <v>439008</v>
          </cell>
          <cell r="D1858">
            <v>41244</v>
          </cell>
          <cell r="E1858">
            <v>16368905</v>
          </cell>
          <cell r="F1858">
            <v>16368905</v>
          </cell>
          <cell r="G1858">
            <v>22346622</v>
          </cell>
          <cell r="H1858">
            <v>1364075</v>
          </cell>
          <cell r="I1858">
            <v>0</v>
          </cell>
        </row>
        <row r="1859">
          <cell r="A1859" t="str">
            <v>3300|439202</v>
          </cell>
          <cell r="B1859" t="str">
            <v>3300</v>
          </cell>
          <cell r="C1859">
            <v>439202</v>
          </cell>
          <cell r="D1859">
            <v>41244</v>
          </cell>
          <cell r="E1859">
            <v>6000000</v>
          </cell>
          <cell r="F1859">
            <v>6000000</v>
          </cell>
          <cell r="G1859">
            <v>4910000</v>
          </cell>
          <cell r="H1859">
            <v>500000</v>
          </cell>
          <cell r="I1859">
            <v>525000</v>
          </cell>
        </row>
        <row r="1860">
          <cell r="A1860" t="str">
            <v>3300|439203</v>
          </cell>
          <cell r="B1860" t="str">
            <v>3300</v>
          </cell>
          <cell r="C1860">
            <v>439203</v>
          </cell>
          <cell r="D1860">
            <v>41244</v>
          </cell>
          <cell r="E1860">
            <v>6000000</v>
          </cell>
          <cell r="F1860">
            <v>6000000</v>
          </cell>
          <cell r="G1860">
            <v>8511000</v>
          </cell>
          <cell r="H1860">
            <v>500000</v>
          </cell>
          <cell r="I1860">
            <v>1425000</v>
          </cell>
        </row>
        <row r="1861">
          <cell r="A1861" t="str">
            <v>3300|440002</v>
          </cell>
          <cell r="B1861" t="str">
            <v>3300</v>
          </cell>
          <cell r="C1861">
            <v>440002</v>
          </cell>
          <cell r="D1861">
            <v>41244</v>
          </cell>
          <cell r="E1861">
            <v>5941987</v>
          </cell>
          <cell r="F1861">
            <v>5941987</v>
          </cell>
          <cell r="G1861">
            <v>5895373</v>
          </cell>
          <cell r="H1861">
            <v>495166</v>
          </cell>
          <cell r="I1861">
            <v>558485</v>
          </cell>
        </row>
        <row r="1862">
          <cell r="A1862" t="str">
            <v>3300|440003</v>
          </cell>
          <cell r="B1862" t="str">
            <v>3300</v>
          </cell>
          <cell r="C1862">
            <v>440003</v>
          </cell>
          <cell r="D1862">
            <v>41244</v>
          </cell>
          <cell r="E1862">
            <v>50220742</v>
          </cell>
          <cell r="F1862">
            <v>50220742</v>
          </cell>
          <cell r="G1862">
            <v>32447917</v>
          </cell>
          <cell r="H1862">
            <v>4185062</v>
          </cell>
          <cell r="I1862">
            <v>5589950</v>
          </cell>
        </row>
        <row r="1863">
          <cell r="A1863" t="str">
            <v>3300|446002</v>
          </cell>
          <cell r="B1863" t="str">
            <v>3300</v>
          </cell>
          <cell r="C1863">
            <v>446002</v>
          </cell>
          <cell r="D1863">
            <v>41244</v>
          </cell>
          <cell r="E1863">
            <v>10074494</v>
          </cell>
          <cell r="F1863">
            <v>10074494</v>
          </cell>
          <cell r="G1863">
            <v>1995150</v>
          </cell>
          <cell r="H1863">
            <v>839541</v>
          </cell>
          <cell r="I1863">
            <v>150000</v>
          </cell>
        </row>
        <row r="1864">
          <cell r="A1864" t="str">
            <v>3300|447002</v>
          </cell>
          <cell r="B1864" t="str">
            <v>3300</v>
          </cell>
          <cell r="C1864">
            <v>447002</v>
          </cell>
          <cell r="D1864">
            <v>41244</v>
          </cell>
          <cell r="E1864">
            <v>2072652</v>
          </cell>
          <cell r="F1864">
            <v>2072652</v>
          </cell>
          <cell r="G1864">
            <v>359172</v>
          </cell>
          <cell r="H1864">
            <v>172721</v>
          </cell>
          <cell r="I1864">
            <v>30197</v>
          </cell>
        </row>
        <row r="1865">
          <cell r="A1865" t="str">
            <v>3300|447003</v>
          </cell>
          <cell r="B1865" t="str">
            <v>3300</v>
          </cell>
          <cell r="C1865">
            <v>447003</v>
          </cell>
          <cell r="D1865">
            <v>41244</v>
          </cell>
          <cell r="E1865">
            <v>5663812</v>
          </cell>
          <cell r="F1865">
            <v>5663812</v>
          </cell>
          <cell r="G1865">
            <v>3123963</v>
          </cell>
          <cell r="H1865">
            <v>471984</v>
          </cell>
          <cell r="I1865">
            <v>783018</v>
          </cell>
        </row>
        <row r="1866">
          <cell r="A1866" t="str">
            <v>3300|447012</v>
          </cell>
          <cell r="B1866" t="str">
            <v>3300</v>
          </cell>
          <cell r="C1866">
            <v>447012</v>
          </cell>
          <cell r="D1866">
            <v>41244</v>
          </cell>
          <cell r="E1866">
            <v>4884593</v>
          </cell>
          <cell r="F1866">
            <v>4884593</v>
          </cell>
          <cell r="G1866">
            <v>2460984</v>
          </cell>
          <cell r="H1866">
            <v>407049</v>
          </cell>
          <cell r="I1866">
            <v>206904</v>
          </cell>
        </row>
        <row r="1867">
          <cell r="A1867" t="str">
            <v>3300|447013</v>
          </cell>
          <cell r="B1867" t="str">
            <v>3300</v>
          </cell>
          <cell r="C1867">
            <v>447013</v>
          </cell>
          <cell r="D1867">
            <v>41244</v>
          </cell>
          <cell r="E1867">
            <v>13347837</v>
          </cell>
          <cell r="F1867">
            <v>13347837</v>
          </cell>
          <cell r="G1867">
            <v>13510721</v>
          </cell>
          <cell r="H1867">
            <v>1112320</v>
          </cell>
          <cell r="I1867">
            <v>2279367</v>
          </cell>
        </row>
        <row r="1868">
          <cell r="A1868" t="str">
            <v>3300|447022</v>
          </cell>
          <cell r="B1868" t="str">
            <v>3300</v>
          </cell>
          <cell r="C1868">
            <v>447022</v>
          </cell>
          <cell r="D1868">
            <v>41244</v>
          </cell>
          <cell r="E1868">
            <v>207265</v>
          </cell>
          <cell r="F1868">
            <v>207265</v>
          </cell>
          <cell r="G1868">
            <v>56562</v>
          </cell>
          <cell r="H1868">
            <v>17272</v>
          </cell>
          <cell r="I1868">
            <v>4950</v>
          </cell>
        </row>
        <row r="1869">
          <cell r="A1869" t="str">
            <v>3300|447023</v>
          </cell>
          <cell r="B1869" t="str">
            <v>3300</v>
          </cell>
          <cell r="C1869">
            <v>447023</v>
          </cell>
          <cell r="D1869">
            <v>41244</v>
          </cell>
          <cell r="E1869">
            <v>566381</v>
          </cell>
          <cell r="F1869">
            <v>566381</v>
          </cell>
          <cell r="G1869">
            <v>632856</v>
          </cell>
          <cell r="H1869">
            <v>47198</v>
          </cell>
          <cell r="I1869">
            <v>190600</v>
          </cell>
        </row>
        <row r="1870">
          <cell r="A1870" t="str">
            <v>3300|448002</v>
          </cell>
          <cell r="B1870" t="str">
            <v>3300</v>
          </cell>
          <cell r="C1870">
            <v>448002</v>
          </cell>
          <cell r="D1870">
            <v>41244</v>
          </cell>
          <cell r="E1870">
            <v>12314417</v>
          </cell>
          <cell r="F1870">
            <v>12314417</v>
          </cell>
          <cell r="G1870">
            <v>2103300</v>
          </cell>
          <cell r="H1870">
            <v>1026201</v>
          </cell>
          <cell r="I1870">
            <v>0</v>
          </cell>
        </row>
        <row r="1871">
          <cell r="A1871" t="str">
            <v>3300|448003</v>
          </cell>
          <cell r="B1871" t="str">
            <v>3300</v>
          </cell>
          <cell r="C1871">
            <v>448003</v>
          </cell>
          <cell r="D1871">
            <v>41244</v>
          </cell>
          <cell r="E1871">
            <v>46624731</v>
          </cell>
          <cell r="F1871">
            <v>46624731</v>
          </cell>
          <cell r="G1871">
            <v>10156000</v>
          </cell>
          <cell r="H1871">
            <v>3885394</v>
          </cell>
          <cell r="I1871">
            <v>2313000</v>
          </cell>
        </row>
        <row r="1872">
          <cell r="A1872" t="str">
            <v>3300|449022</v>
          </cell>
          <cell r="B1872" t="str">
            <v>3300</v>
          </cell>
          <cell r="C1872">
            <v>449022</v>
          </cell>
          <cell r="D1872">
            <v>41244</v>
          </cell>
          <cell r="E1872">
            <v>3960000</v>
          </cell>
          <cell r="F1872">
            <v>3960000</v>
          </cell>
          <cell r="G1872">
            <v>3609000</v>
          </cell>
          <cell r="H1872">
            <v>330000</v>
          </cell>
          <cell r="I1872">
            <v>357000</v>
          </cell>
        </row>
        <row r="1873">
          <cell r="A1873" t="str">
            <v>3300|449023</v>
          </cell>
          <cell r="B1873" t="str">
            <v>3300</v>
          </cell>
          <cell r="C1873">
            <v>449023</v>
          </cell>
          <cell r="D1873">
            <v>41244</v>
          </cell>
          <cell r="E1873">
            <v>33450000</v>
          </cell>
          <cell r="F1873">
            <v>33450000</v>
          </cell>
          <cell r="G1873">
            <v>46078600</v>
          </cell>
          <cell r="H1873">
            <v>2787500</v>
          </cell>
          <cell r="I1873">
            <v>5936700</v>
          </cell>
        </row>
        <row r="1874">
          <cell r="A1874" t="str">
            <v>3300|449032</v>
          </cell>
          <cell r="B1874" t="str">
            <v>3300</v>
          </cell>
          <cell r="C1874">
            <v>449032</v>
          </cell>
          <cell r="D1874">
            <v>41244</v>
          </cell>
          <cell r="E1874">
            <v>21753847</v>
          </cell>
          <cell r="F1874">
            <v>21753847</v>
          </cell>
          <cell r="G1874">
            <v>95196176</v>
          </cell>
          <cell r="H1874">
            <v>1812821</v>
          </cell>
          <cell r="I1874">
            <v>95196176</v>
          </cell>
        </row>
        <row r="1875">
          <cell r="A1875" t="str">
            <v>3300|449040</v>
          </cell>
          <cell r="B1875" t="str">
            <v>3300</v>
          </cell>
          <cell r="C1875">
            <v>449040</v>
          </cell>
          <cell r="D1875">
            <v>41244</v>
          </cell>
          <cell r="E1875">
            <v>15449351</v>
          </cell>
          <cell r="F1875">
            <v>15449351</v>
          </cell>
          <cell r="G1875">
            <v>0</v>
          </cell>
          <cell r="H1875">
            <v>1287445</v>
          </cell>
          <cell r="I1875">
            <v>0</v>
          </cell>
        </row>
        <row r="1876">
          <cell r="A1876" t="str">
            <v>3300|449050</v>
          </cell>
          <cell r="B1876" t="str">
            <v>3300</v>
          </cell>
          <cell r="C1876">
            <v>449050</v>
          </cell>
          <cell r="D1876">
            <v>41244</v>
          </cell>
          <cell r="E1876">
            <v>60599967</v>
          </cell>
          <cell r="F1876">
            <v>60599967</v>
          </cell>
          <cell r="G1876">
            <v>209070549</v>
          </cell>
          <cell r="H1876">
            <v>5049997</v>
          </cell>
          <cell r="I1876">
            <v>100619175</v>
          </cell>
        </row>
        <row r="1877">
          <cell r="A1877" t="str">
            <v>3300|449061</v>
          </cell>
          <cell r="B1877" t="str">
            <v>3300</v>
          </cell>
          <cell r="C1877">
            <v>449061</v>
          </cell>
          <cell r="D1877">
            <v>41244</v>
          </cell>
          <cell r="E1877">
            <v>18426100</v>
          </cell>
          <cell r="F1877">
            <v>18426100</v>
          </cell>
          <cell r="G1877">
            <v>13805500</v>
          </cell>
          <cell r="H1877">
            <v>1535508</v>
          </cell>
          <cell r="I1877">
            <v>1648500</v>
          </cell>
        </row>
        <row r="1878">
          <cell r="A1878" t="str">
            <v>3300|455000</v>
          </cell>
          <cell r="B1878" t="str">
            <v>3300</v>
          </cell>
          <cell r="C1878">
            <v>455000</v>
          </cell>
          <cell r="D1878">
            <v>41244</v>
          </cell>
          <cell r="E1878">
            <v>0</v>
          </cell>
          <cell r="F1878">
            <v>0</v>
          </cell>
          <cell r="G1878">
            <v>2288426</v>
          </cell>
          <cell r="H1878">
            <v>0</v>
          </cell>
          <cell r="I1878">
            <v>0</v>
          </cell>
        </row>
        <row r="1879">
          <cell r="A1879" t="str">
            <v>3300|455002</v>
          </cell>
          <cell r="B1879" t="str">
            <v>3300</v>
          </cell>
          <cell r="C1879">
            <v>455002</v>
          </cell>
          <cell r="D1879">
            <v>41244</v>
          </cell>
          <cell r="E1879">
            <v>0</v>
          </cell>
          <cell r="F1879">
            <v>0</v>
          </cell>
          <cell r="G1879">
            <v>1044208</v>
          </cell>
          <cell r="H1879">
            <v>0</v>
          </cell>
          <cell r="I1879">
            <v>0</v>
          </cell>
        </row>
        <row r="1880">
          <cell r="A1880" t="str">
            <v>3300|459000</v>
          </cell>
          <cell r="B1880" t="str">
            <v>3300</v>
          </cell>
          <cell r="C1880">
            <v>459000</v>
          </cell>
          <cell r="D1880">
            <v>41244</v>
          </cell>
          <cell r="E1880">
            <v>20000</v>
          </cell>
          <cell r="F1880">
            <v>20000</v>
          </cell>
          <cell r="G1880">
            <v>2545457</v>
          </cell>
          <cell r="H1880">
            <v>1667</v>
          </cell>
          <cell r="I1880">
            <v>1272727</v>
          </cell>
        </row>
        <row r="1881">
          <cell r="A1881" t="str">
            <v>3300|459005</v>
          </cell>
          <cell r="B1881" t="str">
            <v>3300</v>
          </cell>
          <cell r="C1881">
            <v>459005</v>
          </cell>
          <cell r="D1881">
            <v>41244</v>
          </cell>
          <cell r="E1881">
            <v>850000</v>
          </cell>
          <cell r="F1881">
            <v>850000</v>
          </cell>
          <cell r="G1881">
            <v>815150</v>
          </cell>
          <cell r="H1881">
            <v>70833</v>
          </cell>
          <cell r="I1881">
            <v>0</v>
          </cell>
        </row>
        <row r="1882">
          <cell r="A1882" t="str">
            <v>3300|470001</v>
          </cell>
          <cell r="B1882" t="str">
            <v>3300</v>
          </cell>
          <cell r="C1882">
            <v>470001</v>
          </cell>
          <cell r="D1882">
            <v>41244</v>
          </cell>
          <cell r="E1882">
            <v>0</v>
          </cell>
          <cell r="F1882">
            <v>0</v>
          </cell>
          <cell r="G1882">
            <v>250774370</v>
          </cell>
          <cell r="H1882">
            <v>0</v>
          </cell>
          <cell r="I1882">
            <v>50154871</v>
          </cell>
        </row>
        <row r="1883">
          <cell r="A1883" t="str">
            <v>3300|470102</v>
          </cell>
          <cell r="B1883" t="str">
            <v>3300</v>
          </cell>
          <cell r="C1883">
            <v>470102</v>
          </cell>
          <cell r="D1883">
            <v>41244</v>
          </cell>
          <cell r="E1883">
            <v>1182960</v>
          </cell>
          <cell r="F1883">
            <v>1182960</v>
          </cell>
          <cell r="G1883">
            <v>1082500</v>
          </cell>
          <cell r="H1883">
            <v>98580</v>
          </cell>
          <cell r="I1883">
            <v>0</v>
          </cell>
        </row>
        <row r="1884">
          <cell r="A1884" t="str">
            <v>3300|471000</v>
          </cell>
          <cell r="B1884" t="str">
            <v>3300</v>
          </cell>
          <cell r="C1884">
            <v>471000</v>
          </cell>
          <cell r="D1884">
            <v>41244</v>
          </cell>
          <cell r="E1884">
            <v>1990000</v>
          </cell>
          <cell r="F1884">
            <v>1990000</v>
          </cell>
          <cell r="G1884">
            <v>4516510</v>
          </cell>
          <cell r="H1884">
            <v>165833</v>
          </cell>
          <cell r="I1884">
            <v>0</v>
          </cell>
        </row>
        <row r="1885">
          <cell r="A1885" t="str">
            <v>3300|472000</v>
          </cell>
          <cell r="B1885" t="str">
            <v>3300</v>
          </cell>
          <cell r="C1885">
            <v>472000</v>
          </cell>
          <cell r="D1885">
            <v>41244</v>
          </cell>
          <cell r="E1885">
            <v>21809672</v>
          </cell>
          <cell r="F1885">
            <v>21809672</v>
          </cell>
          <cell r="G1885">
            <v>24000000</v>
          </cell>
          <cell r="H1885">
            <v>1817472</v>
          </cell>
          <cell r="I1885">
            <v>24000000</v>
          </cell>
        </row>
        <row r="1886">
          <cell r="A1886" t="str">
            <v>3300|473000</v>
          </cell>
          <cell r="B1886" t="str">
            <v>3300</v>
          </cell>
          <cell r="C1886">
            <v>473000</v>
          </cell>
          <cell r="D1886">
            <v>41244</v>
          </cell>
          <cell r="E1886">
            <v>0</v>
          </cell>
          <cell r="F1886">
            <v>0</v>
          </cell>
          <cell r="G1886">
            <v>228981</v>
          </cell>
          <cell r="H1886">
            <v>0</v>
          </cell>
          <cell r="I1886">
            <v>0</v>
          </cell>
        </row>
        <row r="1887">
          <cell r="A1887" t="str">
            <v>3300|473120</v>
          </cell>
          <cell r="B1887" t="str">
            <v>3300</v>
          </cell>
          <cell r="C1887">
            <v>473120</v>
          </cell>
          <cell r="D1887">
            <v>41244</v>
          </cell>
          <cell r="E1887">
            <v>15508560</v>
          </cell>
          <cell r="F1887">
            <v>15508560</v>
          </cell>
          <cell r="G1887">
            <v>19380710</v>
          </cell>
          <cell r="H1887">
            <v>1292380</v>
          </cell>
          <cell r="I1887">
            <v>2911060</v>
          </cell>
        </row>
        <row r="1888">
          <cell r="A1888" t="str">
            <v>3300|474100</v>
          </cell>
          <cell r="B1888" t="str">
            <v>3300</v>
          </cell>
          <cell r="C1888">
            <v>474100</v>
          </cell>
          <cell r="D1888">
            <v>41244</v>
          </cell>
          <cell r="E1888">
            <v>27011627</v>
          </cell>
          <cell r="F1888">
            <v>27011627</v>
          </cell>
          <cell r="G1888">
            <v>-18868838</v>
          </cell>
          <cell r="H1888">
            <v>2250969</v>
          </cell>
          <cell r="I1888">
            <v>5735980</v>
          </cell>
        </row>
        <row r="1889">
          <cell r="A1889" t="str">
            <v>3300|474101</v>
          </cell>
          <cell r="B1889" t="str">
            <v>3300</v>
          </cell>
          <cell r="C1889">
            <v>474101</v>
          </cell>
          <cell r="D1889">
            <v>41244</v>
          </cell>
          <cell r="E1889">
            <v>88451440</v>
          </cell>
          <cell r="F1889">
            <v>88451440</v>
          </cell>
          <cell r="G1889">
            <v>80532871</v>
          </cell>
          <cell r="H1889">
            <v>7370953</v>
          </cell>
          <cell r="I1889">
            <v>42626908</v>
          </cell>
        </row>
        <row r="1890">
          <cell r="A1890" t="str">
            <v>3300|475001</v>
          </cell>
          <cell r="B1890" t="str">
            <v>3300</v>
          </cell>
          <cell r="C1890">
            <v>475001</v>
          </cell>
          <cell r="D1890">
            <v>41244</v>
          </cell>
          <cell r="E1890">
            <v>750000</v>
          </cell>
          <cell r="F1890">
            <v>750000</v>
          </cell>
          <cell r="G1890">
            <v>0</v>
          </cell>
          <cell r="H1890">
            <v>62500</v>
          </cell>
          <cell r="I1890">
            <v>0</v>
          </cell>
        </row>
        <row r="1891">
          <cell r="A1891" t="str">
            <v>3300|475003</v>
          </cell>
          <cell r="B1891" t="str">
            <v>3300</v>
          </cell>
          <cell r="C1891">
            <v>475003</v>
          </cell>
          <cell r="D1891">
            <v>41244</v>
          </cell>
          <cell r="E1891">
            <v>1646200</v>
          </cell>
          <cell r="F1891">
            <v>1646200</v>
          </cell>
          <cell r="G1891">
            <v>800000</v>
          </cell>
          <cell r="H1891">
            <v>137183</v>
          </cell>
          <cell r="I1891">
            <v>750000</v>
          </cell>
        </row>
        <row r="1892">
          <cell r="A1892" t="str">
            <v>3300|475004</v>
          </cell>
          <cell r="B1892" t="str">
            <v>3300</v>
          </cell>
          <cell r="C1892">
            <v>475004</v>
          </cell>
          <cell r="D1892">
            <v>41244</v>
          </cell>
          <cell r="E1892">
            <v>17757501</v>
          </cell>
          <cell r="F1892">
            <v>17757501</v>
          </cell>
          <cell r="G1892">
            <v>11572376</v>
          </cell>
          <cell r="H1892">
            <v>1479792</v>
          </cell>
          <cell r="I1892">
            <v>604000</v>
          </cell>
        </row>
        <row r="1893">
          <cell r="A1893" t="str">
            <v>3300|475006</v>
          </cell>
          <cell r="B1893" t="str">
            <v>3300</v>
          </cell>
          <cell r="C1893">
            <v>475006</v>
          </cell>
          <cell r="D1893">
            <v>41244</v>
          </cell>
          <cell r="E1893">
            <v>16306651</v>
          </cell>
          <cell r="F1893">
            <v>16306651</v>
          </cell>
          <cell r="G1893">
            <v>7781256</v>
          </cell>
          <cell r="H1893">
            <v>1358888</v>
          </cell>
          <cell r="I1893">
            <v>648438</v>
          </cell>
        </row>
        <row r="1894">
          <cell r="A1894" t="str">
            <v>3300|476001</v>
          </cell>
          <cell r="B1894" t="str">
            <v>3300</v>
          </cell>
          <cell r="C1894">
            <v>476001</v>
          </cell>
          <cell r="D1894">
            <v>41244</v>
          </cell>
          <cell r="E1894">
            <v>6428000</v>
          </cell>
          <cell r="F1894">
            <v>6428000</v>
          </cell>
          <cell r="G1894">
            <v>11600000</v>
          </cell>
          <cell r="H1894">
            <v>535667</v>
          </cell>
          <cell r="I1894">
            <v>0</v>
          </cell>
        </row>
        <row r="1895">
          <cell r="A1895" t="str">
            <v>3300|476220</v>
          </cell>
          <cell r="B1895" t="str">
            <v>3300</v>
          </cell>
          <cell r="C1895">
            <v>476220</v>
          </cell>
          <cell r="D1895">
            <v>41244</v>
          </cell>
          <cell r="E1895">
            <v>7049895</v>
          </cell>
          <cell r="F1895">
            <v>7049895</v>
          </cell>
          <cell r="G1895">
            <v>24424848</v>
          </cell>
          <cell r="H1895">
            <v>587491</v>
          </cell>
          <cell r="I1895">
            <v>15000000</v>
          </cell>
        </row>
        <row r="1896">
          <cell r="A1896" t="str">
            <v>3300|476900</v>
          </cell>
          <cell r="B1896" t="str">
            <v>3300</v>
          </cell>
          <cell r="C1896">
            <v>476900</v>
          </cell>
          <cell r="D1896">
            <v>41244</v>
          </cell>
          <cell r="E1896">
            <v>22032499</v>
          </cell>
          <cell r="F1896">
            <v>22032499</v>
          </cell>
          <cell r="G1896">
            <v>21816062</v>
          </cell>
          <cell r="H1896">
            <v>1836041</v>
          </cell>
          <cell r="I1896">
            <v>0</v>
          </cell>
        </row>
        <row r="1897">
          <cell r="A1897" t="str">
            <v>3300|476910</v>
          </cell>
          <cell r="B1897" t="str">
            <v>3300</v>
          </cell>
          <cell r="C1897">
            <v>476910</v>
          </cell>
          <cell r="D1897">
            <v>41244</v>
          </cell>
          <cell r="E1897">
            <v>4515000</v>
          </cell>
          <cell r="F1897">
            <v>4515000</v>
          </cell>
          <cell r="G1897">
            <v>510000</v>
          </cell>
          <cell r="H1897">
            <v>376250</v>
          </cell>
          <cell r="I1897">
            <v>0</v>
          </cell>
        </row>
        <row r="1898">
          <cell r="A1898" t="str">
            <v>3300|477001</v>
          </cell>
          <cell r="B1898" t="str">
            <v>3300</v>
          </cell>
          <cell r="C1898">
            <v>477001</v>
          </cell>
          <cell r="D1898">
            <v>41244</v>
          </cell>
          <cell r="E1898">
            <v>2625000000</v>
          </cell>
          <cell r="F1898">
            <v>2625000000</v>
          </cell>
          <cell r="G1898">
            <v>2279246630</v>
          </cell>
          <cell r="H1898">
            <v>218750000</v>
          </cell>
          <cell r="I1898">
            <v>-24684600</v>
          </cell>
        </row>
        <row r="1899">
          <cell r="A1899" t="str">
            <v>3300|477100</v>
          </cell>
          <cell r="B1899" t="str">
            <v>3300</v>
          </cell>
          <cell r="C1899">
            <v>477100</v>
          </cell>
          <cell r="D1899">
            <v>41244</v>
          </cell>
          <cell r="E1899">
            <v>65000000</v>
          </cell>
          <cell r="F1899">
            <v>65000000</v>
          </cell>
          <cell r="G1899">
            <v>-191825799</v>
          </cell>
          <cell r="H1899">
            <v>5416667</v>
          </cell>
          <cell r="I1899">
            <v>702604611</v>
          </cell>
        </row>
        <row r="1900">
          <cell r="A1900" t="str">
            <v>3300|477310</v>
          </cell>
          <cell r="B1900" t="str">
            <v>3300</v>
          </cell>
          <cell r="C1900">
            <v>477310</v>
          </cell>
          <cell r="D1900">
            <v>41244</v>
          </cell>
          <cell r="E1900">
            <v>40000000</v>
          </cell>
          <cell r="F1900">
            <v>40000000</v>
          </cell>
          <cell r="G1900">
            <v>36249592</v>
          </cell>
          <cell r="H1900">
            <v>3333333</v>
          </cell>
          <cell r="I1900">
            <v>7600000</v>
          </cell>
        </row>
        <row r="1901">
          <cell r="A1901" t="str">
            <v>3300|477400</v>
          </cell>
          <cell r="B1901" t="str">
            <v>3300</v>
          </cell>
          <cell r="C1901">
            <v>477400</v>
          </cell>
          <cell r="D1901">
            <v>41244</v>
          </cell>
          <cell r="E1901">
            <v>75000000</v>
          </cell>
          <cell r="F1901">
            <v>75000000</v>
          </cell>
          <cell r="G1901">
            <v>0</v>
          </cell>
          <cell r="H1901">
            <v>6250000</v>
          </cell>
          <cell r="I1901">
            <v>0</v>
          </cell>
        </row>
        <row r="1902">
          <cell r="A1902" t="str">
            <v>3300|477450</v>
          </cell>
          <cell r="B1902" t="str">
            <v>3300</v>
          </cell>
          <cell r="C1902">
            <v>477450</v>
          </cell>
          <cell r="D1902">
            <v>41244</v>
          </cell>
          <cell r="E1902">
            <v>150000000</v>
          </cell>
          <cell r="F1902">
            <v>150000000</v>
          </cell>
          <cell r="G1902">
            <v>804944611</v>
          </cell>
          <cell r="H1902">
            <v>12500000</v>
          </cell>
          <cell r="I1902">
            <v>-701604611</v>
          </cell>
        </row>
        <row r="1903">
          <cell r="A1903" t="str">
            <v>3300|477910</v>
          </cell>
          <cell r="B1903" t="str">
            <v>3300</v>
          </cell>
          <cell r="C1903">
            <v>477910</v>
          </cell>
          <cell r="D1903">
            <v>41244</v>
          </cell>
          <cell r="E1903">
            <v>9200000</v>
          </cell>
          <cell r="F1903">
            <v>9200000</v>
          </cell>
          <cell r="G1903">
            <v>0</v>
          </cell>
          <cell r="H1903">
            <v>766667</v>
          </cell>
          <cell r="I1903">
            <v>0</v>
          </cell>
        </row>
        <row r="1904">
          <cell r="A1904" t="str">
            <v>3310|211100</v>
          </cell>
          <cell r="B1904" t="str">
            <v>3310</v>
          </cell>
          <cell r="C1904">
            <v>211100</v>
          </cell>
          <cell r="D1904">
            <v>41244</v>
          </cell>
          <cell r="E1904">
            <v>1811914</v>
          </cell>
          <cell r="F1904">
            <v>1811914</v>
          </cell>
          <cell r="G1904">
            <v>9153438</v>
          </cell>
          <cell r="H1904">
            <v>150993</v>
          </cell>
          <cell r="I1904">
            <v>859875</v>
          </cell>
        </row>
        <row r="1905">
          <cell r="A1905" t="str">
            <v>3310|246000</v>
          </cell>
          <cell r="B1905" t="str">
            <v>3310</v>
          </cell>
          <cell r="C1905">
            <v>246000</v>
          </cell>
          <cell r="D1905">
            <v>41244</v>
          </cell>
          <cell r="E1905">
            <v>0</v>
          </cell>
          <cell r="F1905">
            <v>0</v>
          </cell>
          <cell r="G1905">
            <v>142404542</v>
          </cell>
          <cell r="H1905">
            <v>0</v>
          </cell>
          <cell r="I1905">
            <v>0</v>
          </cell>
        </row>
        <row r="1906">
          <cell r="A1906" t="str">
            <v>3310|400040</v>
          </cell>
          <cell r="B1906" t="str">
            <v>3310</v>
          </cell>
          <cell r="C1906">
            <v>400040</v>
          </cell>
          <cell r="D1906">
            <v>41244</v>
          </cell>
          <cell r="E1906">
            <v>8570541</v>
          </cell>
          <cell r="F1906">
            <v>8570541</v>
          </cell>
          <cell r="G1906">
            <v>55120767</v>
          </cell>
          <cell r="H1906">
            <v>714212</v>
          </cell>
          <cell r="I1906">
            <v>0</v>
          </cell>
        </row>
        <row r="1907">
          <cell r="A1907" t="str">
            <v>3310|405200</v>
          </cell>
          <cell r="B1907" t="str">
            <v>3310</v>
          </cell>
          <cell r="C1907">
            <v>405200</v>
          </cell>
          <cell r="D1907">
            <v>41244</v>
          </cell>
          <cell r="E1907">
            <v>0</v>
          </cell>
          <cell r="F1907">
            <v>0</v>
          </cell>
          <cell r="G1907">
            <v>7120909</v>
          </cell>
          <cell r="H1907">
            <v>0</v>
          </cell>
          <cell r="I1907">
            <v>0</v>
          </cell>
        </row>
        <row r="1908">
          <cell r="A1908" t="str">
            <v>3310|405251</v>
          </cell>
          <cell r="B1908" t="str">
            <v>3310</v>
          </cell>
          <cell r="C1908">
            <v>405251</v>
          </cell>
          <cell r="D1908">
            <v>41244</v>
          </cell>
          <cell r="E1908">
            <v>0</v>
          </cell>
          <cell r="F1908">
            <v>0</v>
          </cell>
          <cell r="G1908">
            <v>36325</v>
          </cell>
          <cell r="H1908">
            <v>0</v>
          </cell>
          <cell r="I1908">
            <v>0</v>
          </cell>
        </row>
        <row r="1909">
          <cell r="A1909" t="str">
            <v>3310|405252</v>
          </cell>
          <cell r="B1909" t="str">
            <v>3310</v>
          </cell>
          <cell r="C1909">
            <v>405252</v>
          </cell>
          <cell r="D1909">
            <v>41244</v>
          </cell>
          <cell r="E1909">
            <v>2000000000</v>
          </cell>
          <cell r="F1909">
            <v>2000000000</v>
          </cell>
          <cell r="G1909">
            <v>20385736</v>
          </cell>
          <cell r="H1909">
            <v>166666664</v>
          </cell>
          <cell r="I1909">
            <v>12500000</v>
          </cell>
        </row>
        <row r="1910">
          <cell r="A1910" t="str">
            <v>3310|405300</v>
          </cell>
          <cell r="B1910" t="str">
            <v>3310</v>
          </cell>
          <cell r="C1910">
            <v>405300</v>
          </cell>
          <cell r="D1910">
            <v>41244</v>
          </cell>
          <cell r="E1910">
            <v>0</v>
          </cell>
          <cell r="F1910">
            <v>0</v>
          </cell>
          <cell r="G1910">
            <v>167723971</v>
          </cell>
          <cell r="H1910">
            <v>0</v>
          </cell>
          <cell r="I1910">
            <v>1062713</v>
          </cell>
        </row>
        <row r="1911">
          <cell r="A1911" t="str">
            <v>3310|416101</v>
          </cell>
          <cell r="B1911" t="str">
            <v>3310</v>
          </cell>
          <cell r="C1911">
            <v>416101</v>
          </cell>
          <cell r="D1911">
            <v>41244</v>
          </cell>
          <cell r="E1911">
            <v>0</v>
          </cell>
          <cell r="F1911">
            <v>0</v>
          </cell>
          <cell r="G1911">
            <v>7498100</v>
          </cell>
          <cell r="H1911">
            <v>0</v>
          </cell>
          <cell r="I1911">
            <v>0</v>
          </cell>
        </row>
        <row r="1912">
          <cell r="A1912" t="str">
            <v>3310|420002</v>
          </cell>
          <cell r="B1912" t="str">
            <v>3310</v>
          </cell>
          <cell r="C1912">
            <v>420002</v>
          </cell>
          <cell r="D1912">
            <v>41244</v>
          </cell>
          <cell r="E1912">
            <v>71303847</v>
          </cell>
          <cell r="F1912">
            <v>71303847</v>
          </cell>
          <cell r="G1912">
            <v>47719838</v>
          </cell>
          <cell r="H1912">
            <v>5941987</v>
          </cell>
          <cell r="I1912">
            <v>4149000</v>
          </cell>
        </row>
        <row r="1913">
          <cell r="A1913" t="str">
            <v>3310|420003</v>
          </cell>
          <cell r="B1913" t="str">
            <v>3310</v>
          </cell>
          <cell r="C1913">
            <v>420003</v>
          </cell>
          <cell r="D1913">
            <v>41244</v>
          </cell>
          <cell r="E1913">
            <v>2579724612</v>
          </cell>
          <cell r="F1913">
            <v>2579724612</v>
          </cell>
          <cell r="G1913">
            <v>1549319514</v>
          </cell>
          <cell r="H1913">
            <v>214977051</v>
          </cell>
          <cell r="I1913">
            <v>150118248</v>
          </cell>
        </row>
        <row r="1914">
          <cell r="A1914" t="str">
            <v>3310|422003</v>
          </cell>
          <cell r="B1914" t="str">
            <v>3310</v>
          </cell>
          <cell r="C1914">
            <v>422003</v>
          </cell>
          <cell r="D1914">
            <v>41244</v>
          </cell>
          <cell r="E1914">
            <v>717526774</v>
          </cell>
          <cell r="F1914">
            <v>717526774</v>
          </cell>
          <cell r="G1914">
            <v>1153137483</v>
          </cell>
          <cell r="H1914">
            <v>59793898</v>
          </cell>
          <cell r="I1914">
            <v>98520452</v>
          </cell>
        </row>
        <row r="1915">
          <cell r="A1915" t="str">
            <v>3310|431000</v>
          </cell>
          <cell r="B1915" t="str">
            <v>3310</v>
          </cell>
          <cell r="C1915">
            <v>431000</v>
          </cell>
          <cell r="D1915">
            <v>41244</v>
          </cell>
          <cell r="E1915">
            <v>0</v>
          </cell>
          <cell r="F1915">
            <v>0</v>
          </cell>
          <cell r="G1915">
            <v>867524</v>
          </cell>
          <cell r="H1915">
            <v>0</v>
          </cell>
          <cell r="I1915">
            <v>655424</v>
          </cell>
        </row>
        <row r="1916">
          <cell r="A1916" t="str">
            <v>3310|431001</v>
          </cell>
          <cell r="B1916" t="str">
            <v>3310</v>
          </cell>
          <cell r="C1916">
            <v>431001</v>
          </cell>
          <cell r="D1916">
            <v>41244</v>
          </cell>
          <cell r="E1916">
            <v>0</v>
          </cell>
          <cell r="F1916">
            <v>0</v>
          </cell>
          <cell r="G1916">
            <v>3946713</v>
          </cell>
          <cell r="H1916">
            <v>0</v>
          </cell>
          <cell r="I1916">
            <v>0</v>
          </cell>
        </row>
        <row r="1917">
          <cell r="A1917" t="str">
            <v>3310|431002</v>
          </cell>
          <cell r="B1917" t="str">
            <v>3310</v>
          </cell>
          <cell r="C1917">
            <v>431002</v>
          </cell>
          <cell r="D1917">
            <v>41244</v>
          </cell>
          <cell r="E1917">
            <v>831273</v>
          </cell>
          <cell r="F1917">
            <v>831273</v>
          </cell>
          <cell r="G1917">
            <v>21763859</v>
          </cell>
          <cell r="H1917">
            <v>69273</v>
          </cell>
          <cell r="I1917">
            <v>1126916</v>
          </cell>
        </row>
        <row r="1918">
          <cell r="A1918" t="str">
            <v>3310|431003</v>
          </cell>
          <cell r="B1918" t="str">
            <v>3310</v>
          </cell>
          <cell r="C1918">
            <v>431003</v>
          </cell>
          <cell r="D1918">
            <v>41244</v>
          </cell>
          <cell r="E1918">
            <v>51484</v>
          </cell>
          <cell r="F1918">
            <v>51484</v>
          </cell>
          <cell r="G1918">
            <v>0</v>
          </cell>
          <cell r="H1918">
            <v>4290</v>
          </cell>
          <cell r="I1918">
            <v>0</v>
          </cell>
        </row>
        <row r="1919">
          <cell r="A1919" t="str">
            <v>3310|434012</v>
          </cell>
          <cell r="B1919" t="str">
            <v>3310</v>
          </cell>
          <cell r="C1919">
            <v>434012</v>
          </cell>
          <cell r="D1919">
            <v>41244</v>
          </cell>
          <cell r="E1919">
            <v>0</v>
          </cell>
          <cell r="F1919">
            <v>0</v>
          </cell>
          <cell r="G1919">
            <v>1790011</v>
          </cell>
          <cell r="H1919">
            <v>0</v>
          </cell>
          <cell r="I1919">
            <v>982145</v>
          </cell>
        </row>
        <row r="1920">
          <cell r="A1920" t="str">
            <v>3310|434013</v>
          </cell>
          <cell r="B1920" t="str">
            <v>3310</v>
          </cell>
          <cell r="C1920">
            <v>434013</v>
          </cell>
          <cell r="D1920">
            <v>41244</v>
          </cell>
          <cell r="E1920">
            <v>11860500</v>
          </cell>
          <cell r="F1920">
            <v>11860500</v>
          </cell>
          <cell r="G1920">
            <v>31770435</v>
          </cell>
          <cell r="H1920">
            <v>988375</v>
          </cell>
          <cell r="I1920">
            <v>8199577</v>
          </cell>
        </row>
        <row r="1921">
          <cell r="A1921" t="str">
            <v>3310|435002</v>
          </cell>
          <cell r="B1921" t="str">
            <v>3310</v>
          </cell>
          <cell r="C1921">
            <v>435002</v>
          </cell>
          <cell r="D1921">
            <v>41244</v>
          </cell>
          <cell r="E1921">
            <v>5941987</v>
          </cell>
          <cell r="F1921">
            <v>5941987</v>
          </cell>
          <cell r="G1921">
            <v>4149000</v>
          </cell>
          <cell r="H1921">
            <v>495166</v>
          </cell>
          <cell r="I1921">
            <v>4149000</v>
          </cell>
        </row>
        <row r="1922">
          <cell r="A1922" t="str">
            <v>3310|435003</v>
          </cell>
          <cell r="B1922" t="str">
            <v>3310</v>
          </cell>
          <cell r="C1922">
            <v>435003</v>
          </cell>
          <cell r="D1922">
            <v>41244</v>
          </cell>
          <cell r="E1922">
            <v>262550038</v>
          </cell>
          <cell r="F1922">
            <v>262550038</v>
          </cell>
          <cell r="G1922">
            <v>74446761</v>
          </cell>
          <cell r="H1922">
            <v>21879170</v>
          </cell>
          <cell r="I1922">
            <v>0</v>
          </cell>
        </row>
        <row r="1923">
          <cell r="A1923" t="str">
            <v>3310|439003</v>
          </cell>
          <cell r="B1923" t="str">
            <v>3310</v>
          </cell>
          <cell r="C1923">
            <v>439003</v>
          </cell>
          <cell r="D1923">
            <v>41244</v>
          </cell>
          <cell r="E1923">
            <v>220278169</v>
          </cell>
          <cell r="F1923">
            <v>220278169</v>
          </cell>
          <cell r="G1923">
            <v>382365882</v>
          </cell>
          <cell r="H1923">
            <v>18356514</v>
          </cell>
          <cell r="I1923">
            <v>49779599</v>
          </cell>
        </row>
        <row r="1924">
          <cell r="A1924" t="str">
            <v>3310|439006</v>
          </cell>
          <cell r="B1924" t="str">
            <v>3310</v>
          </cell>
          <cell r="C1924">
            <v>439006</v>
          </cell>
          <cell r="D1924">
            <v>41244</v>
          </cell>
          <cell r="E1924">
            <v>149501030</v>
          </cell>
          <cell r="F1924">
            <v>149501030</v>
          </cell>
          <cell r="G1924">
            <v>45128239</v>
          </cell>
          <cell r="H1924">
            <v>12458419</v>
          </cell>
          <cell r="I1924">
            <v>0</v>
          </cell>
        </row>
        <row r="1925">
          <cell r="A1925" t="str">
            <v>3310|439008</v>
          </cell>
          <cell r="B1925" t="str">
            <v>3310</v>
          </cell>
          <cell r="C1925">
            <v>439008</v>
          </cell>
          <cell r="D1925">
            <v>41244</v>
          </cell>
          <cell r="E1925">
            <v>16368905</v>
          </cell>
          <cell r="F1925">
            <v>16368905</v>
          </cell>
          <cell r="G1925">
            <v>17422908</v>
          </cell>
          <cell r="H1925">
            <v>1364075</v>
          </cell>
          <cell r="I1925">
            <v>0</v>
          </cell>
        </row>
        <row r="1926">
          <cell r="A1926" t="str">
            <v>3310|439202</v>
          </cell>
          <cell r="B1926" t="str">
            <v>3310</v>
          </cell>
          <cell r="C1926">
            <v>439202</v>
          </cell>
          <cell r="D1926">
            <v>41244</v>
          </cell>
          <cell r="E1926">
            <v>6000000</v>
          </cell>
          <cell r="F1926">
            <v>6000000</v>
          </cell>
          <cell r="G1926">
            <v>3370000</v>
          </cell>
          <cell r="H1926">
            <v>500000</v>
          </cell>
          <cell r="I1926">
            <v>500000</v>
          </cell>
        </row>
        <row r="1927">
          <cell r="A1927" t="str">
            <v>3310|439203</v>
          </cell>
          <cell r="B1927" t="str">
            <v>3310</v>
          </cell>
          <cell r="C1927">
            <v>439203</v>
          </cell>
          <cell r="D1927">
            <v>41244</v>
          </cell>
          <cell r="E1927">
            <v>24000000</v>
          </cell>
          <cell r="F1927">
            <v>24000000</v>
          </cell>
          <cell r="G1927">
            <v>24825000</v>
          </cell>
          <cell r="H1927">
            <v>2000000</v>
          </cell>
          <cell r="I1927">
            <v>2575000</v>
          </cell>
        </row>
        <row r="1928">
          <cell r="A1928" t="str">
            <v>3310|440002</v>
          </cell>
          <cell r="B1928" t="str">
            <v>3310</v>
          </cell>
          <cell r="C1928">
            <v>440002</v>
          </cell>
          <cell r="D1928">
            <v>41244</v>
          </cell>
          <cell r="E1928">
            <v>5941987</v>
          </cell>
          <cell r="F1928">
            <v>5941987</v>
          </cell>
          <cell r="G1928">
            <v>-1330803</v>
          </cell>
          <cell r="H1928">
            <v>495166</v>
          </cell>
          <cell r="I1928">
            <v>558485</v>
          </cell>
        </row>
        <row r="1929">
          <cell r="A1929" t="str">
            <v>3310|440003</v>
          </cell>
          <cell r="B1929" t="str">
            <v>3310</v>
          </cell>
          <cell r="C1929">
            <v>440003</v>
          </cell>
          <cell r="D1929">
            <v>41244</v>
          </cell>
          <cell r="E1929">
            <v>98839666</v>
          </cell>
          <cell r="F1929">
            <v>98839666</v>
          </cell>
          <cell r="G1929">
            <v>94993732</v>
          </cell>
          <cell r="H1929">
            <v>8236639</v>
          </cell>
          <cell r="I1929">
            <v>6712482</v>
          </cell>
        </row>
        <row r="1930">
          <cell r="A1930" t="str">
            <v>3310|446002</v>
          </cell>
          <cell r="B1930" t="str">
            <v>3310</v>
          </cell>
          <cell r="C1930">
            <v>446002</v>
          </cell>
          <cell r="D1930">
            <v>41244</v>
          </cell>
          <cell r="E1930">
            <v>2970994</v>
          </cell>
          <cell r="F1930">
            <v>2970994</v>
          </cell>
          <cell r="G1930">
            <v>165491</v>
          </cell>
          <cell r="H1930">
            <v>247583</v>
          </cell>
          <cell r="I1930">
            <v>250000</v>
          </cell>
        </row>
        <row r="1931">
          <cell r="A1931" t="str">
            <v>3310|447002</v>
          </cell>
          <cell r="B1931" t="str">
            <v>3310</v>
          </cell>
          <cell r="C1931">
            <v>447002</v>
          </cell>
          <cell r="D1931">
            <v>41244</v>
          </cell>
          <cell r="E1931">
            <v>2072652</v>
          </cell>
          <cell r="F1931">
            <v>2072652</v>
          </cell>
          <cell r="G1931">
            <v>259136</v>
          </cell>
          <cell r="H1931">
            <v>172721</v>
          </cell>
          <cell r="I1931">
            <v>22405</v>
          </cell>
        </row>
        <row r="1932">
          <cell r="A1932" t="str">
            <v>3310|447003</v>
          </cell>
          <cell r="B1932" t="str">
            <v>3310</v>
          </cell>
          <cell r="C1932">
            <v>447003</v>
          </cell>
          <cell r="D1932">
            <v>41244</v>
          </cell>
          <cell r="E1932">
            <v>8151082</v>
          </cell>
          <cell r="F1932">
            <v>8151082</v>
          </cell>
          <cell r="G1932">
            <v>9090202</v>
          </cell>
          <cell r="H1932">
            <v>679257</v>
          </cell>
          <cell r="I1932">
            <v>703804</v>
          </cell>
        </row>
        <row r="1933">
          <cell r="A1933" t="str">
            <v>3310|447012</v>
          </cell>
          <cell r="B1933" t="str">
            <v>3310</v>
          </cell>
          <cell r="C1933">
            <v>447012</v>
          </cell>
          <cell r="D1933">
            <v>41244</v>
          </cell>
          <cell r="E1933">
            <v>4884593</v>
          </cell>
          <cell r="F1933">
            <v>4884593</v>
          </cell>
          <cell r="G1933">
            <v>1775556</v>
          </cell>
          <cell r="H1933">
            <v>407049</v>
          </cell>
          <cell r="I1933">
            <v>153513</v>
          </cell>
        </row>
        <row r="1934">
          <cell r="A1934" t="str">
            <v>3310|447013</v>
          </cell>
          <cell r="B1934" t="str">
            <v>3310</v>
          </cell>
          <cell r="C1934">
            <v>447013</v>
          </cell>
          <cell r="D1934">
            <v>41244</v>
          </cell>
          <cell r="E1934">
            <v>39209557</v>
          </cell>
          <cell r="F1934">
            <v>39209557</v>
          </cell>
          <cell r="G1934">
            <v>32283651</v>
          </cell>
          <cell r="H1934">
            <v>3267462</v>
          </cell>
          <cell r="I1934">
            <v>2503922</v>
          </cell>
        </row>
        <row r="1935">
          <cell r="A1935" t="str">
            <v>3310|447022</v>
          </cell>
          <cell r="B1935" t="str">
            <v>3310</v>
          </cell>
          <cell r="C1935">
            <v>447022</v>
          </cell>
          <cell r="D1935">
            <v>41244</v>
          </cell>
          <cell r="E1935">
            <v>207265</v>
          </cell>
          <cell r="F1935">
            <v>207265</v>
          </cell>
          <cell r="G1935">
            <v>37763</v>
          </cell>
          <cell r="H1935">
            <v>17272</v>
          </cell>
          <cell r="I1935">
            <v>1100</v>
          </cell>
        </row>
        <row r="1936">
          <cell r="A1936" t="str">
            <v>3310|447023</v>
          </cell>
          <cell r="B1936" t="str">
            <v>3310</v>
          </cell>
          <cell r="C1936">
            <v>447023</v>
          </cell>
          <cell r="D1936">
            <v>41244</v>
          </cell>
          <cell r="E1936">
            <v>815108</v>
          </cell>
          <cell r="F1936">
            <v>815108</v>
          </cell>
          <cell r="G1936">
            <v>1506784</v>
          </cell>
          <cell r="H1936">
            <v>67926</v>
          </cell>
          <cell r="I1936">
            <v>71700</v>
          </cell>
        </row>
        <row r="1937">
          <cell r="A1937" t="str">
            <v>3310|448002</v>
          </cell>
          <cell r="B1937" t="str">
            <v>3310</v>
          </cell>
          <cell r="C1937">
            <v>448002</v>
          </cell>
          <cell r="D1937">
            <v>41244</v>
          </cell>
          <cell r="E1937">
            <v>12314417</v>
          </cell>
          <cell r="F1937">
            <v>12314417</v>
          </cell>
          <cell r="G1937">
            <v>38405800</v>
          </cell>
          <cell r="H1937">
            <v>1026201</v>
          </cell>
          <cell r="I1937">
            <v>1941400</v>
          </cell>
        </row>
        <row r="1938">
          <cell r="A1938" t="str">
            <v>3310|448003</v>
          </cell>
          <cell r="B1938" t="str">
            <v>3310</v>
          </cell>
          <cell r="C1938">
            <v>448003</v>
          </cell>
          <cell r="D1938">
            <v>41244</v>
          </cell>
          <cell r="E1938">
            <v>92771569</v>
          </cell>
          <cell r="F1938">
            <v>92771569</v>
          </cell>
          <cell r="G1938">
            <v>49554600</v>
          </cell>
          <cell r="H1938">
            <v>7730964</v>
          </cell>
          <cell r="I1938">
            <v>5513400</v>
          </cell>
        </row>
        <row r="1939">
          <cell r="A1939" t="str">
            <v>3310|449010</v>
          </cell>
          <cell r="B1939" t="str">
            <v>3310</v>
          </cell>
          <cell r="C1939">
            <v>449010</v>
          </cell>
          <cell r="D1939">
            <v>41244</v>
          </cell>
          <cell r="E1939">
            <v>0</v>
          </cell>
          <cell r="F1939">
            <v>0</v>
          </cell>
          <cell r="G1939">
            <v>17157676</v>
          </cell>
          <cell r="H1939">
            <v>0</v>
          </cell>
          <cell r="I1939">
            <v>0</v>
          </cell>
        </row>
        <row r="1940">
          <cell r="A1940" t="str">
            <v>3310|449011</v>
          </cell>
          <cell r="B1940" t="str">
            <v>3310</v>
          </cell>
          <cell r="C1940">
            <v>449011</v>
          </cell>
          <cell r="D1940">
            <v>41244</v>
          </cell>
          <cell r="E1940">
            <v>150000000</v>
          </cell>
          <cell r="F1940">
            <v>150000000</v>
          </cell>
          <cell r="G1940">
            <v>79258065</v>
          </cell>
          <cell r="H1940">
            <v>12500000</v>
          </cell>
          <cell r="I1940">
            <v>0</v>
          </cell>
        </row>
        <row r="1941">
          <cell r="A1941" t="str">
            <v>3310|449012</v>
          </cell>
          <cell r="B1941" t="str">
            <v>3310</v>
          </cell>
          <cell r="C1941">
            <v>449012</v>
          </cell>
          <cell r="D1941">
            <v>41244</v>
          </cell>
          <cell r="E1941">
            <v>0</v>
          </cell>
          <cell r="F1941">
            <v>0</v>
          </cell>
          <cell r="G1941">
            <v>75919636</v>
          </cell>
          <cell r="H1941">
            <v>0</v>
          </cell>
          <cell r="I1941">
            <v>0</v>
          </cell>
        </row>
        <row r="1942">
          <cell r="A1942" t="str">
            <v>3310|449022</v>
          </cell>
          <cell r="B1942" t="str">
            <v>3310</v>
          </cell>
          <cell r="C1942">
            <v>449022</v>
          </cell>
          <cell r="D1942">
            <v>41244</v>
          </cell>
          <cell r="E1942">
            <v>3960000</v>
          </cell>
          <cell r="F1942">
            <v>3960000</v>
          </cell>
          <cell r="G1942">
            <v>2945000</v>
          </cell>
          <cell r="H1942">
            <v>330000</v>
          </cell>
          <cell r="I1942">
            <v>594000</v>
          </cell>
        </row>
        <row r="1943">
          <cell r="A1943" t="str">
            <v>3310|449023</v>
          </cell>
          <cell r="B1943" t="str">
            <v>3310</v>
          </cell>
          <cell r="C1943">
            <v>449023</v>
          </cell>
          <cell r="D1943">
            <v>41244</v>
          </cell>
          <cell r="E1943">
            <v>45330000</v>
          </cell>
          <cell r="F1943">
            <v>45330000</v>
          </cell>
          <cell r="G1943">
            <v>50192430</v>
          </cell>
          <cell r="H1943">
            <v>3777500</v>
          </cell>
          <cell r="I1943">
            <v>4103950</v>
          </cell>
        </row>
        <row r="1944">
          <cell r="A1944" t="str">
            <v>3310|449032</v>
          </cell>
          <cell r="B1944" t="str">
            <v>3310</v>
          </cell>
          <cell r="C1944">
            <v>449032</v>
          </cell>
          <cell r="D1944">
            <v>41244</v>
          </cell>
          <cell r="E1944">
            <v>22753847</v>
          </cell>
          <cell r="F1944">
            <v>22753847</v>
          </cell>
          <cell r="G1944">
            <v>22000000</v>
          </cell>
          <cell r="H1944">
            <v>1896151</v>
          </cell>
          <cell r="I1944">
            <v>0</v>
          </cell>
        </row>
        <row r="1945">
          <cell r="A1945" t="str">
            <v>3310|449036</v>
          </cell>
          <cell r="B1945" t="str">
            <v>3310</v>
          </cell>
          <cell r="C1945">
            <v>449036</v>
          </cell>
          <cell r="D1945">
            <v>41244</v>
          </cell>
          <cell r="E1945">
            <v>0</v>
          </cell>
          <cell r="F1945">
            <v>0</v>
          </cell>
          <cell r="G1945">
            <v>3450000</v>
          </cell>
          <cell r="H1945">
            <v>0</v>
          </cell>
          <cell r="I1945">
            <v>0</v>
          </cell>
        </row>
        <row r="1946">
          <cell r="A1946" t="str">
            <v>3310|449040</v>
          </cell>
          <cell r="B1946" t="str">
            <v>3310</v>
          </cell>
          <cell r="C1946">
            <v>449040</v>
          </cell>
          <cell r="D1946">
            <v>41244</v>
          </cell>
          <cell r="E1946">
            <v>42150000</v>
          </cell>
          <cell r="F1946">
            <v>42150000</v>
          </cell>
          <cell r="G1946">
            <v>50917000</v>
          </cell>
          <cell r="H1946">
            <v>3512501</v>
          </cell>
          <cell r="I1946">
            <v>12450000</v>
          </cell>
        </row>
        <row r="1947">
          <cell r="A1947" t="str">
            <v>3310|449050</v>
          </cell>
          <cell r="B1947" t="str">
            <v>3310</v>
          </cell>
          <cell r="C1947">
            <v>449050</v>
          </cell>
          <cell r="D1947">
            <v>41244</v>
          </cell>
          <cell r="E1947">
            <v>145500000</v>
          </cell>
          <cell r="F1947">
            <v>145500000</v>
          </cell>
          <cell r="G1947">
            <v>578659926</v>
          </cell>
          <cell r="H1947">
            <v>12124994</v>
          </cell>
          <cell r="I1947">
            <v>27367204</v>
          </cell>
        </row>
        <row r="1948">
          <cell r="A1948" t="str">
            <v>3310|449060</v>
          </cell>
          <cell r="B1948" t="str">
            <v>3310</v>
          </cell>
          <cell r="C1948">
            <v>449060</v>
          </cell>
          <cell r="D1948">
            <v>41244</v>
          </cell>
          <cell r="E1948">
            <v>0</v>
          </cell>
          <cell r="F1948">
            <v>0</v>
          </cell>
          <cell r="G1948">
            <v>640193</v>
          </cell>
          <cell r="H1948">
            <v>0</v>
          </cell>
          <cell r="I1948">
            <v>158744</v>
          </cell>
        </row>
        <row r="1949">
          <cell r="A1949" t="str">
            <v>3310|449061</v>
          </cell>
          <cell r="B1949" t="str">
            <v>3310</v>
          </cell>
          <cell r="C1949">
            <v>449061</v>
          </cell>
          <cell r="D1949">
            <v>41244</v>
          </cell>
          <cell r="E1949">
            <v>61314700</v>
          </cell>
          <cell r="F1949">
            <v>61314700</v>
          </cell>
          <cell r="G1949">
            <v>121824500</v>
          </cell>
          <cell r="H1949">
            <v>5109558</v>
          </cell>
          <cell r="I1949">
            <v>12175900</v>
          </cell>
        </row>
        <row r="1950">
          <cell r="A1950" t="str">
            <v>3310|459000</v>
          </cell>
          <cell r="B1950" t="str">
            <v>3310</v>
          </cell>
          <cell r="C1950">
            <v>459000</v>
          </cell>
          <cell r="D1950">
            <v>41244</v>
          </cell>
          <cell r="E1950">
            <v>5475000</v>
          </cell>
          <cell r="F1950">
            <v>5475000</v>
          </cell>
          <cell r="G1950">
            <v>3000000</v>
          </cell>
          <cell r="H1950">
            <v>456246</v>
          </cell>
          <cell r="I1950">
            <v>0</v>
          </cell>
        </row>
        <row r="1951">
          <cell r="A1951" t="str">
            <v>3310|459002</v>
          </cell>
          <cell r="B1951" t="str">
            <v>3310</v>
          </cell>
          <cell r="C1951">
            <v>459002</v>
          </cell>
          <cell r="D1951">
            <v>41244</v>
          </cell>
          <cell r="E1951">
            <v>24500000</v>
          </cell>
          <cell r="F1951">
            <v>24500000</v>
          </cell>
          <cell r="G1951">
            <v>29777636</v>
          </cell>
          <cell r="H1951">
            <v>2041667</v>
          </cell>
          <cell r="I1951">
            <v>0</v>
          </cell>
        </row>
        <row r="1952">
          <cell r="A1952" t="str">
            <v>3310|470001</v>
          </cell>
          <cell r="B1952" t="str">
            <v>3310</v>
          </cell>
          <cell r="C1952">
            <v>470001</v>
          </cell>
          <cell r="D1952">
            <v>41244</v>
          </cell>
          <cell r="E1952">
            <v>490200288</v>
          </cell>
          <cell r="F1952">
            <v>490200288</v>
          </cell>
          <cell r="G1952">
            <v>219388002</v>
          </cell>
          <cell r="H1952">
            <v>40850024</v>
          </cell>
          <cell r="I1952">
            <v>0</v>
          </cell>
        </row>
        <row r="1953">
          <cell r="A1953" t="str">
            <v>3310|470102</v>
          </cell>
          <cell r="B1953" t="str">
            <v>3310</v>
          </cell>
          <cell r="C1953">
            <v>470102</v>
          </cell>
          <cell r="D1953">
            <v>41244</v>
          </cell>
          <cell r="E1953">
            <v>11371943</v>
          </cell>
          <cell r="F1953">
            <v>11371943</v>
          </cell>
          <cell r="G1953">
            <v>6449164</v>
          </cell>
          <cell r="H1953">
            <v>947665</v>
          </cell>
          <cell r="I1953">
            <v>0</v>
          </cell>
        </row>
        <row r="1954">
          <cell r="A1954" t="str">
            <v>3310|471000</v>
          </cell>
          <cell r="B1954" t="str">
            <v>3310</v>
          </cell>
          <cell r="C1954">
            <v>471000</v>
          </cell>
          <cell r="D1954">
            <v>41244</v>
          </cell>
          <cell r="E1954">
            <v>20068685</v>
          </cell>
          <cell r="F1954">
            <v>20068685</v>
          </cell>
          <cell r="G1954">
            <v>28123225</v>
          </cell>
          <cell r="H1954">
            <v>1672390</v>
          </cell>
          <cell r="I1954">
            <v>7015265</v>
          </cell>
        </row>
        <row r="1955">
          <cell r="A1955" t="str">
            <v>3310|472000</v>
          </cell>
          <cell r="B1955" t="str">
            <v>3310</v>
          </cell>
          <cell r="C1955">
            <v>472000</v>
          </cell>
          <cell r="D1955">
            <v>41244</v>
          </cell>
          <cell r="E1955">
            <v>95000000</v>
          </cell>
          <cell r="F1955">
            <v>95000000</v>
          </cell>
          <cell r="G1955">
            <v>68204924</v>
          </cell>
          <cell r="H1955">
            <v>7916667</v>
          </cell>
          <cell r="I1955">
            <v>862038</v>
          </cell>
        </row>
        <row r="1956">
          <cell r="A1956" t="str">
            <v>3310|473120</v>
          </cell>
          <cell r="B1956" t="str">
            <v>3310</v>
          </cell>
          <cell r="C1956">
            <v>473120</v>
          </cell>
          <cell r="D1956">
            <v>41244</v>
          </cell>
          <cell r="E1956">
            <v>48723479</v>
          </cell>
          <cell r="F1956">
            <v>48723479</v>
          </cell>
          <cell r="G1956">
            <v>46791682</v>
          </cell>
          <cell r="H1956">
            <v>4060290</v>
          </cell>
          <cell r="I1956">
            <v>4056151</v>
          </cell>
        </row>
        <row r="1957">
          <cell r="A1957" t="str">
            <v>3310|474100</v>
          </cell>
          <cell r="B1957" t="str">
            <v>3310</v>
          </cell>
          <cell r="C1957">
            <v>474100</v>
          </cell>
          <cell r="D1957">
            <v>41244</v>
          </cell>
          <cell r="E1957">
            <v>163922987</v>
          </cell>
          <cell r="F1957">
            <v>163922987</v>
          </cell>
          <cell r="G1957">
            <v>93063482</v>
          </cell>
          <cell r="H1957">
            <v>13660249</v>
          </cell>
          <cell r="I1957">
            <v>12000000</v>
          </cell>
        </row>
        <row r="1958">
          <cell r="A1958" t="str">
            <v>3310|474101</v>
          </cell>
          <cell r="B1958" t="str">
            <v>3310</v>
          </cell>
          <cell r="C1958">
            <v>474101</v>
          </cell>
          <cell r="D1958">
            <v>41244</v>
          </cell>
          <cell r="E1958">
            <v>123578132</v>
          </cell>
          <cell r="F1958">
            <v>123578132</v>
          </cell>
          <cell r="G1958">
            <v>101506174</v>
          </cell>
          <cell r="H1958">
            <v>10298178</v>
          </cell>
          <cell r="I1958">
            <v>20355434</v>
          </cell>
        </row>
        <row r="1959">
          <cell r="A1959" t="str">
            <v>3310|474110</v>
          </cell>
          <cell r="B1959" t="str">
            <v>3310</v>
          </cell>
          <cell r="C1959">
            <v>474110</v>
          </cell>
          <cell r="D1959">
            <v>41244</v>
          </cell>
          <cell r="E1959">
            <v>8671356</v>
          </cell>
          <cell r="F1959">
            <v>8671356</v>
          </cell>
          <cell r="G1959">
            <v>0</v>
          </cell>
          <cell r="H1959">
            <v>722613</v>
          </cell>
          <cell r="I1959">
            <v>0</v>
          </cell>
        </row>
        <row r="1960">
          <cell r="A1960" t="str">
            <v>3310|475000</v>
          </cell>
          <cell r="B1960" t="str">
            <v>3310</v>
          </cell>
          <cell r="C1960">
            <v>475000</v>
          </cell>
          <cell r="D1960">
            <v>41244</v>
          </cell>
          <cell r="E1960">
            <v>1125000</v>
          </cell>
          <cell r="F1960">
            <v>1125000</v>
          </cell>
          <cell r="G1960">
            <v>0</v>
          </cell>
          <cell r="H1960">
            <v>93750</v>
          </cell>
          <cell r="I1960">
            <v>0</v>
          </cell>
        </row>
        <row r="1961">
          <cell r="A1961" t="str">
            <v>3310|475001</v>
          </cell>
          <cell r="B1961" t="str">
            <v>3310</v>
          </cell>
          <cell r="C1961">
            <v>475001</v>
          </cell>
          <cell r="D1961">
            <v>41244</v>
          </cell>
          <cell r="E1961">
            <v>11268600</v>
          </cell>
          <cell r="F1961">
            <v>11268600</v>
          </cell>
          <cell r="G1961">
            <v>0</v>
          </cell>
          <cell r="H1961">
            <v>939050</v>
          </cell>
          <cell r="I1961">
            <v>0</v>
          </cell>
        </row>
        <row r="1962">
          <cell r="A1962" t="str">
            <v>3310|475002</v>
          </cell>
          <cell r="B1962" t="str">
            <v>3310</v>
          </cell>
          <cell r="C1962">
            <v>475002</v>
          </cell>
          <cell r="D1962">
            <v>41244</v>
          </cell>
          <cell r="E1962">
            <v>12532336</v>
          </cell>
          <cell r="F1962">
            <v>12532336</v>
          </cell>
          <cell r="G1962">
            <v>28071108</v>
          </cell>
          <cell r="H1962">
            <v>1044361</v>
          </cell>
          <cell r="I1962">
            <v>2339259</v>
          </cell>
        </row>
        <row r="1963">
          <cell r="A1963" t="str">
            <v>3310|475003</v>
          </cell>
          <cell r="B1963" t="str">
            <v>3310</v>
          </cell>
          <cell r="C1963">
            <v>475003</v>
          </cell>
          <cell r="D1963">
            <v>41244</v>
          </cell>
          <cell r="E1963">
            <v>5390164</v>
          </cell>
          <cell r="F1963">
            <v>5390164</v>
          </cell>
          <cell r="G1963">
            <v>7685018</v>
          </cell>
          <cell r="H1963">
            <v>449180</v>
          </cell>
          <cell r="I1963">
            <v>600018</v>
          </cell>
        </row>
        <row r="1964">
          <cell r="A1964" t="str">
            <v>3310|475004</v>
          </cell>
          <cell r="B1964" t="str">
            <v>3310</v>
          </cell>
          <cell r="C1964">
            <v>475004</v>
          </cell>
          <cell r="D1964">
            <v>41244</v>
          </cell>
          <cell r="E1964">
            <v>21375000</v>
          </cell>
          <cell r="F1964">
            <v>21375000</v>
          </cell>
          <cell r="G1964">
            <v>14416466</v>
          </cell>
          <cell r="H1964">
            <v>1781249</v>
          </cell>
          <cell r="I1964">
            <v>0</v>
          </cell>
        </row>
        <row r="1965">
          <cell r="A1965" t="str">
            <v>3310|475005</v>
          </cell>
          <cell r="B1965" t="str">
            <v>3310</v>
          </cell>
          <cell r="C1965">
            <v>475005</v>
          </cell>
          <cell r="D1965">
            <v>41244</v>
          </cell>
          <cell r="E1965">
            <v>0</v>
          </cell>
          <cell r="F1965">
            <v>0</v>
          </cell>
          <cell r="G1965">
            <v>6713472</v>
          </cell>
          <cell r="H1965">
            <v>0</v>
          </cell>
          <cell r="I1965">
            <v>0</v>
          </cell>
        </row>
        <row r="1966">
          <cell r="A1966" t="str">
            <v>3310|475006</v>
          </cell>
          <cell r="B1966" t="str">
            <v>3310</v>
          </cell>
          <cell r="C1966">
            <v>475006</v>
          </cell>
          <cell r="D1966">
            <v>41244</v>
          </cell>
          <cell r="E1966">
            <v>1413064</v>
          </cell>
          <cell r="F1966">
            <v>1413064</v>
          </cell>
          <cell r="G1966">
            <v>4258363</v>
          </cell>
          <cell r="H1966">
            <v>117755</v>
          </cell>
          <cell r="I1966">
            <v>0</v>
          </cell>
        </row>
        <row r="1967">
          <cell r="A1967" t="str">
            <v>3310|476000</v>
          </cell>
          <cell r="B1967" t="str">
            <v>3310</v>
          </cell>
          <cell r="C1967">
            <v>476000</v>
          </cell>
          <cell r="D1967">
            <v>41244</v>
          </cell>
          <cell r="E1967">
            <v>11215208</v>
          </cell>
          <cell r="F1967">
            <v>11215208</v>
          </cell>
          <cell r="G1967">
            <v>12989950</v>
          </cell>
          <cell r="H1967">
            <v>934601</v>
          </cell>
          <cell r="I1967">
            <v>0</v>
          </cell>
        </row>
        <row r="1968">
          <cell r="A1968" t="str">
            <v>3310|476001</v>
          </cell>
          <cell r="B1968" t="str">
            <v>3310</v>
          </cell>
          <cell r="C1968">
            <v>476001</v>
          </cell>
          <cell r="D1968">
            <v>41244</v>
          </cell>
          <cell r="E1968">
            <v>5801100</v>
          </cell>
          <cell r="F1968">
            <v>5801100</v>
          </cell>
          <cell r="G1968">
            <v>8810473</v>
          </cell>
          <cell r="H1968">
            <v>483423</v>
          </cell>
          <cell r="I1968">
            <v>1252786</v>
          </cell>
        </row>
        <row r="1969">
          <cell r="A1969" t="str">
            <v>3310|476002</v>
          </cell>
          <cell r="B1969" t="str">
            <v>3310</v>
          </cell>
          <cell r="C1969">
            <v>476002</v>
          </cell>
          <cell r="D1969">
            <v>41244</v>
          </cell>
          <cell r="E1969">
            <v>8447990</v>
          </cell>
          <cell r="F1969">
            <v>8447990</v>
          </cell>
          <cell r="G1969">
            <v>-3874340</v>
          </cell>
          <cell r="H1969">
            <v>703999</v>
          </cell>
          <cell r="I1969">
            <v>779400</v>
          </cell>
        </row>
        <row r="1970">
          <cell r="A1970" t="str">
            <v>3310|476201</v>
          </cell>
          <cell r="B1970" t="str">
            <v>3310</v>
          </cell>
          <cell r="C1970">
            <v>476201</v>
          </cell>
          <cell r="D1970">
            <v>41244</v>
          </cell>
          <cell r="E1970">
            <v>79012850</v>
          </cell>
          <cell r="F1970">
            <v>79012850</v>
          </cell>
          <cell r="G1970">
            <v>15283980</v>
          </cell>
          <cell r="H1970">
            <v>6584404</v>
          </cell>
          <cell r="I1970">
            <v>-2984716020</v>
          </cell>
        </row>
        <row r="1971">
          <cell r="A1971" t="str">
            <v>3310|476220</v>
          </cell>
          <cell r="B1971" t="str">
            <v>3310</v>
          </cell>
          <cell r="C1971">
            <v>476220</v>
          </cell>
          <cell r="D1971">
            <v>41244</v>
          </cell>
          <cell r="E1971">
            <v>4575673</v>
          </cell>
          <cell r="F1971">
            <v>4575673</v>
          </cell>
          <cell r="G1971">
            <v>100526293</v>
          </cell>
          <cell r="H1971">
            <v>381306</v>
          </cell>
          <cell r="I1971">
            <v>5689856</v>
          </cell>
        </row>
        <row r="1972">
          <cell r="A1972" t="str">
            <v>3310|476900</v>
          </cell>
          <cell r="B1972" t="str">
            <v>3310</v>
          </cell>
          <cell r="C1972">
            <v>476900</v>
          </cell>
          <cell r="D1972">
            <v>41244</v>
          </cell>
          <cell r="E1972">
            <v>11950807</v>
          </cell>
          <cell r="F1972">
            <v>11950807</v>
          </cell>
          <cell r="G1972">
            <v>11291843</v>
          </cell>
          <cell r="H1972">
            <v>995901</v>
          </cell>
          <cell r="I1972">
            <v>0</v>
          </cell>
        </row>
        <row r="1973">
          <cell r="A1973" t="str">
            <v>3310|476910</v>
          </cell>
          <cell r="B1973" t="str">
            <v>3310</v>
          </cell>
          <cell r="C1973">
            <v>476910</v>
          </cell>
          <cell r="D1973">
            <v>41244</v>
          </cell>
          <cell r="E1973">
            <v>5385845</v>
          </cell>
          <cell r="F1973">
            <v>5385845</v>
          </cell>
          <cell r="G1973">
            <v>3852190</v>
          </cell>
          <cell r="H1973">
            <v>448820</v>
          </cell>
          <cell r="I1973">
            <v>0</v>
          </cell>
        </row>
        <row r="1974">
          <cell r="A1974" t="str">
            <v>3310|477001</v>
          </cell>
          <cell r="B1974" t="str">
            <v>3310</v>
          </cell>
          <cell r="C1974">
            <v>477001</v>
          </cell>
          <cell r="D1974">
            <v>41244</v>
          </cell>
          <cell r="E1974">
            <v>1678000000</v>
          </cell>
          <cell r="F1974">
            <v>1678000000</v>
          </cell>
          <cell r="G1974">
            <v>1636770799</v>
          </cell>
          <cell r="H1974">
            <v>139833333</v>
          </cell>
          <cell r="I1974">
            <v>62183600</v>
          </cell>
        </row>
        <row r="1975">
          <cell r="A1975" t="str">
            <v>3310|477100</v>
          </cell>
          <cell r="B1975" t="str">
            <v>3310</v>
          </cell>
          <cell r="C1975">
            <v>477100</v>
          </cell>
          <cell r="D1975">
            <v>41244</v>
          </cell>
          <cell r="E1975">
            <v>183750000</v>
          </cell>
          <cell r="F1975">
            <v>183750000</v>
          </cell>
          <cell r="G1975">
            <v>53126226</v>
          </cell>
          <cell r="H1975">
            <v>15312500</v>
          </cell>
          <cell r="I1975">
            <v>0</v>
          </cell>
        </row>
        <row r="1976">
          <cell r="A1976" t="str">
            <v>3310|477310</v>
          </cell>
          <cell r="B1976" t="str">
            <v>3310</v>
          </cell>
          <cell r="C1976">
            <v>477310</v>
          </cell>
          <cell r="D1976">
            <v>41244</v>
          </cell>
          <cell r="E1976">
            <v>188000000</v>
          </cell>
          <cell r="F1976">
            <v>188000000</v>
          </cell>
          <cell r="G1976">
            <v>95928471</v>
          </cell>
          <cell r="H1976">
            <v>15666667</v>
          </cell>
          <cell r="I1976">
            <v>1679081</v>
          </cell>
        </row>
        <row r="1977">
          <cell r="A1977" t="str">
            <v>3310|477400</v>
          </cell>
          <cell r="B1977" t="str">
            <v>3310</v>
          </cell>
          <cell r="C1977">
            <v>477400</v>
          </cell>
          <cell r="D1977">
            <v>41244</v>
          </cell>
          <cell r="E1977">
            <v>150000000</v>
          </cell>
          <cell r="F1977">
            <v>150000000</v>
          </cell>
          <cell r="G1977">
            <v>126694000</v>
          </cell>
          <cell r="H1977">
            <v>12500000</v>
          </cell>
          <cell r="I1977">
            <v>0</v>
          </cell>
        </row>
        <row r="1978">
          <cell r="A1978" t="str">
            <v>3310|477450</v>
          </cell>
          <cell r="B1978" t="str">
            <v>3310</v>
          </cell>
          <cell r="C1978">
            <v>477450</v>
          </cell>
          <cell r="D1978">
            <v>41244</v>
          </cell>
          <cell r="E1978">
            <v>0</v>
          </cell>
          <cell r="F1978">
            <v>0</v>
          </cell>
          <cell r="G1978">
            <v>281203635</v>
          </cell>
          <cell r="H1978">
            <v>0</v>
          </cell>
          <cell r="I1978">
            <v>-717958594</v>
          </cell>
        </row>
        <row r="1979">
          <cell r="A1979" t="str">
            <v>3320|400040</v>
          </cell>
          <cell r="B1979" t="str">
            <v>3320</v>
          </cell>
          <cell r="C1979">
            <v>400040</v>
          </cell>
          <cell r="D1979">
            <v>41244</v>
          </cell>
          <cell r="E1979">
            <v>0</v>
          </cell>
          <cell r="F1979">
            <v>0</v>
          </cell>
          <cell r="G1979">
            <v>1109309</v>
          </cell>
          <cell r="H1979">
            <v>0</v>
          </cell>
          <cell r="I1979">
            <v>0</v>
          </cell>
        </row>
        <row r="1980">
          <cell r="A1980" t="str">
            <v>3320|405300</v>
          </cell>
          <cell r="B1980" t="str">
            <v>3320</v>
          </cell>
          <cell r="C1980">
            <v>405300</v>
          </cell>
          <cell r="D1980">
            <v>41244</v>
          </cell>
          <cell r="E1980">
            <v>51128210511</v>
          </cell>
          <cell r="F1980">
            <v>51128210511</v>
          </cell>
          <cell r="G1980">
            <v>0</v>
          </cell>
          <cell r="H1980">
            <v>4260684209.25</v>
          </cell>
          <cell r="I1980">
            <v>0</v>
          </cell>
        </row>
        <row r="1981">
          <cell r="A1981" t="str">
            <v>3320|449061</v>
          </cell>
          <cell r="B1981" t="str">
            <v>3320</v>
          </cell>
          <cell r="C1981">
            <v>449061</v>
          </cell>
          <cell r="D1981">
            <v>41244</v>
          </cell>
          <cell r="E1981">
            <v>0</v>
          </cell>
          <cell r="F1981">
            <v>0</v>
          </cell>
          <cell r="G1981">
            <v>298500</v>
          </cell>
          <cell r="H1981">
            <v>0</v>
          </cell>
          <cell r="I1981">
            <v>298500</v>
          </cell>
        </row>
        <row r="1982">
          <cell r="A1982" t="str">
            <v>3320|475003</v>
          </cell>
          <cell r="B1982" t="str">
            <v>3320</v>
          </cell>
          <cell r="C1982">
            <v>475003</v>
          </cell>
          <cell r="D1982">
            <v>41244</v>
          </cell>
          <cell r="E1982">
            <v>0</v>
          </cell>
          <cell r="F1982">
            <v>0</v>
          </cell>
          <cell r="G1982">
            <v>196000</v>
          </cell>
          <cell r="H1982">
            <v>0</v>
          </cell>
          <cell r="I1982">
            <v>196000</v>
          </cell>
        </row>
        <row r="1983">
          <cell r="A1983" t="str">
            <v>3320|477450</v>
          </cell>
          <cell r="B1983" t="str">
            <v>3320</v>
          </cell>
          <cell r="C1983">
            <v>477450</v>
          </cell>
          <cell r="D1983">
            <v>41244</v>
          </cell>
          <cell r="E1983">
            <v>1260000000</v>
          </cell>
          <cell r="F1983">
            <v>1260000000</v>
          </cell>
          <cell r="G1983">
            <v>0</v>
          </cell>
          <cell r="H1983">
            <v>105000000</v>
          </cell>
          <cell r="I1983">
            <v>0</v>
          </cell>
        </row>
        <row r="1984">
          <cell r="A1984" t="str">
            <v>3400|211100</v>
          </cell>
          <cell r="B1984" t="str">
            <v>3400</v>
          </cell>
          <cell r="C1984">
            <v>211100</v>
          </cell>
          <cell r="D1984">
            <v>41244</v>
          </cell>
          <cell r="E1984">
            <v>228785945</v>
          </cell>
          <cell r="F1984">
            <v>228785945</v>
          </cell>
          <cell r="G1984">
            <v>216041180</v>
          </cell>
          <cell r="H1984">
            <v>19065495</v>
          </cell>
          <cell r="I1984">
            <v>19239248</v>
          </cell>
        </row>
        <row r="1985">
          <cell r="A1985" t="str">
            <v>3400|246000</v>
          </cell>
          <cell r="B1985" t="str">
            <v>3400</v>
          </cell>
          <cell r="C1985">
            <v>246000</v>
          </cell>
          <cell r="D1985">
            <v>41244</v>
          </cell>
          <cell r="E1985">
            <v>3795000</v>
          </cell>
          <cell r="F1985">
            <v>3795000</v>
          </cell>
          <cell r="G1985">
            <v>111203215</v>
          </cell>
          <cell r="H1985">
            <v>316250</v>
          </cell>
          <cell r="I1985">
            <v>0</v>
          </cell>
        </row>
        <row r="1986">
          <cell r="A1986" t="str">
            <v>3400|405200</v>
          </cell>
          <cell r="B1986" t="str">
            <v>3400</v>
          </cell>
          <cell r="C1986">
            <v>405200</v>
          </cell>
          <cell r="D1986">
            <v>41244</v>
          </cell>
          <cell r="E1986">
            <v>5766700</v>
          </cell>
          <cell r="F1986">
            <v>5766700</v>
          </cell>
          <cell r="G1986">
            <v>5274318</v>
          </cell>
          <cell r="H1986">
            <v>480558</v>
          </cell>
          <cell r="I1986">
            <v>0</v>
          </cell>
        </row>
        <row r="1987">
          <cell r="A1987" t="str">
            <v>3400|416103</v>
          </cell>
          <cell r="B1987" t="str">
            <v>3400</v>
          </cell>
          <cell r="C1987">
            <v>416103</v>
          </cell>
          <cell r="D1987">
            <v>41244</v>
          </cell>
          <cell r="E1987">
            <v>453024100</v>
          </cell>
          <cell r="F1987">
            <v>453024100</v>
          </cell>
          <cell r="G1987">
            <v>462066656</v>
          </cell>
          <cell r="H1987">
            <v>37752008</v>
          </cell>
          <cell r="I1987">
            <v>38918576</v>
          </cell>
        </row>
        <row r="1988">
          <cell r="A1988" t="str">
            <v>3400|420002</v>
          </cell>
          <cell r="B1988" t="str">
            <v>3400</v>
          </cell>
          <cell r="C1988">
            <v>420002</v>
          </cell>
          <cell r="D1988">
            <v>41244</v>
          </cell>
          <cell r="E1988">
            <v>71303847</v>
          </cell>
          <cell r="F1988">
            <v>71303847</v>
          </cell>
          <cell r="G1988">
            <v>61797000</v>
          </cell>
          <cell r="H1988">
            <v>5941987</v>
          </cell>
          <cell r="I1988">
            <v>5195500</v>
          </cell>
        </row>
        <row r="1989">
          <cell r="A1989" t="str">
            <v>3400|420003</v>
          </cell>
          <cell r="B1989" t="str">
            <v>3400</v>
          </cell>
          <cell r="C1989">
            <v>420003</v>
          </cell>
          <cell r="D1989">
            <v>41244</v>
          </cell>
          <cell r="E1989">
            <v>1579410768</v>
          </cell>
          <cell r="F1989">
            <v>1579410768</v>
          </cell>
          <cell r="G1989">
            <v>1058368507</v>
          </cell>
          <cell r="H1989">
            <v>131617565</v>
          </cell>
          <cell r="I1989">
            <v>88176480</v>
          </cell>
        </row>
        <row r="1990">
          <cell r="A1990" t="str">
            <v>3400|422002</v>
          </cell>
          <cell r="B1990" t="str">
            <v>3400</v>
          </cell>
          <cell r="C1990">
            <v>422002</v>
          </cell>
          <cell r="D1990">
            <v>41244</v>
          </cell>
          <cell r="E1990">
            <v>0</v>
          </cell>
          <cell r="F1990">
            <v>0</v>
          </cell>
          <cell r="G1990">
            <v>66800</v>
          </cell>
          <cell r="H1990">
            <v>0</v>
          </cell>
          <cell r="I1990">
            <v>0</v>
          </cell>
        </row>
        <row r="1991">
          <cell r="A1991" t="str">
            <v>3400|422003</v>
          </cell>
          <cell r="B1991" t="str">
            <v>3400</v>
          </cell>
          <cell r="C1991">
            <v>422003</v>
          </cell>
          <cell r="D1991">
            <v>41244</v>
          </cell>
          <cell r="E1991">
            <v>609279886</v>
          </cell>
          <cell r="F1991">
            <v>609279886</v>
          </cell>
          <cell r="G1991">
            <v>1661986398</v>
          </cell>
          <cell r="H1991">
            <v>50773324</v>
          </cell>
          <cell r="I1991">
            <v>99614608</v>
          </cell>
        </row>
        <row r="1992">
          <cell r="A1992" t="str">
            <v>3400|431002</v>
          </cell>
          <cell r="B1992" t="str">
            <v>3400</v>
          </cell>
          <cell r="C1992">
            <v>431002</v>
          </cell>
          <cell r="D1992">
            <v>41244</v>
          </cell>
          <cell r="E1992">
            <v>2218371</v>
          </cell>
          <cell r="F1992">
            <v>2218371</v>
          </cell>
          <cell r="G1992">
            <v>3713774</v>
          </cell>
          <cell r="H1992">
            <v>184864</v>
          </cell>
          <cell r="I1992">
            <v>3118879</v>
          </cell>
        </row>
        <row r="1993">
          <cell r="A1993" t="str">
            <v>3400|434012</v>
          </cell>
          <cell r="B1993" t="str">
            <v>3400</v>
          </cell>
          <cell r="C1993">
            <v>434012</v>
          </cell>
          <cell r="D1993">
            <v>41244</v>
          </cell>
          <cell r="E1993">
            <v>50000000</v>
          </cell>
          <cell r="F1993">
            <v>50000000</v>
          </cell>
          <cell r="G1993">
            <v>2799543</v>
          </cell>
          <cell r="H1993">
            <v>4166667</v>
          </cell>
          <cell r="I1993">
            <v>982145</v>
          </cell>
        </row>
        <row r="1994">
          <cell r="A1994" t="str">
            <v>3400|434013</v>
          </cell>
          <cell r="B1994" t="str">
            <v>3400</v>
          </cell>
          <cell r="C1994">
            <v>434013</v>
          </cell>
          <cell r="D1994">
            <v>41244</v>
          </cell>
          <cell r="E1994">
            <v>50000000</v>
          </cell>
          <cell r="F1994">
            <v>50000000</v>
          </cell>
          <cell r="G1994">
            <v>4244886</v>
          </cell>
          <cell r="H1994">
            <v>4166667</v>
          </cell>
          <cell r="I1994">
            <v>1366596</v>
          </cell>
        </row>
        <row r="1995">
          <cell r="A1995" t="str">
            <v>3400|435002</v>
          </cell>
          <cell r="B1995" t="str">
            <v>3400</v>
          </cell>
          <cell r="C1995">
            <v>435002</v>
          </cell>
          <cell r="D1995">
            <v>41244</v>
          </cell>
          <cell r="E1995">
            <v>5941987</v>
          </cell>
          <cell r="F1995">
            <v>5941987</v>
          </cell>
          <cell r="G1995">
            <v>5195500</v>
          </cell>
          <cell r="H1995">
            <v>495166</v>
          </cell>
          <cell r="I1995">
            <v>5195500</v>
          </cell>
        </row>
        <row r="1996">
          <cell r="A1996" t="str">
            <v>3400|435003</v>
          </cell>
          <cell r="B1996" t="str">
            <v>3400</v>
          </cell>
          <cell r="C1996">
            <v>435003</v>
          </cell>
          <cell r="D1996">
            <v>41244</v>
          </cell>
          <cell r="E1996">
            <v>444606308</v>
          </cell>
          <cell r="F1996">
            <v>444606308</v>
          </cell>
          <cell r="G1996">
            <v>12151314</v>
          </cell>
          <cell r="H1996">
            <v>37050526</v>
          </cell>
          <cell r="I1996">
            <v>0</v>
          </cell>
        </row>
        <row r="1997">
          <cell r="A1997" t="str">
            <v>3400|439003</v>
          </cell>
          <cell r="B1997" t="str">
            <v>3400</v>
          </cell>
          <cell r="C1997">
            <v>439003</v>
          </cell>
          <cell r="D1997">
            <v>41244</v>
          </cell>
          <cell r="E1997">
            <v>44055634</v>
          </cell>
          <cell r="F1997">
            <v>44055634</v>
          </cell>
          <cell r="G1997">
            <v>67228313</v>
          </cell>
          <cell r="H1997">
            <v>3671303</v>
          </cell>
          <cell r="I1997">
            <v>8296600</v>
          </cell>
        </row>
        <row r="1998">
          <cell r="A1998" t="str">
            <v>3400|439006</v>
          </cell>
          <cell r="B1998" t="str">
            <v>3400</v>
          </cell>
          <cell r="C1998">
            <v>439006</v>
          </cell>
          <cell r="D1998">
            <v>41244</v>
          </cell>
          <cell r="E1998">
            <v>149501030</v>
          </cell>
          <cell r="F1998">
            <v>149501030</v>
          </cell>
          <cell r="G1998">
            <v>45128239</v>
          </cell>
          <cell r="H1998">
            <v>12458419</v>
          </cell>
          <cell r="I1998">
            <v>0</v>
          </cell>
        </row>
        <row r="1999">
          <cell r="A1999" t="str">
            <v>3400|439008</v>
          </cell>
          <cell r="B1999" t="str">
            <v>3400</v>
          </cell>
          <cell r="C1999">
            <v>439008</v>
          </cell>
          <cell r="D1999">
            <v>41244</v>
          </cell>
          <cell r="E1999">
            <v>16368905</v>
          </cell>
          <cell r="F1999">
            <v>16368905</v>
          </cell>
          <cell r="G1999">
            <v>22346622</v>
          </cell>
          <cell r="H1999">
            <v>1364075</v>
          </cell>
          <cell r="I1999">
            <v>0</v>
          </cell>
        </row>
        <row r="2000">
          <cell r="A2000" t="str">
            <v>3400|439202</v>
          </cell>
          <cell r="B2000" t="str">
            <v>3400</v>
          </cell>
          <cell r="C2000">
            <v>439202</v>
          </cell>
          <cell r="D2000">
            <v>41244</v>
          </cell>
          <cell r="E2000">
            <v>6000000</v>
          </cell>
          <cell r="F2000">
            <v>6000000</v>
          </cell>
          <cell r="G2000">
            <v>5020000</v>
          </cell>
          <cell r="H2000">
            <v>500000</v>
          </cell>
          <cell r="I2000">
            <v>475000</v>
          </cell>
        </row>
        <row r="2001">
          <cell r="A2001" t="str">
            <v>3400|439203</v>
          </cell>
          <cell r="B2001" t="str">
            <v>3400</v>
          </cell>
          <cell r="C2001">
            <v>439203</v>
          </cell>
          <cell r="D2001">
            <v>41244</v>
          </cell>
          <cell r="E2001">
            <v>6000000</v>
          </cell>
          <cell r="F2001">
            <v>6000000</v>
          </cell>
          <cell r="G2001">
            <v>4950000</v>
          </cell>
          <cell r="H2001">
            <v>500000</v>
          </cell>
          <cell r="I2001">
            <v>500000</v>
          </cell>
        </row>
        <row r="2002">
          <cell r="A2002" t="str">
            <v>3400|440002</v>
          </cell>
          <cell r="B2002" t="str">
            <v>3400</v>
          </cell>
          <cell r="C2002">
            <v>440002</v>
          </cell>
          <cell r="D2002">
            <v>41244</v>
          </cell>
          <cell r="E2002">
            <v>5941987</v>
          </cell>
          <cell r="F2002">
            <v>5941987</v>
          </cell>
          <cell r="G2002">
            <v>5498873</v>
          </cell>
          <cell r="H2002">
            <v>495166</v>
          </cell>
          <cell r="I2002">
            <v>558485</v>
          </cell>
        </row>
        <row r="2003">
          <cell r="A2003" t="str">
            <v>3400|440003</v>
          </cell>
          <cell r="B2003" t="str">
            <v>3400</v>
          </cell>
          <cell r="C2003">
            <v>440003</v>
          </cell>
          <cell r="D2003">
            <v>41244</v>
          </cell>
          <cell r="E2003">
            <v>16206308</v>
          </cell>
          <cell r="F2003">
            <v>16206308</v>
          </cell>
          <cell r="G2003">
            <v>8362246</v>
          </cell>
          <cell r="H2003">
            <v>1350526</v>
          </cell>
          <cell r="I2003">
            <v>989677</v>
          </cell>
        </row>
        <row r="2004">
          <cell r="A2004" t="str">
            <v>3400|446002</v>
          </cell>
          <cell r="B2004" t="str">
            <v>3400</v>
          </cell>
          <cell r="C2004">
            <v>446002</v>
          </cell>
          <cell r="D2004">
            <v>41244</v>
          </cell>
          <cell r="E2004">
            <v>2970994</v>
          </cell>
          <cell r="F2004">
            <v>2970994</v>
          </cell>
          <cell r="G2004">
            <v>1325650</v>
          </cell>
          <cell r="H2004">
            <v>247583</v>
          </cell>
          <cell r="I2004">
            <v>0</v>
          </cell>
        </row>
        <row r="2005">
          <cell r="A2005" t="str">
            <v>3400|447002</v>
          </cell>
          <cell r="B2005" t="str">
            <v>3400</v>
          </cell>
          <cell r="C2005">
            <v>447002</v>
          </cell>
          <cell r="D2005">
            <v>41244</v>
          </cell>
          <cell r="E2005">
            <v>2072652</v>
          </cell>
          <cell r="F2005">
            <v>2072652</v>
          </cell>
          <cell r="G2005">
            <v>333708</v>
          </cell>
          <cell r="H2005">
            <v>172721</v>
          </cell>
          <cell r="I2005">
            <v>28056</v>
          </cell>
        </row>
        <row r="2006">
          <cell r="A2006" t="str">
            <v>3400|447003</v>
          </cell>
          <cell r="B2006" t="str">
            <v>3400</v>
          </cell>
          <cell r="C2006">
            <v>447003</v>
          </cell>
          <cell r="D2006">
            <v>41244</v>
          </cell>
          <cell r="E2006">
            <v>829090</v>
          </cell>
          <cell r="F2006">
            <v>829090</v>
          </cell>
          <cell r="G2006">
            <v>518202</v>
          </cell>
          <cell r="H2006">
            <v>69091</v>
          </cell>
          <cell r="I2006">
            <v>43567</v>
          </cell>
        </row>
        <row r="2007">
          <cell r="A2007" t="str">
            <v>3400|447012</v>
          </cell>
          <cell r="B2007" t="str">
            <v>3400</v>
          </cell>
          <cell r="C2007">
            <v>447012</v>
          </cell>
          <cell r="D2007">
            <v>41244</v>
          </cell>
          <cell r="E2007">
            <v>4884593</v>
          </cell>
          <cell r="F2007">
            <v>4884593</v>
          </cell>
          <cell r="G2007">
            <v>2286492</v>
          </cell>
          <cell r="H2007">
            <v>407049</v>
          </cell>
          <cell r="I2007">
            <v>192234</v>
          </cell>
        </row>
        <row r="2008">
          <cell r="A2008" t="str">
            <v>3400|447013</v>
          </cell>
          <cell r="B2008" t="str">
            <v>3400</v>
          </cell>
          <cell r="C2008">
            <v>447013</v>
          </cell>
          <cell r="D2008">
            <v>41244</v>
          </cell>
          <cell r="E2008">
            <v>3519144</v>
          </cell>
          <cell r="F2008">
            <v>3519144</v>
          </cell>
          <cell r="G2008">
            <v>3550668</v>
          </cell>
          <cell r="H2008">
            <v>293263</v>
          </cell>
          <cell r="I2008">
            <v>298516</v>
          </cell>
        </row>
        <row r="2009">
          <cell r="A2009" t="str">
            <v>3400|447022</v>
          </cell>
          <cell r="B2009" t="str">
            <v>3400</v>
          </cell>
          <cell r="C2009">
            <v>447022</v>
          </cell>
          <cell r="D2009">
            <v>41244</v>
          </cell>
          <cell r="E2009">
            <v>207265</v>
          </cell>
          <cell r="F2009">
            <v>207265</v>
          </cell>
          <cell r="G2009">
            <v>26403</v>
          </cell>
          <cell r="H2009">
            <v>17272</v>
          </cell>
          <cell r="I2009">
            <v>4650</v>
          </cell>
        </row>
        <row r="2010">
          <cell r="A2010" t="str">
            <v>3400|447023</v>
          </cell>
          <cell r="B2010" t="str">
            <v>3400</v>
          </cell>
          <cell r="C2010">
            <v>447023</v>
          </cell>
          <cell r="D2010">
            <v>41244</v>
          </cell>
          <cell r="E2010">
            <v>82909</v>
          </cell>
          <cell r="F2010">
            <v>82909</v>
          </cell>
          <cell r="G2010">
            <v>78788</v>
          </cell>
          <cell r="H2010">
            <v>6909</v>
          </cell>
          <cell r="I2010">
            <v>0</v>
          </cell>
        </row>
        <row r="2011">
          <cell r="A2011" t="str">
            <v>3400|448002</v>
          </cell>
          <cell r="B2011" t="str">
            <v>3400</v>
          </cell>
          <cell r="C2011">
            <v>448002</v>
          </cell>
          <cell r="D2011">
            <v>41244</v>
          </cell>
          <cell r="E2011">
            <v>12314417</v>
          </cell>
          <cell r="F2011">
            <v>12314417</v>
          </cell>
          <cell r="G2011">
            <v>2276950</v>
          </cell>
          <cell r="H2011">
            <v>1026201</v>
          </cell>
          <cell r="I2011">
            <v>353000</v>
          </cell>
        </row>
        <row r="2012">
          <cell r="A2012" t="str">
            <v>3400|448003</v>
          </cell>
          <cell r="B2012" t="str">
            <v>3400</v>
          </cell>
          <cell r="C2012">
            <v>448003</v>
          </cell>
          <cell r="D2012">
            <v>41244</v>
          </cell>
          <cell r="E2012">
            <v>15382279</v>
          </cell>
          <cell r="F2012">
            <v>15382279</v>
          </cell>
          <cell r="G2012">
            <v>2991642</v>
          </cell>
          <cell r="H2012">
            <v>1281857</v>
          </cell>
          <cell r="I2012">
            <v>70000</v>
          </cell>
        </row>
        <row r="2013">
          <cell r="A2013" t="str">
            <v>3400|449004</v>
          </cell>
          <cell r="B2013" t="str">
            <v>3400</v>
          </cell>
          <cell r="C2013">
            <v>449004</v>
          </cell>
          <cell r="D2013">
            <v>41244</v>
          </cell>
          <cell r="E2013">
            <v>1300000</v>
          </cell>
          <cell r="F2013">
            <v>1300000</v>
          </cell>
          <cell r="G2013">
            <v>1200000</v>
          </cell>
          <cell r="H2013">
            <v>108333</v>
          </cell>
          <cell r="I2013">
            <v>0</v>
          </cell>
        </row>
        <row r="2014">
          <cell r="A2014" t="str">
            <v>3400|449010</v>
          </cell>
          <cell r="B2014" t="str">
            <v>3400</v>
          </cell>
          <cell r="C2014">
            <v>449010</v>
          </cell>
          <cell r="D2014">
            <v>41244</v>
          </cell>
          <cell r="E2014">
            <v>0</v>
          </cell>
          <cell r="F2014">
            <v>0</v>
          </cell>
          <cell r="G2014">
            <v>17600461</v>
          </cell>
          <cell r="H2014">
            <v>0</v>
          </cell>
          <cell r="I2014">
            <v>0</v>
          </cell>
        </row>
        <row r="2015">
          <cell r="A2015" t="str">
            <v>3400|449011</v>
          </cell>
          <cell r="B2015" t="str">
            <v>3400</v>
          </cell>
          <cell r="C2015">
            <v>449011</v>
          </cell>
          <cell r="D2015">
            <v>41244</v>
          </cell>
          <cell r="E2015">
            <v>150000000</v>
          </cell>
          <cell r="F2015">
            <v>150000000</v>
          </cell>
          <cell r="G2015">
            <v>2164083</v>
          </cell>
          <cell r="H2015">
            <v>12500000</v>
          </cell>
          <cell r="I2015">
            <v>-258174533</v>
          </cell>
        </row>
        <row r="2016">
          <cell r="A2016" t="str">
            <v>3400|449012</v>
          </cell>
          <cell r="B2016" t="str">
            <v>3400</v>
          </cell>
          <cell r="C2016">
            <v>449012</v>
          </cell>
          <cell r="D2016">
            <v>41244</v>
          </cell>
          <cell r="E2016">
            <v>0</v>
          </cell>
          <cell r="F2016">
            <v>0</v>
          </cell>
          <cell r="G2016">
            <v>15120000</v>
          </cell>
          <cell r="H2016">
            <v>0</v>
          </cell>
          <cell r="I2016">
            <v>0</v>
          </cell>
        </row>
        <row r="2017">
          <cell r="A2017" t="str">
            <v>3400|449022</v>
          </cell>
          <cell r="B2017" t="str">
            <v>3400</v>
          </cell>
          <cell r="C2017">
            <v>449022</v>
          </cell>
          <cell r="D2017">
            <v>41244</v>
          </cell>
          <cell r="E2017">
            <v>3960000</v>
          </cell>
          <cell r="F2017">
            <v>3960000</v>
          </cell>
          <cell r="G2017">
            <v>4177000</v>
          </cell>
          <cell r="H2017">
            <v>330000</v>
          </cell>
          <cell r="I2017">
            <v>361000</v>
          </cell>
        </row>
        <row r="2018">
          <cell r="A2018" t="str">
            <v>3400|449023</v>
          </cell>
          <cell r="B2018" t="str">
            <v>3400</v>
          </cell>
          <cell r="C2018">
            <v>449023</v>
          </cell>
          <cell r="D2018">
            <v>41244</v>
          </cell>
          <cell r="E2018">
            <v>3960000</v>
          </cell>
          <cell r="F2018">
            <v>3960000</v>
          </cell>
          <cell r="G2018">
            <v>3622000</v>
          </cell>
          <cell r="H2018">
            <v>330000</v>
          </cell>
          <cell r="I2018">
            <v>323000</v>
          </cell>
        </row>
        <row r="2019">
          <cell r="A2019" t="str">
            <v>3400|449032</v>
          </cell>
          <cell r="B2019" t="str">
            <v>3400</v>
          </cell>
          <cell r="C2019">
            <v>449032</v>
          </cell>
          <cell r="D2019">
            <v>41244</v>
          </cell>
          <cell r="E2019">
            <v>5646666</v>
          </cell>
          <cell r="F2019">
            <v>5646666</v>
          </cell>
          <cell r="G2019">
            <v>12844000</v>
          </cell>
          <cell r="H2019">
            <v>470555</v>
          </cell>
          <cell r="I2019">
            <v>0</v>
          </cell>
        </row>
        <row r="2020">
          <cell r="A2020" t="str">
            <v>3400|449040</v>
          </cell>
          <cell r="B2020" t="str">
            <v>3400</v>
          </cell>
          <cell r="C2020">
            <v>449040</v>
          </cell>
          <cell r="D2020">
            <v>41244</v>
          </cell>
          <cell r="E2020">
            <v>105828708</v>
          </cell>
          <cell r="F2020">
            <v>105828708</v>
          </cell>
          <cell r="G2020">
            <v>24428000</v>
          </cell>
          <cell r="H2020">
            <v>8819059</v>
          </cell>
          <cell r="I2020">
            <v>0</v>
          </cell>
        </row>
        <row r="2021">
          <cell r="A2021" t="str">
            <v>3400|449050</v>
          </cell>
          <cell r="B2021" t="str">
            <v>3400</v>
          </cell>
          <cell r="C2021">
            <v>449050</v>
          </cell>
          <cell r="D2021">
            <v>41244</v>
          </cell>
          <cell r="E2021">
            <v>91669955</v>
          </cell>
          <cell r="F2021">
            <v>91669955</v>
          </cell>
          <cell r="G2021">
            <v>315932205</v>
          </cell>
          <cell r="H2021">
            <v>7639163</v>
          </cell>
          <cell r="I2021">
            <v>33995304</v>
          </cell>
        </row>
        <row r="2022">
          <cell r="A2022" t="str">
            <v>3400|449060</v>
          </cell>
          <cell r="B2022" t="str">
            <v>3400</v>
          </cell>
          <cell r="C2022">
            <v>449060</v>
          </cell>
          <cell r="D2022">
            <v>41244</v>
          </cell>
          <cell r="E2022">
            <v>67670</v>
          </cell>
          <cell r="F2022">
            <v>67670</v>
          </cell>
          <cell r="G2022">
            <v>0</v>
          </cell>
          <cell r="H2022">
            <v>5639</v>
          </cell>
          <cell r="I2022">
            <v>0</v>
          </cell>
        </row>
        <row r="2023">
          <cell r="A2023" t="str">
            <v>3400|449061</v>
          </cell>
          <cell r="B2023" t="str">
            <v>3400</v>
          </cell>
          <cell r="C2023">
            <v>449061</v>
          </cell>
          <cell r="D2023">
            <v>41244</v>
          </cell>
          <cell r="E2023">
            <v>13068500</v>
          </cell>
          <cell r="F2023">
            <v>13068500</v>
          </cell>
          <cell r="G2023">
            <v>10733700</v>
          </cell>
          <cell r="H2023">
            <v>1089042</v>
          </cell>
          <cell r="I2023">
            <v>843300</v>
          </cell>
        </row>
        <row r="2024">
          <cell r="A2024" t="str">
            <v>3400|451000</v>
          </cell>
          <cell r="B2024" t="str">
            <v>3400</v>
          </cell>
          <cell r="C2024">
            <v>451000</v>
          </cell>
          <cell r="D2024">
            <v>41244</v>
          </cell>
          <cell r="E2024">
            <v>32694000</v>
          </cell>
          <cell r="F2024">
            <v>32694000</v>
          </cell>
          <cell r="G2024">
            <v>30547750</v>
          </cell>
          <cell r="H2024">
            <v>2724500</v>
          </cell>
          <cell r="I2024">
            <v>0</v>
          </cell>
        </row>
        <row r="2025">
          <cell r="A2025" t="str">
            <v>3400|459000</v>
          </cell>
          <cell r="B2025" t="str">
            <v>3400</v>
          </cell>
          <cell r="C2025">
            <v>459000</v>
          </cell>
          <cell r="D2025">
            <v>41244</v>
          </cell>
          <cell r="E2025">
            <v>3737375</v>
          </cell>
          <cell r="F2025">
            <v>3737375</v>
          </cell>
          <cell r="G2025">
            <v>0</v>
          </cell>
          <cell r="H2025">
            <v>311448</v>
          </cell>
          <cell r="I2025">
            <v>0</v>
          </cell>
        </row>
        <row r="2026">
          <cell r="A2026" t="str">
            <v>3400|465001</v>
          </cell>
          <cell r="B2026" t="str">
            <v>3400</v>
          </cell>
          <cell r="C2026">
            <v>465001</v>
          </cell>
          <cell r="D2026">
            <v>41244</v>
          </cell>
          <cell r="E2026">
            <v>3245000</v>
          </cell>
          <cell r="F2026">
            <v>3245000</v>
          </cell>
          <cell r="G2026">
            <v>0</v>
          </cell>
          <cell r="H2026">
            <v>270417</v>
          </cell>
          <cell r="I2026">
            <v>0</v>
          </cell>
        </row>
        <row r="2027">
          <cell r="A2027" t="str">
            <v>3400|470001</v>
          </cell>
          <cell r="B2027" t="str">
            <v>3400</v>
          </cell>
          <cell r="C2027">
            <v>470001</v>
          </cell>
          <cell r="D2027">
            <v>41244</v>
          </cell>
          <cell r="E2027">
            <v>403596000</v>
          </cell>
          <cell r="F2027">
            <v>403596000</v>
          </cell>
          <cell r="G2027">
            <v>375104880</v>
          </cell>
          <cell r="H2027">
            <v>33633000</v>
          </cell>
          <cell r="I2027">
            <v>31258740</v>
          </cell>
        </row>
        <row r="2028">
          <cell r="A2028" t="str">
            <v>3400|470102</v>
          </cell>
          <cell r="B2028" t="str">
            <v>3400</v>
          </cell>
          <cell r="C2028">
            <v>470102</v>
          </cell>
          <cell r="D2028">
            <v>41244</v>
          </cell>
          <cell r="E2028">
            <v>3152943</v>
          </cell>
          <cell r="F2028">
            <v>3152943</v>
          </cell>
          <cell r="G2028">
            <v>2496050</v>
          </cell>
          <cell r="H2028">
            <v>262745</v>
          </cell>
          <cell r="I2028">
            <v>0</v>
          </cell>
        </row>
        <row r="2029">
          <cell r="A2029" t="str">
            <v>3400|472000</v>
          </cell>
          <cell r="B2029" t="str">
            <v>3400</v>
          </cell>
          <cell r="C2029">
            <v>472000</v>
          </cell>
          <cell r="D2029">
            <v>41244</v>
          </cell>
          <cell r="E2029">
            <v>3000000</v>
          </cell>
          <cell r="F2029">
            <v>3000000</v>
          </cell>
          <cell r="G2029">
            <v>2519243</v>
          </cell>
          <cell r="H2029">
            <v>249999</v>
          </cell>
          <cell r="I2029">
            <v>1230800</v>
          </cell>
        </row>
        <row r="2030">
          <cell r="A2030" t="str">
            <v>3400|473000</v>
          </cell>
          <cell r="B2030" t="str">
            <v>3400</v>
          </cell>
          <cell r="C2030">
            <v>473000</v>
          </cell>
          <cell r="D2030">
            <v>41244</v>
          </cell>
          <cell r="E2030">
            <v>619000</v>
          </cell>
          <cell r="F2030">
            <v>619000</v>
          </cell>
          <cell r="G2030">
            <v>45000</v>
          </cell>
          <cell r="H2030">
            <v>51583</v>
          </cell>
          <cell r="I2030">
            <v>12000</v>
          </cell>
        </row>
        <row r="2031">
          <cell r="A2031" t="str">
            <v>3400|473120</v>
          </cell>
          <cell r="B2031" t="str">
            <v>3400</v>
          </cell>
          <cell r="C2031">
            <v>473120</v>
          </cell>
          <cell r="D2031">
            <v>41244</v>
          </cell>
          <cell r="E2031">
            <v>49626200</v>
          </cell>
          <cell r="F2031">
            <v>49626200</v>
          </cell>
          <cell r="G2031">
            <v>24192825</v>
          </cell>
          <cell r="H2031">
            <v>4135516</v>
          </cell>
          <cell r="I2031">
            <v>2458181</v>
          </cell>
        </row>
        <row r="2032">
          <cell r="A2032" t="str">
            <v>3400|474100</v>
          </cell>
          <cell r="B2032" t="str">
            <v>3400</v>
          </cell>
          <cell r="C2032">
            <v>474100</v>
          </cell>
          <cell r="D2032">
            <v>41244</v>
          </cell>
          <cell r="E2032">
            <v>422854300</v>
          </cell>
          <cell r="F2032">
            <v>422854300</v>
          </cell>
          <cell r="G2032">
            <v>415142418</v>
          </cell>
          <cell r="H2032">
            <v>35237858</v>
          </cell>
          <cell r="I2032">
            <v>34894064</v>
          </cell>
        </row>
        <row r="2033">
          <cell r="A2033" t="str">
            <v>3400|474101</v>
          </cell>
          <cell r="B2033" t="str">
            <v>3400</v>
          </cell>
          <cell r="C2033">
            <v>474101</v>
          </cell>
          <cell r="D2033">
            <v>41244</v>
          </cell>
          <cell r="E2033">
            <v>26143700</v>
          </cell>
          <cell r="F2033">
            <v>26143700</v>
          </cell>
          <cell r="G2033">
            <v>22368590</v>
          </cell>
          <cell r="H2033">
            <v>2178641</v>
          </cell>
          <cell r="I2033">
            <v>7681000</v>
          </cell>
        </row>
        <row r="2034">
          <cell r="A2034" t="str">
            <v>3400|474110</v>
          </cell>
          <cell r="B2034" t="str">
            <v>3400</v>
          </cell>
          <cell r="C2034">
            <v>474110</v>
          </cell>
          <cell r="D2034">
            <v>41244</v>
          </cell>
          <cell r="E2034">
            <v>222616</v>
          </cell>
          <cell r="F2034">
            <v>222616</v>
          </cell>
          <cell r="G2034">
            <v>0</v>
          </cell>
          <cell r="H2034">
            <v>18551</v>
          </cell>
          <cell r="I2034">
            <v>0</v>
          </cell>
        </row>
        <row r="2035">
          <cell r="A2035" t="str">
            <v>3400|475003</v>
          </cell>
          <cell r="B2035" t="str">
            <v>3400</v>
          </cell>
          <cell r="C2035">
            <v>475003</v>
          </cell>
          <cell r="D2035">
            <v>41244</v>
          </cell>
          <cell r="E2035">
            <v>4663400</v>
          </cell>
          <cell r="F2035">
            <v>4663400</v>
          </cell>
          <cell r="G2035">
            <v>2845000</v>
          </cell>
          <cell r="H2035">
            <v>388617</v>
          </cell>
          <cell r="I2035">
            <v>0</v>
          </cell>
        </row>
        <row r="2036">
          <cell r="A2036" t="str">
            <v>3400|475004</v>
          </cell>
          <cell r="B2036" t="str">
            <v>3400</v>
          </cell>
          <cell r="C2036">
            <v>475004</v>
          </cell>
          <cell r="D2036">
            <v>41244</v>
          </cell>
          <cell r="E2036">
            <v>42394800</v>
          </cell>
          <cell r="F2036">
            <v>42394800</v>
          </cell>
          <cell r="G2036">
            <v>37545305</v>
          </cell>
          <cell r="H2036">
            <v>3532901</v>
          </cell>
          <cell r="I2036">
            <v>2310000</v>
          </cell>
        </row>
        <row r="2037">
          <cell r="A2037" t="str">
            <v>3400|475005</v>
          </cell>
          <cell r="B2037" t="str">
            <v>3400</v>
          </cell>
          <cell r="C2037">
            <v>475005</v>
          </cell>
          <cell r="D2037">
            <v>41244</v>
          </cell>
          <cell r="E2037">
            <v>0</v>
          </cell>
          <cell r="F2037">
            <v>0</v>
          </cell>
          <cell r="G2037">
            <v>5113206</v>
          </cell>
          <cell r="H2037">
            <v>0</v>
          </cell>
          <cell r="I2037">
            <v>3112572</v>
          </cell>
        </row>
        <row r="2038">
          <cell r="A2038" t="str">
            <v>3400|475006</v>
          </cell>
          <cell r="B2038" t="str">
            <v>3400</v>
          </cell>
          <cell r="C2038">
            <v>475006</v>
          </cell>
          <cell r="D2038">
            <v>41244</v>
          </cell>
          <cell r="E2038">
            <v>8710422</v>
          </cell>
          <cell r="F2038">
            <v>8710422</v>
          </cell>
          <cell r="G2038">
            <v>6252756</v>
          </cell>
          <cell r="H2038">
            <v>725868</v>
          </cell>
          <cell r="I2038">
            <v>521063</v>
          </cell>
        </row>
        <row r="2039">
          <cell r="A2039" t="str">
            <v>3400|476000</v>
          </cell>
          <cell r="B2039" t="str">
            <v>3400</v>
          </cell>
          <cell r="C2039">
            <v>476000</v>
          </cell>
          <cell r="D2039">
            <v>41244</v>
          </cell>
          <cell r="E2039">
            <v>27422647</v>
          </cell>
          <cell r="F2039">
            <v>27422647</v>
          </cell>
          <cell r="G2039">
            <v>26475634</v>
          </cell>
          <cell r="H2039">
            <v>2285220</v>
          </cell>
          <cell r="I2039">
            <v>5725494</v>
          </cell>
        </row>
        <row r="2040">
          <cell r="A2040" t="str">
            <v>3400|476001</v>
          </cell>
          <cell r="B2040" t="str">
            <v>3400</v>
          </cell>
          <cell r="C2040">
            <v>476001</v>
          </cell>
          <cell r="D2040">
            <v>41244</v>
          </cell>
          <cell r="E2040">
            <v>5941073</v>
          </cell>
          <cell r="F2040">
            <v>5941073</v>
          </cell>
          <cell r="G2040">
            <v>2907874</v>
          </cell>
          <cell r="H2040">
            <v>495089</v>
          </cell>
          <cell r="I2040">
            <v>0</v>
          </cell>
        </row>
        <row r="2041">
          <cell r="A2041" t="str">
            <v>3400|476002</v>
          </cell>
          <cell r="B2041" t="str">
            <v>3400</v>
          </cell>
          <cell r="C2041">
            <v>476002</v>
          </cell>
          <cell r="D2041">
            <v>41244</v>
          </cell>
          <cell r="E2041">
            <v>2952729</v>
          </cell>
          <cell r="F2041">
            <v>2952729</v>
          </cell>
          <cell r="G2041">
            <v>357397</v>
          </cell>
          <cell r="H2041">
            <v>246061</v>
          </cell>
          <cell r="I2041">
            <v>357397</v>
          </cell>
        </row>
        <row r="2042">
          <cell r="A2042" t="str">
            <v>3400|476220</v>
          </cell>
          <cell r="B2042" t="str">
            <v>3400</v>
          </cell>
          <cell r="C2042">
            <v>476220</v>
          </cell>
          <cell r="D2042">
            <v>41244</v>
          </cell>
          <cell r="E2042">
            <v>79143982</v>
          </cell>
          <cell r="F2042">
            <v>79143982</v>
          </cell>
          <cell r="G2042">
            <v>74141634</v>
          </cell>
          <cell r="H2042">
            <v>6595332</v>
          </cell>
          <cell r="I2042">
            <v>7008925</v>
          </cell>
        </row>
        <row r="2043">
          <cell r="A2043" t="str">
            <v>3400|476900</v>
          </cell>
          <cell r="B2043" t="str">
            <v>3400</v>
          </cell>
          <cell r="C2043">
            <v>476900</v>
          </cell>
          <cell r="D2043">
            <v>41244</v>
          </cell>
          <cell r="E2043">
            <v>16655000</v>
          </cell>
          <cell r="F2043">
            <v>16655000</v>
          </cell>
          <cell r="G2043">
            <v>14725872</v>
          </cell>
          <cell r="H2043">
            <v>1387916</v>
          </cell>
          <cell r="I2043">
            <v>3834490</v>
          </cell>
        </row>
        <row r="2044">
          <cell r="A2044" t="str">
            <v>3400|476910</v>
          </cell>
          <cell r="B2044" t="str">
            <v>3400</v>
          </cell>
          <cell r="C2044">
            <v>476910</v>
          </cell>
          <cell r="D2044">
            <v>41244</v>
          </cell>
          <cell r="E2044">
            <v>20000000</v>
          </cell>
          <cell r="F2044">
            <v>20000000</v>
          </cell>
          <cell r="G2044">
            <v>16254800</v>
          </cell>
          <cell r="H2044">
            <v>1666667</v>
          </cell>
          <cell r="I2044">
            <v>955900</v>
          </cell>
        </row>
        <row r="2045">
          <cell r="A2045" t="str">
            <v>3400|477001</v>
          </cell>
          <cell r="B2045" t="str">
            <v>3400</v>
          </cell>
          <cell r="C2045">
            <v>477001</v>
          </cell>
          <cell r="D2045">
            <v>41244</v>
          </cell>
          <cell r="E2045">
            <v>221846000</v>
          </cell>
          <cell r="F2045">
            <v>221846000</v>
          </cell>
          <cell r="G2045">
            <v>191975898</v>
          </cell>
          <cell r="H2045">
            <v>18487167</v>
          </cell>
          <cell r="I2045">
            <v>-14043325</v>
          </cell>
        </row>
        <row r="2046">
          <cell r="A2046" t="str">
            <v>3400|477100</v>
          </cell>
          <cell r="B2046" t="str">
            <v>3400</v>
          </cell>
          <cell r="C2046">
            <v>477100</v>
          </cell>
          <cell r="D2046">
            <v>41244</v>
          </cell>
          <cell r="E2046">
            <v>0</v>
          </cell>
          <cell r="F2046">
            <v>0</v>
          </cell>
          <cell r="G2046">
            <v>3010353</v>
          </cell>
          <cell r="H2046">
            <v>0</v>
          </cell>
          <cell r="I2046">
            <v>3010353</v>
          </cell>
        </row>
        <row r="2047">
          <cell r="A2047" t="str">
            <v>3400|477300</v>
          </cell>
          <cell r="B2047" t="str">
            <v>3400</v>
          </cell>
          <cell r="C2047">
            <v>477300</v>
          </cell>
          <cell r="D2047">
            <v>41244</v>
          </cell>
          <cell r="E2047">
            <v>12540000</v>
          </cell>
          <cell r="F2047">
            <v>12540000</v>
          </cell>
          <cell r="G2047">
            <v>-54462500</v>
          </cell>
          <cell r="H2047">
            <v>1045000</v>
          </cell>
          <cell r="I2047">
            <v>-60</v>
          </cell>
        </row>
        <row r="2048">
          <cell r="A2048" t="str">
            <v>3400|477450</v>
          </cell>
          <cell r="B2048" t="str">
            <v>3400</v>
          </cell>
          <cell r="C2048">
            <v>477450</v>
          </cell>
          <cell r="D2048">
            <v>41244</v>
          </cell>
          <cell r="E2048">
            <v>1003000</v>
          </cell>
          <cell r="F2048">
            <v>1003000</v>
          </cell>
          <cell r="G2048">
            <v>0</v>
          </cell>
          <cell r="H2048">
            <v>83583</v>
          </cell>
          <cell r="I2048">
            <v>0</v>
          </cell>
        </row>
        <row r="2049">
          <cell r="A2049" t="str">
            <v>3400|477860</v>
          </cell>
          <cell r="B2049" t="str">
            <v>3400</v>
          </cell>
          <cell r="C2049">
            <v>477860</v>
          </cell>
          <cell r="D2049">
            <v>41244</v>
          </cell>
          <cell r="E2049">
            <v>20000000</v>
          </cell>
          <cell r="F2049">
            <v>20000000</v>
          </cell>
          <cell r="G2049">
            <v>19745868</v>
          </cell>
          <cell r="H2049">
            <v>1666667</v>
          </cell>
          <cell r="I2049">
            <v>0</v>
          </cell>
        </row>
        <row r="2050">
          <cell r="A2050" t="str">
            <v>3410|211100</v>
          </cell>
          <cell r="B2050" t="str">
            <v>3410</v>
          </cell>
          <cell r="C2050">
            <v>211100</v>
          </cell>
          <cell r="D2050">
            <v>41244</v>
          </cell>
          <cell r="E2050">
            <v>260746162</v>
          </cell>
          <cell r="F2050">
            <v>260746162</v>
          </cell>
          <cell r="G2050">
            <v>257627888</v>
          </cell>
          <cell r="H2050">
            <v>21728847</v>
          </cell>
          <cell r="I2050">
            <v>25330851</v>
          </cell>
        </row>
        <row r="2051">
          <cell r="A2051" t="str">
            <v>3410|246000</v>
          </cell>
          <cell r="B2051" t="str">
            <v>3410</v>
          </cell>
          <cell r="C2051">
            <v>246000</v>
          </cell>
          <cell r="D2051">
            <v>41244</v>
          </cell>
          <cell r="E2051">
            <v>290000</v>
          </cell>
          <cell r="F2051">
            <v>290000</v>
          </cell>
          <cell r="G2051">
            <v>290000</v>
          </cell>
          <cell r="H2051">
            <v>24165</v>
          </cell>
          <cell r="I2051">
            <v>0</v>
          </cell>
        </row>
        <row r="2052">
          <cell r="A2052" t="str">
            <v>3410|246006</v>
          </cell>
          <cell r="B2052" t="str">
            <v>3410</v>
          </cell>
          <cell r="C2052">
            <v>246006</v>
          </cell>
          <cell r="D2052">
            <v>41244</v>
          </cell>
          <cell r="E2052">
            <v>700000</v>
          </cell>
          <cell r="F2052">
            <v>700000</v>
          </cell>
          <cell r="G2052">
            <v>0</v>
          </cell>
          <cell r="H2052">
            <v>58333</v>
          </cell>
          <cell r="I2052">
            <v>0</v>
          </cell>
        </row>
        <row r="2053">
          <cell r="A2053" t="str">
            <v>3410|400040</v>
          </cell>
          <cell r="B2053" t="str">
            <v>3410</v>
          </cell>
          <cell r="C2053">
            <v>400040</v>
          </cell>
          <cell r="D2053">
            <v>41244</v>
          </cell>
          <cell r="E2053">
            <v>0</v>
          </cell>
          <cell r="F2053">
            <v>0</v>
          </cell>
          <cell r="G2053">
            <v>544200</v>
          </cell>
          <cell r="H2053">
            <v>0</v>
          </cell>
          <cell r="I2053">
            <v>0</v>
          </cell>
        </row>
        <row r="2054">
          <cell r="A2054" t="str">
            <v>3410|405200</v>
          </cell>
          <cell r="B2054" t="str">
            <v>3410</v>
          </cell>
          <cell r="C2054">
            <v>405200</v>
          </cell>
          <cell r="D2054">
            <v>41244</v>
          </cell>
          <cell r="E2054">
            <v>5000000</v>
          </cell>
          <cell r="F2054">
            <v>5000000</v>
          </cell>
          <cell r="G2054">
            <v>37662549</v>
          </cell>
          <cell r="H2054">
            <v>416667</v>
          </cell>
          <cell r="I2054">
            <v>10193641</v>
          </cell>
        </row>
        <row r="2055">
          <cell r="A2055" t="str">
            <v>3410|405250</v>
          </cell>
          <cell r="B2055" t="str">
            <v>3410</v>
          </cell>
          <cell r="C2055">
            <v>405250</v>
          </cell>
          <cell r="D2055">
            <v>41244</v>
          </cell>
          <cell r="E2055">
            <v>2000000</v>
          </cell>
          <cell r="F2055">
            <v>2000000</v>
          </cell>
          <cell r="G2055">
            <v>1650500</v>
          </cell>
          <cell r="H2055">
            <v>166664</v>
          </cell>
          <cell r="I2055">
            <v>497000</v>
          </cell>
        </row>
        <row r="2056">
          <cell r="A2056" t="str">
            <v>3410|420002</v>
          </cell>
          <cell r="B2056" t="str">
            <v>3410</v>
          </cell>
          <cell r="C2056">
            <v>420002</v>
          </cell>
          <cell r="D2056">
            <v>41244</v>
          </cell>
          <cell r="E2056">
            <v>356519237</v>
          </cell>
          <cell r="F2056">
            <v>356519237</v>
          </cell>
          <cell r="G2056">
            <v>288695584</v>
          </cell>
          <cell r="H2056">
            <v>29709936</v>
          </cell>
          <cell r="I2056">
            <v>23647500</v>
          </cell>
        </row>
        <row r="2057">
          <cell r="A2057" t="str">
            <v>3410|420003</v>
          </cell>
          <cell r="B2057" t="str">
            <v>3410</v>
          </cell>
          <cell r="C2057">
            <v>420003</v>
          </cell>
          <cell r="D2057">
            <v>41244</v>
          </cell>
          <cell r="E2057">
            <v>482024790</v>
          </cell>
          <cell r="F2057">
            <v>482024790</v>
          </cell>
          <cell r="G2057">
            <v>461102965</v>
          </cell>
          <cell r="H2057">
            <v>40168733</v>
          </cell>
          <cell r="I2057">
            <v>40517895</v>
          </cell>
        </row>
        <row r="2058">
          <cell r="A2058" t="str">
            <v>3410|422002</v>
          </cell>
          <cell r="B2058" t="str">
            <v>3410</v>
          </cell>
          <cell r="C2058">
            <v>422002</v>
          </cell>
          <cell r="D2058">
            <v>41244</v>
          </cell>
          <cell r="E2058">
            <v>14671507</v>
          </cell>
          <cell r="F2058">
            <v>14671507</v>
          </cell>
          <cell r="G2058">
            <v>12308350</v>
          </cell>
          <cell r="H2058">
            <v>1222626</v>
          </cell>
          <cell r="I2058">
            <v>1000000</v>
          </cell>
        </row>
        <row r="2059">
          <cell r="A2059" t="str">
            <v>3410|422003</v>
          </cell>
          <cell r="B2059" t="str">
            <v>3410</v>
          </cell>
          <cell r="C2059">
            <v>422003</v>
          </cell>
          <cell r="D2059">
            <v>41244</v>
          </cell>
          <cell r="E2059">
            <v>948142</v>
          </cell>
          <cell r="F2059">
            <v>948142</v>
          </cell>
          <cell r="G2059">
            <v>436650</v>
          </cell>
          <cell r="H2059">
            <v>79012</v>
          </cell>
          <cell r="I2059">
            <v>0</v>
          </cell>
        </row>
        <row r="2060">
          <cell r="A2060" t="str">
            <v>3410|431002</v>
          </cell>
          <cell r="B2060" t="str">
            <v>3410</v>
          </cell>
          <cell r="C2060">
            <v>431002</v>
          </cell>
          <cell r="D2060">
            <v>41244</v>
          </cell>
          <cell r="E2060">
            <v>54795937</v>
          </cell>
          <cell r="F2060">
            <v>54795937</v>
          </cell>
          <cell r="G2060">
            <v>25428704</v>
          </cell>
          <cell r="H2060">
            <v>4566328</v>
          </cell>
          <cell r="I2060">
            <v>0</v>
          </cell>
        </row>
        <row r="2061">
          <cell r="A2061" t="str">
            <v>3410|433002</v>
          </cell>
          <cell r="B2061" t="str">
            <v>3410</v>
          </cell>
          <cell r="C2061">
            <v>433002</v>
          </cell>
          <cell r="D2061">
            <v>41244</v>
          </cell>
          <cell r="E2061">
            <v>8144343</v>
          </cell>
          <cell r="F2061">
            <v>8144343</v>
          </cell>
          <cell r="G2061">
            <v>8903925</v>
          </cell>
          <cell r="H2061">
            <v>678695</v>
          </cell>
          <cell r="I2061">
            <v>748775</v>
          </cell>
        </row>
        <row r="2062">
          <cell r="A2062" t="str">
            <v>3410|434012</v>
          </cell>
          <cell r="B2062" t="str">
            <v>3410</v>
          </cell>
          <cell r="C2062">
            <v>434012</v>
          </cell>
          <cell r="D2062">
            <v>41244</v>
          </cell>
          <cell r="E2062">
            <v>19348500</v>
          </cell>
          <cell r="F2062">
            <v>19348500</v>
          </cell>
          <cell r="G2062">
            <v>42577032</v>
          </cell>
          <cell r="H2062">
            <v>1612375</v>
          </cell>
          <cell r="I2062">
            <v>3928581</v>
          </cell>
        </row>
        <row r="2063">
          <cell r="A2063" t="str">
            <v>3410|434013</v>
          </cell>
          <cell r="B2063" t="str">
            <v>3410</v>
          </cell>
          <cell r="C2063">
            <v>434013</v>
          </cell>
          <cell r="D2063">
            <v>41244</v>
          </cell>
          <cell r="E2063">
            <v>21273000</v>
          </cell>
          <cell r="F2063">
            <v>21273000</v>
          </cell>
          <cell r="G2063">
            <v>25794975</v>
          </cell>
          <cell r="H2063">
            <v>1772750</v>
          </cell>
          <cell r="I2063">
            <v>4099789</v>
          </cell>
        </row>
        <row r="2064">
          <cell r="A2064" t="str">
            <v>3410|435002</v>
          </cell>
          <cell r="B2064" t="str">
            <v>3410</v>
          </cell>
          <cell r="C2064">
            <v>435002</v>
          </cell>
          <cell r="D2064">
            <v>41244</v>
          </cell>
          <cell r="E2064">
            <v>29709936</v>
          </cell>
          <cell r="F2064">
            <v>29709936</v>
          </cell>
          <cell r="G2064">
            <v>23647500</v>
          </cell>
          <cell r="H2064">
            <v>2475828</v>
          </cell>
          <cell r="I2064">
            <v>23647500</v>
          </cell>
        </row>
        <row r="2065">
          <cell r="A2065" t="str">
            <v>3410|435003</v>
          </cell>
          <cell r="B2065" t="str">
            <v>3410</v>
          </cell>
          <cell r="C2065">
            <v>435003</v>
          </cell>
          <cell r="D2065">
            <v>41244</v>
          </cell>
          <cell r="E2065">
            <v>61300353</v>
          </cell>
          <cell r="F2065">
            <v>61300353</v>
          </cell>
          <cell r="G2065">
            <v>61297151</v>
          </cell>
          <cell r="H2065">
            <v>5108363</v>
          </cell>
          <cell r="I2065">
            <v>0</v>
          </cell>
        </row>
        <row r="2066">
          <cell r="A2066" t="str">
            <v>3410|439003</v>
          </cell>
          <cell r="B2066" t="str">
            <v>3410</v>
          </cell>
          <cell r="C2066">
            <v>439003</v>
          </cell>
          <cell r="D2066">
            <v>41244</v>
          </cell>
          <cell r="E2066">
            <v>132166901</v>
          </cell>
          <cell r="F2066">
            <v>132166901</v>
          </cell>
          <cell r="G2066">
            <v>193257629</v>
          </cell>
          <cell r="H2066">
            <v>11013908</v>
          </cell>
          <cell r="I2066">
            <v>24889799</v>
          </cell>
        </row>
        <row r="2067">
          <cell r="A2067" t="str">
            <v>3410|439008</v>
          </cell>
          <cell r="B2067" t="str">
            <v>3410</v>
          </cell>
          <cell r="C2067">
            <v>439008</v>
          </cell>
          <cell r="D2067">
            <v>41244</v>
          </cell>
          <cell r="E2067">
            <v>81844525</v>
          </cell>
          <cell r="F2067">
            <v>81844525</v>
          </cell>
          <cell r="G2067">
            <v>92473214</v>
          </cell>
          <cell r="H2067">
            <v>6820377</v>
          </cell>
          <cell r="I2067">
            <v>0</v>
          </cell>
        </row>
        <row r="2068">
          <cell r="A2068" t="str">
            <v>3410|439202</v>
          </cell>
          <cell r="B2068" t="str">
            <v>3410</v>
          </cell>
          <cell r="C2068">
            <v>439202</v>
          </cell>
          <cell r="D2068">
            <v>41244</v>
          </cell>
          <cell r="E2068">
            <v>30000000</v>
          </cell>
          <cell r="F2068">
            <v>30000000</v>
          </cell>
          <cell r="G2068">
            <v>20625000</v>
          </cell>
          <cell r="H2068">
            <v>2500000</v>
          </cell>
          <cell r="I2068">
            <v>2050000</v>
          </cell>
        </row>
        <row r="2069">
          <cell r="A2069" t="str">
            <v>3410|439203</v>
          </cell>
          <cell r="B2069" t="str">
            <v>3410</v>
          </cell>
          <cell r="C2069">
            <v>439203</v>
          </cell>
          <cell r="D2069">
            <v>41244</v>
          </cell>
          <cell r="E2069">
            <v>18000000</v>
          </cell>
          <cell r="F2069">
            <v>18000000</v>
          </cell>
          <cell r="G2069">
            <v>14180000</v>
          </cell>
          <cell r="H2069">
            <v>1500000</v>
          </cell>
          <cell r="I2069">
            <v>1300000</v>
          </cell>
        </row>
        <row r="2070">
          <cell r="A2070" t="str">
            <v>3410|440002</v>
          </cell>
          <cell r="B2070" t="str">
            <v>3410</v>
          </cell>
          <cell r="C2070">
            <v>440002</v>
          </cell>
          <cell r="D2070">
            <v>41244</v>
          </cell>
          <cell r="E2070">
            <v>29709936</v>
          </cell>
          <cell r="F2070">
            <v>29709936</v>
          </cell>
          <cell r="G2070">
            <v>26283297</v>
          </cell>
          <cell r="H2070">
            <v>2475828</v>
          </cell>
          <cell r="I2070">
            <v>2233938</v>
          </cell>
        </row>
        <row r="2071">
          <cell r="A2071" t="str">
            <v>3410|440003</v>
          </cell>
          <cell r="B2071" t="str">
            <v>3410</v>
          </cell>
          <cell r="C2071">
            <v>440003</v>
          </cell>
          <cell r="D2071">
            <v>41244</v>
          </cell>
          <cell r="E2071">
            <v>51671107</v>
          </cell>
          <cell r="F2071">
            <v>51671107</v>
          </cell>
          <cell r="G2071">
            <v>35732375</v>
          </cell>
          <cell r="H2071">
            <v>4305926</v>
          </cell>
          <cell r="I2071">
            <v>3743452</v>
          </cell>
        </row>
        <row r="2072">
          <cell r="A2072" t="str">
            <v>3410|446002</v>
          </cell>
          <cell r="B2072" t="str">
            <v>3410</v>
          </cell>
          <cell r="C2072">
            <v>446002</v>
          </cell>
          <cell r="D2072">
            <v>41244</v>
          </cell>
          <cell r="E2072">
            <v>35863268</v>
          </cell>
          <cell r="F2072">
            <v>35863268</v>
          </cell>
          <cell r="G2072">
            <v>10095228</v>
          </cell>
          <cell r="H2072">
            <v>2988606</v>
          </cell>
          <cell r="I2072">
            <v>550000</v>
          </cell>
        </row>
        <row r="2073">
          <cell r="A2073" t="str">
            <v>3410|447002</v>
          </cell>
          <cell r="B2073" t="str">
            <v>3410</v>
          </cell>
          <cell r="C2073">
            <v>447002</v>
          </cell>
          <cell r="D2073">
            <v>41244</v>
          </cell>
          <cell r="E2073">
            <v>10363258</v>
          </cell>
          <cell r="F2073">
            <v>10363258</v>
          </cell>
          <cell r="G2073">
            <v>1561069</v>
          </cell>
          <cell r="H2073">
            <v>863605</v>
          </cell>
          <cell r="I2073">
            <v>127697</v>
          </cell>
        </row>
        <row r="2074">
          <cell r="A2074" t="str">
            <v>3410|447003</v>
          </cell>
          <cell r="B2074" t="str">
            <v>3410</v>
          </cell>
          <cell r="C2074">
            <v>447003</v>
          </cell>
          <cell r="D2074">
            <v>41244</v>
          </cell>
          <cell r="E2074">
            <v>3693693</v>
          </cell>
          <cell r="F2074">
            <v>3693693</v>
          </cell>
          <cell r="G2074">
            <v>4356490</v>
          </cell>
          <cell r="H2074">
            <v>307808</v>
          </cell>
          <cell r="I2074">
            <v>359457</v>
          </cell>
        </row>
        <row r="2075">
          <cell r="A2075" t="str">
            <v>3410|447012</v>
          </cell>
          <cell r="B2075" t="str">
            <v>3410</v>
          </cell>
          <cell r="C2075">
            <v>447012</v>
          </cell>
          <cell r="D2075">
            <v>41244</v>
          </cell>
          <cell r="E2075">
            <v>24422965</v>
          </cell>
          <cell r="F2075">
            <v>24422965</v>
          </cell>
          <cell r="G2075">
            <v>10696180</v>
          </cell>
          <cell r="H2075">
            <v>2035247</v>
          </cell>
          <cell r="I2075">
            <v>874959</v>
          </cell>
        </row>
        <row r="2076">
          <cell r="A2076" t="str">
            <v>3410|447013</v>
          </cell>
          <cell r="B2076" t="str">
            <v>3410</v>
          </cell>
          <cell r="C2076">
            <v>447013</v>
          </cell>
          <cell r="D2076">
            <v>41244</v>
          </cell>
          <cell r="E2076">
            <v>17082912</v>
          </cell>
          <cell r="F2076">
            <v>17082912</v>
          </cell>
          <cell r="G2076">
            <v>16666606</v>
          </cell>
          <cell r="H2076">
            <v>1423577</v>
          </cell>
          <cell r="I2076">
            <v>1354571</v>
          </cell>
        </row>
        <row r="2077">
          <cell r="A2077" t="str">
            <v>3410|447022</v>
          </cell>
          <cell r="B2077" t="str">
            <v>3410</v>
          </cell>
          <cell r="C2077">
            <v>447022</v>
          </cell>
          <cell r="D2077">
            <v>41244</v>
          </cell>
          <cell r="E2077">
            <v>1036326</v>
          </cell>
          <cell r="F2077">
            <v>1036326</v>
          </cell>
          <cell r="G2077">
            <v>186403</v>
          </cell>
          <cell r="H2077">
            <v>86360</v>
          </cell>
          <cell r="I2077">
            <v>16000</v>
          </cell>
        </row>
        <row r="2078">
          <cell r="A2078" t="str">
            <v>3410|447023</v>
          </cell>
          <cell r="B2078" t="str">
            <v>3410</v>
          </cell>
          <cell r="C2078">
            <v>447023</v>
          </cell>
          <cell r="D2078">
            <v>41244</v>
          </cell>
          <cell r="E2078">
            <v>369369</v>
          </cell>
          <cell r="F2078">
            <v>369369</v>
          </cell>
          <cell r="G2078">
            <v>735950</v>
          </cell>
          <cell r="H2078">
            <v>30781</v>
          </cell>
          <cell r="I2078">
            <v>43500</v>
          </cell>
        </row>
        <row r="2079">
          <cell r="A2079" t="str">
            <v>3410|448002</v>
          </cell>
          <cell r="B2079" t="str">
            <v>3410</v>
          </cell>
          <cell r="C2079">
            <v>448002</v>
          </cell>
          <cell r="D2079">
            <v>41244</v>
          </cell>
          <cell r="E2079">
            <v>61572084</v>
          </cell>
          <cell r="F2079">
            <v>61572084</v>
          </cell>
          <cell r="G2079">
            <v>134185805</v>
          </cell>
          <cell r="H2079">
            <v>5131007</v>
          </cell>
          <cell r="I2079">
            <v>35263600</v>
          </cell>
        </row>
        <row r="2080">
          <cell r="A2080" t="str">
            <v>3410|448003</v>
          </cell>
          <cell r="B2080" t="str">
            <v>3410</v>
          </cell>
          <cell r="C2080">
            <v>448003</v>
          </cell>
          <cell r="D2080">
            <v>41244</v>
          </cell>
          <cell r="E2080">
            <v>50374563</v>
          </cell>
          <cell r="F2080">
            <v>50374563</v>
          </cell>
          <cell r="G2080">
            <v>14804500</v>
          </cell>
          <cell r="H2080">
            <v>4197880</v>
          </cell>
          <cell r="I2080">
            <v>2562000</v>
          </cell>
        </row>
        <row r="2081">
          <cell r="A2081" t="str">
            <v>3410|449004</v>
          </cell>
          <cell r="B2081" t="str">
            <v>3410</v>
          </cell>
          <cell r="C2081">
            <v>449004</v>
          </cell>
          <cell r="D2081">
            <v>41244</v>
          </cell>
          <cell r="E2081">
            <v>10340000</v>
          </cell>
          <cell r="F2081">
            <v>10340000</v>
          </cell>
          <cell r="G2081">
            <v>9600000</v>
          </cell>
          <cell r="H2081">
            <v>861667</v>
          </cell>
          <cell r="I2081">
            <v>0</v>
          </cell>
        </row>
        <row r="2082">
          <cell r="A2082" t="str">
            <v>3410|449022</v>
          </cell>
          <cell r="B2082" t="str">
            <v>3410</v>
          </cell>
          <cell r="C2082">
            <v>449022</v>
          </cell>
          <cell r="D2082">
            <v>41244</v>
          </cell>
          <cell r="E2082">
            <v>19800000</v>
          </cell>
          <cell r="F2082">
            <v>19800000</v>
          </cell>
          <cell r="G2082">
            <v>13188500</v>
          </cell>
          <cell r="H2082">
            <v>1650000</v>
          </cell>
          <cell r="I2082">
            <v>1197500</v>
          </cell>
        </row>
        <row r="2083">
          <cell r="A2083" t="str">
            <v>3410|449023</v>
          </cell>
          <cell r="B2083" t="str">
            <v>3410</v>
          </cell>
          <cell r="C2083">
            <v>449023</v>
          </cell>
          <cell r="D2083">
            <v>41244</v>
          </cell>
          <cell r="E2083">
            <v>41370000</v>
          </cell>
          <cell r="F2083">
            <v>41370000</v>
          </cell>
          <cell r="G2083">
            <v>39134587</v>
          </cell>
          <cell r="H2083">
            <v>3447500</v>
          </cell>
          <cell r="I2083">
            <v>3328950</v>
          </cell>
        </row>
        <row r="2084">
          <cell r="A2084" t="str">
            <v>3410|449032</v>
          </cell>
          <cell r="B2084" t="str">
            <v>3410</v>
          </cell>
          <cell r="C2084">
            <v>449032</v>
          </cell>
          <cell r="D2084">
            <v>41244</v>
          </cell>
          <cell r="E2084">
            <v>20102200</v>
          </cell>
          <cell r="F2084">
            <v>20102200</v>
          </cell>
          <cell r="G2084">
            <v>14543997</v>
          </cell>
          <cell r="H2084">
            <v>1675183</v>
          </cell>
          <cell r="I2084">
            <v>0</v>
          </cell>
        </row>
        <row r="2085">
          <cell r="A2085" t="str">
            <v>3410|449050</v>
          </cell>
          <cell r="B2085" t="str">
            <v>3410</v>
          </cell>
          <cell r="C2085">
            <v>449050</v>
          </cell>
          <cell r="D2085">
            <v>41244</v>
          </cell>
          <cell r="E2085">
            <v>29600004</v>
          </cell>
          <cell r="F2085">
            <v>29600004</v>
          </cell>
          <cell r="G2085">
            <v>28017590</v>
          </cell>
          <cell r="H2085">
            <v>2466667</v>
          </cell>
          <cell r="I2085">
            <v>2466667</v>
          </cell>
        </row>
        <row r="2086">
          <cell r="A2086" t="str">
            <v>3410|449061</v>
          </cell>
          <cell r="B2086" t="str">
            <v>3410</v>
          </cell>
          <cell r="C2086">
            <v>449061</v>
          </cell>
          <cell r="D2086">
            <v>41244</v>
          </cell>
          <cell r="E2086">
            <v>19607400</v>
          </cell>
          <cell r="F2086">
            <v>19607400</v>
          </cell>
          <cell r="G2086">
            <v>20292500</v>
          </cell>
          <cell r="H2086">
            <v>1633950</v>
          </cell>
          <cell r="I2086">
            <v>1128100</v>
          </cell>
        </row>
        <row r="2087">
          <cell r="A2087" t="str">
            <v>3410|451000</v>
          </cell>
          <cell r="B2087" t="str">
            <v>3410</v>
          </cell>
          <cell r="C2087">
            <v>451000</v>
          </cell>
          <cell r="D2087">
            <v>41244</v>
          </cell>
          <cell r="E2087">
            <v>95000</v>
          </cell>
          <cell r="F2087">
            <v>95000</v>
          </cell>
          <cell r="G2087">
            <v>0</v>
          </cell>
          <cell r="H2087">
            <v>7917</v>
          </cell>
          <cell r="I2087">
            <v>0</v>
          </cell>
        </row>
        <row r="2088">
          <cell r="A2088" t="str">
            <v>3410|455000</v>
          </cell>
          <cell r="B2088" t="str">
            <v>3410</v>
          </cell>
          <cell r="C2088">
            <v>455000</v>
          </cell>
          <cell r="D2088">
            <v>41244</v>
          </cell>
          <cell r="E2088">
            <v>0</v>
          </cell>
          <cell r="F2088">
            <v>0</v>
          </cell>
          <cell r="G2088">
            <v>70000</v>
          </cell>
          <cell r="H2088">
            <v>0</v>
          </cell>
          <cell r="I2088">
            <v>0</v>
          </cell>
        </row>
        <row r="2089">
          <cell r="A2089" t="str">
            <v>3410|455002</v>
          </cell>
          <cell r="B2089" t="str">
            <v>3410</v>
          </cell>
          <cell r="C2089">
            <v>455002</v>
          </cell>
          <cell r="D2089">
            <v>41244</v>
          </cell>
          <cell r="E2089">
            <v>4000000</v>
          </cell>
          <cell r="F2089">
            <v>4000000</v>
          </cell>
          <cell r="G2089">
            <v>1425000</v>
          </cell>
          <cell r="H2089">
            <v>333333</v>
          </cell>
          <cell r="I2089">
            <v>0</v>
          </cell>
        </row>
        <row r="2090">
          <cell r="A2090" t="str">
            <v>3410|459000</v>
          </cell>
          <cell r="B2090" t="str">
            <v>3410</v>
          </cell>
          <cell r="C2090">
            <v>459000</v>
          </cell>
          <cell r="D2090">
            <v>41244</v>
          </cell>
          <cell r="E2090">
            <v>3600000</v>
          </cell>
          <cell r="F2090">
            <v>3600000</v>
          </cell>
          <cell r="G2090">
            <v>3395000</v>
          </cell>
          <cell r="H2090">
            <v>299999</v>
          </cell>
          <cell r="I2090">
            <v>0</v>
          </cell>
        </row>
        <row r="2091">
          <cell r="A2091" t="str">
            <v>3410|459002</v>
          </cell>
          <cell r="B2091" t="str">
            <v>3410</v>
          </cell>
          <cell r="C2091">
            <v>459002</v>
          </cell>
          <cell r="D2091">
            <v>41244</v>
          </cell>
          <cell r="E2091">
            <v>60188000</v>
          </cell>
          <cell r="F2091">
            <v>60188000</v>
          </cell>
          <cell r="G2091">
            <v>0</v>
          </cell>
          <cell r="H2091">
            <v>5015668</v>
          </cell>
          <cell r="I2091">
            <v>0</v>
          </cell>
        </row>
        <row r="2092">
          <cell r="A2092" t="str">
            <v>3410|471000</v>
          </cell>
          <cell r="B2092" t="str">
            <v>3410</v>
          </cell>
          <cell r="C2092">
            <v>471000</v>
          </cell>
          <cell r="D2092">
            <v>41244</v>
          </cell>
          <cell r="E2092">
            <v>13412103</v>
          </cell>
          <cell r="F2092">
            <v>13412103</v>
          </cell>
          <cell r="G2092">
            <v>22126614</v>
          </cell>
          <cell r="H2092">
            <v>1117675</v>
          </cell>
          <cell r="I2092">
            <v>7110009</v>
          </cell>
        </row>
        <row r="2093">
          <cell r="A2093" t="str">
            <v>3410|472000</v>
          </cell>
          <cell r="B2093" t="str">
            <v>3410</v>
          </cell>
          <cell r="C2093">
            <v>472000</v>
          </cell>
          <cell r="D2093">
            <v>41244</v>
          </cell>
          <cell r="E2093">
            <v>6420000</v>
          </cell>
          <cell r="F2093">
            <v>6420000</v>
          </cell>
          <cell r="G2093">
            <v>-51810521</v>
          </cell>
          <cell r="H2093">
            <v>535000</v>
          </cell>
          <cell r="I2093">
            <v>-51021477</v>
          </cell>
        </row>
        <row r="2094">
          <cell r="A2094" t="str">
            <v>3410|473000</v>
          </cell>
          <cell r="B2094" t="str">
            <v>3410</v>
          </cell>
          <cell r="C2094">
            <v>473000</v>
          </cell>
          <cell r="D2094">
            <v>41244</v>
          </cell>
          <cell r="E2094">
            <v>0</v>
          </cell>
          <cell r="F2094">
            <v>0</v>
          </cell>
          <cell r="G2094">
            <v>8246000</v>
          </cell>
          <cell r="H2094">
            <v>0</v>
          </cell>
          <cell r="I2094">
            <v>1691300</v>
          </cell>
        </row>
        <row r="2095">
          <cell r="A2095" t="str">
            <v>3410|473120</v>
          </cell>
          <cell r="B2095" t="str">
            <v>3410</v>
          </cell>
          <cell r="C2095">
            <v>473120</v>
          </cell>
          <cell r="D2095">
            <v>41244</v>
          </cell>
          <cell r="E2095">
            <v>224274</v>
          </cell>
          <cell r="F2095">
            <v>224274</v>
          </cell>
          <cell r="G2095">
            <v>17712125</v>
          </cell>
          <cell r="H2095">
            <v>18689</v>
          </cell>
          <cell r="I2095">
            <v>3002202</v>
          </cell>
        </row>
        <row r="2096">
          <cell r="A2096" t="str">
            <v>3410|474100</v>
          </cell>
          <cell r="B2096" t="str">
            <v>3410</v>
          </cell>
          <cell r="C2096">
            <v>474100</v>
          </cell>
          <cell r="D2096">
            <v>41244</v>
          </cell>
          <cell r="E2096">
            <v>13500000</v>
          </cell>
          <cell r="F2096">
            <v>13500000</v>
          </cell>
          <cell r="G2096">
            <v>26385218</v>
          </cell>
          <cell r="H2096">
            <v>1125000</v>
          </cell>
          <cell r="I2096">
            <v>15807940</v>
          </cell>
        </row>
        <row r="2097">
          <cell r="A2097" t="str">
            <v>3410|474101</v>
          </cell>
          <cell r="B2097" t="str">
            <v>3410</v>
          </cell>
          <cell r="C2097">
            <v>474101</v>
          </cell>
          <cell r="D2097">
            <v>41244</v>
          </cell>
          <cell r="E2097">
            <v>15039800</v>
          </cell>
          <cell r="F2097">
            <v>15039800</v>
          </cell>
          <cell r="G2097">
            <v>10887217</v>
          </cell>
          <cell r="H2097">
            <v>1253317</v>
          </cell>
          <cell r="I2097">
            <v>7935000</v>
          </cell>
        </row>
        <row r="2098">
          <cell r="A2098" t="str">
            <v>3410|475000</v>
          </cell>
          <cell r="B2098" t="str">
            <v>3410</v>
          </cell>
          <cell r="C2098">
            <v>475000</v>
          </cell>
          <cell r="D2098">
            <v>41244</v>
          </cell>
          <cell r="E2098">
            <v>2879357</v>
          </cell>
          <cell r="F2098">
            <v>2879357</v>
          </cell>
          <cell r="G2098">
            <v>1190000</v>
          </cell>
          <cell r="H2098">
            <v>239946</v>
          </cell>
          <cell r="I2098">
            <v>0</v>
          </cell>
        </row>
        <row r="2099">
          <cell r="A2099" t="str">
            <v>3410|475001</v>
          </cell>
          <cell r="B2099" t="str">
            <v>3410</v>
          </cell>
          <cell r="C2099">
            <v>475001</v>
          </cell>
          <cell r="D2099">
            <v>41244</v>
          </cell>
          <cell r="E2099">
            <v>4400000</v>
          </cell>
          <cell r="F2099">
            <v>4400000</v>
          </cell>
          <cell r="G2099">
            <v>3800000</v>
          </cell>
          <cell r="H2099">
            <v>366667</v>
          </cell>
          <cell r="I2099">
            <v>0</v>
          </cell>
        </row>
        <row r="2100">
          <cell r="A2100" t="str">
            <v>3410|475003</v>
          </cell>
          <cell r="B2100" t="str">
            <v>3410</v>
          </cell>
          <cell r="C2100">
            <v>475003</v>
          </cell>
          <cell r="D2100">
            <v>41244</v>
          </cell>
          <cell r="E2100">
            <v>8228000</v>
          </cell>
          <cell r="F2100">
            <v>8228000</v>
          </cell>
          <cell r="G2100">
            <v>4768200</v>
          </cell>
          <cell r="H2100">
            <v>685665</v>
          </cell>
          <cell r="I2100">
            <v>0</v>
          </cell>
        </row>
        <row r="2101">
          <cell r="A2101" t="str">
            <v>3410|475006</v>
          </cell>
          <cell r="B2101" t="str">
            <v>3410</v>
          </cell>
          <cell r="C2101">
            <v>475006</v>
          </cell>
          <cell r="D2101">
            <v>41244</v>
          </cell>
          <cell r="E2101">
            <v>4365000</v>
          </cell>
          <cell r="F2101">
            <v>4365000</v>
          </cell>
          <cell r="G2101">
            <v>4946256</v>
          </cell>
          <cell r="H2101">
            <v>363750</v>
          </cell>
          <cell r="I2101">
            <v>412188</v>
          </cell>
        </row>
        <row r="2102">
          <cell r="A2102" t="str">
            <v>3410|476000</v>
          </cell>
          <cell r="B2102" t="str">
            <v>3410</v>
          </cell>
          <cell r="C2102">
            <v>476000</v>
          </cell>
          <cell r="D2102">
            <v>41244</v>
          </cell>
          <cell r="E2102">
            <v>30495100</v>
          </cell>
          <cell r="F2102">
            <v>30495100</v>
          </cell>
          <cell r="G2102">
            <v>23207859</v>
          </cell>
          <cell r="H2102">
            <v>2541258</v>
          </cell>
          <cell r="I2102">
            <v>0</v>
          </cell>
        </row>
        <row r="2103">
          <cell r="A2103" t="str">
            <v>3410|476001</v>
          </cell>
          <cell r="B2103" t="str">
            <v>3410</v>
          </cell>
          <cell r="C2103">
            <v>476001</v>
          </cell>
          <cell r="D2103">
            <v>41244</v>
          </cell>
          <cell r="E2103">
            <v>5435000</v>
          </cell>
          <cell r="F2103">
            <v>5435000</v>
          </cell>
          <cell r="G2103">
            <v>5284500</v>
          </cell>
          <cell r="H2103">
            <v>452917</v>
          </cell>
          <cell r="I2103">
            <v>0</v>
          </cell>
        </row>
        <row r="2104">
          <cell r="A2104" t="str">
            <v>3410|476002</v>
          </cell>
          <cell r="B2104" t="str">
            <v>3410</v>
          </cell>
          <cell r="C2104">
            <v>476002</v>
          </cell>
          <cell r="D2104">
            <v>41244</v>
          </cell>
          <cell r="E2104">
            <v>1972900</v>
          </cell>
          <cell r="F2104">
            <v>1972900</v>
          </cell>
          <cell r="G2104">
            <v>126644</v>
          </cell>
          <cell r="H2104">
            <v>164408</v>
          </cell>
          <cell r="I2104">
            <v>126644</v>
          </cell>
        </row>
        <row r="2105">
          <cell r="A2105" t="str">
            <v>3410|476201</v>
          </cell>
          <cell r="B2105" t="str">
            <v>3410</v>
          </cell>
          <cell r="C2105">
            <v>476201</v>
          </cell>
          <cell r="D2105">
            <v>41244</v>
          </cell>
          <cell r="E2105">
            <v>1000000</v>
          </cell>
          <cell r="F2105">
            <v>1000000</v>
          </cell>
          <cell r="G2105">
            <v>0</v>
          </cell>
          <cell r="H2105">
            <v>83333</v>
          </cell>
          <cell r="I2105">
            <v>0</v>
          </cell>
        </row>
        <row r="2106">
          <cell r="A2106" t="str">
            <v>3410|476900</v>
          </cell>
          <cell r="B2106" t="str">
            <v>3410</v>
          </cell>
          <cell r="C2106">
            <v>476900</v>
          </cell>
          <cell r="D2106">
            <v>41244</v>
          </cell>
          <cell r="E2106">
            <v>6160000</v>
          </cell>
          <cell r="F2106">
            <v>6160000</v>
          </cell>
          <cell r="G2106">
            <v>5898385</v>
          </cell>
          <cell r="H2106">
            <v>513333</v>
          </cell>
          <cell r="I2106">
            <v>3000000</v>
          </cell>
        </row>
        <row r="2107">
          <cell r="A2107" t="str">
            <v>3410|476910</v>
          </cell>
          <cell r="B2107" t="str">
            <v>3410</v>
          </cell>
          <cell r="C2107">
            <v>476910</v>
          </cell>
          <cell r="D2107">
            <v>41244</v>
          </cell>
          <cell r="E2107">
            <v>0</v>
          </cell>
          <cell r="F2107">
            <v>0</v>
          </cell>
          <cell r="G2107">
            <v>1500000</v>
          </cell>
          <cell r="H2107">
            <v>0</v>
          </cell>
          <cell r="I2107">
            <v>0</v>
          </cell>
        </row>
        <row r="2108">
          <cell r="A2108" t="str">
            <v>3410|477310</v>
          </cell>
          <cell r="B2108" t="str">
            <v>3410</v>
          </cell>
          <cell r="C2108">
            <v>477310</v>
          </cell>
          <cell r="D2108">
            <v>41244</v>
          </cell>
          <cell r="E2108">
            <v>0</v>
          </cell>
          <cell r="F2108">
            <v>0</v>
          </cell>
          <cell r="G2108">
            <v>20331607</v>
          </cell>
          <cell r="H2108">
            <v>0</v>
          </cell>
          <cell r="I2108">
            <v>11467769</v>
          </cell>
        </row>
        <row r="2109">
          <cell r="A2109" t="str">
            <v>3410|477350</v>
          </cell>
          <cell r="B2109" t="str">
            <v>3410</v>
          </cell>
          <cell r="C2109">
            <v>477350</v>
          </cell>
          <cell r="D2109">
            <v>41244</v>
          </cell>
          <cell r="E2109">
            <v>112824279</v>
          </cell>
          <cell r="F2109">
            <v>112824279</v>
          </cell>
          <cell r="G2109">
            <v>118709890</v>
          </cell>
          <cell r="H2109">
            <v>9402023</v>
          </cell>
          <cell r="I2109">
            <v>96019510</v>
          </cell>
        </row>
        <row r="2110">
          <cell r="A2110" t="str">
            <v>3410|477500</v>
          </cell>
          <cell r="B2110" t="str">
            <v>3410</v>
          </cell>
          <cell r="C2110">
            <v>477500</v>
          </cell>
          <cell r="D2110">
            <v>41244</v>
          </cell>
          <cell r="E2110">
            <v>4010000</v>
          </cell>
          <cell r="F2110">
            <v>4010000</v>
          </cell>
          <cell r="G2110">
            <v>4922000</v>
          </cell>
          <cell r="H2110">
            <v>334167</v>
          </cell>
          <cell r="I2110">
            <v>736000</v>
          </cell>
        </row>
        <row r="2111">
          <cell r="A2111" t="str">
            <v>3410|477800</v>
          </cell>
          <cell r="B2111" t="str">
            <v>3410</v>
          </cell>
          <cell r="C2111">
            <v>477800</v>
          </cell>
          <cell r="D2111">
            <v>41244</v>
          </cell>
          <cell r="E2111">
            <v>3000000000</v>
          </cell>
          <cell r="F2111">
            <v>3000000000</v>
          </cell>
          <cell r="G2111">
            <v>280665445</v>
          </cell>
          <cell r="H2111">
            <v>250000000</v>
          </cell>
          <cell r="I2111">
            <v>-2967192935</v>
          </cell>
        </row>
        <row r="2112">
          <cell r="A2112" t="str">
            <v>3410|477851</v>
          </cell>
          <cell r="B2112" t="str">
            <v>3410</v>
          </cell>
          <cell r="C2112">
            <v>477851</v>
          </cell>
          <cell r="D2112">
            <v>41244</v>
          </cell>
          <cell r="E2112">
            <v>19161447</v>
          </cell>
          <cell r="F2112">
            <v>19161447</v>
          </cell>
          <cell r="G2112">
            <v>3500000</v>
          </cell>
          <cell r="H2112">
            <v>1596787</v>
          </cell>
          <cell r="I2112">
            <v>-25500000</v>
          </cell>
        </row>
        <row r="2113">
          <cell r="A2113" t="str">
            <v>3420|211100</v>
          </cell>
          <cell r="B2113" t="str">
            <v>3420</v>
          </cell>
          <cell r="C2113">
            <v>211100</v>
          </cell>
          <cell r="D2113">
            <v>41244</v>
          </cell>
          <cell r="E2113">
            <v>99400136</v>
          </cell>
          <cell r="F2113">
            <v>99400136</v>
          </cell>
          <cell r="G2113">
            <v>61881080</v>
          </cell>
          <cell r="H2113">
            <v>8283345</v>
          </cell>
          <cell r="I2113">
            <v>10901755</v>
          </cell>
        </row>
        <row r="2114">
          <cell r="A2114" t="str">
            <v>3420|405200</v>
          </cell>
          <cell r="B2114" t="str">
            <v>3420</v>
          </cell>
          <cell r="C2114">
            <v>405200</v>
          </cell>
          <cell r="D2114">
            <v>41244</v>
          </cell>
          <cell r="E2114">
            <v>500000</v>
          </cell>
          <cell r="F2114">
            <v>500000</v>
          </cell>
          <cell r="G2114">
            <v>396000</v>
          </cell>
          <cell r="H2114">
            <v>41667</v>
          </cell>
          <cell r="I2114">
            <v>0</v>
          </cell>
        </row>
        <row r="2115">
          <cell r="A2115" t="str">
            <v>3420|420002</v>
          </cell>
          <cell r="B2115" t="str">
            <v>3420</v>
          </cell>
          <cell r="C2115">
            <v>420002</v>
          </cell>
          <cell r="D2115">
            <v>41244</v>
          </cell>
          <cell r="E2115">
            <v>784342322</v>
          </cell>
          <cell r="F2115">
            <v>784342322</v>
          </cell>
          <cell r="G2115">
            <v>604452590</v>
          </cell>
          <cell r="H2115">
            <v>65361860</v>
          </cell>
          <cell r="I2115">
            <v>50924000</v>
          </cell>
        </row>
        <row r="2116">
          <cell r="A2116" t="str">
            <v>3420|420003</v>
          </cell>
          <cell r="B2116" t="str">
            <v>3420</v>
          </cell>
          <cell r="C2116">
            <v>420003</v>
          </cell>
          <cell r="D2116">
            <v>41244</v>
          </cell>
          <cell r="E2116">
            <v>481721094</v>
          </cell>
          <cell r="F2116">
            <v>481721094</v>
          </cell>
          <cell r="G2116">
            <v>483156686</v>
          </cell>
          <cell r="H2116">
            <v>40143425</v>
          </cell>
          <cell r="I2116">
            <v>40517895</v>
          </cell>
        </row>
        <row r="2117">
          <cell r="A2117" t="str">
            <v>3420|422002</v>
          </cell>
          <cell r="B2117" t="str">
            <v>3420</v>
          </cell>
          <cell r="C2117">
            <v>422002</v>
          </cell>
          <cell r="D2117">
            <v>41244</v>
          </cell>
          <cell r="E2117">
            <v>29850835</v>
          </cell>
          <cell r="F2117">
            <v>29850835</v>
          </cell>
          <cell r="G2117">
            <v>627100</v>
          </cell>
          <cell r="H2117">
            <v>2487570</v>
          </cell>
          <cell r="I2117">
            <v>0</v>
          </cell>
        </row>
        <row r="2118">
          <cell r="A2118" t="str">
            <v>3420|422003</v>
          </cell>
          <cell r="B2118" t="str">
            <v>3420</v>
          </cell>
          <cell r="C2118">
            <v>422003</v>
          </cell>
          <cell r="D2118">
            <v>41244</v>
          </cell>
          <cell r="E2118">
            <v>0</v>
          </cell>
          <cell r="F2118">
            <v>0</v>
          </cell>
          <cell r="G2118">
            <v>228450</v>
          </cell>
          <cell r="H2118">
            <v>0</v>
          </cell>
          <cell r="I2118">
            <v>88050</v>
          </cell>
        </row>
        <row r="2119">
          <cell r="A2119" t="str">
            <v>3420|431000</v>
          </cell>
          <cell r="B2119" t="str">
            <v>3420</v>
          </cell>
          <cell r="C2119">
            <v>431000</v>
          </cell>
          <cell r="D2119">
            <v>41244</v>
          </cell>
          <cell r="E2119">
            <v>1000000</v>
          </cell>
          <cell r="F2119">
            <v>1000000</v>
          </cell>
          <cell r="G2119">
            <v>0</v>
          </cell>
          <cell r="H2119">
            <v>83333</v>
          </cell>
          <cell r="I2119">
            <v>0</v>
          </cell>
        </row>
        <row r="2120">
          <cell r="A2120" t="str">
            <v>3420|431001</v>
          </cell>
          <cell r="B2120" t="str">
            <v>3420</v>
          </cell>
          <cell r="C2120">
            <v>431001</v>
          </cell>
          <cell r="D2120">
            <v>41244</v>
          </cell>
          <cell r="E2120">
            <v>0</v>
          </cell>
          <cell r="F2120">
            <v>0</v>
          </cell>
          <cell r="G2120">
            <v>1275212</v>
          </cell>
          <cell r="H2120">
            <v>0</v>
          </cell>
          <cell r="I2120">
            <v>0</v>
          </cell>
        </row>
        <row r="2121">
          <cell r="A2121" t="str">
            <v>3420|431002</v>
          </cell>
          <cell r="B2121" t="str">
            <v>3420</v>
          </cell>
          <cell r="C2121">
            <v>431002</v>
          </cell>
          <cell r="D2121">
            <v>41244</v>
          </cell>
          <cell r="E2121">
            <v>19689188</v>
          </cell>
          <cell r="F2121">
            <v>19689188</v>
          </cell>
          <cell r="G2121">
            <v>47998620</v>
          </cell>
          <cell r="H2121">
            <v>1640766</v>
          </cell>
          <cell r="I2121">
            <v>2216549</v>
          </cell>
        </row>
        <row r="2122">
          <cell r="A2122" t="str">
            <v>3420|431003</v>
          </cell>
          <cell r="B2122" t="str">
            <v>3420</v>
          </cell>
          <cell r="C2122">
            <v>431003</v>
          </cell>
          <cell r="D2122">
            <v>41244</v>
          </cell>
          <cell r="E2122">
            <v>5162796</v>
          </cell>
          <cell r="F2122">
            <v>5162796</v>
          </cell>
          <cell r="G2122">
            <v>0</v>
          </cell>
          <cell r="H2122">
            <v>430233</v>
          </cell>
          <cell r="I2122">
            <v>0</v>
          </cell>
        </row>
        <row r="2123">
          <cell r="A2123" t="str">
            <v>3420|433002</v>
          </cell>
          <cell r="B2123" t="str">
            <v>3420</v>
          </cell>
          <cell r="C2123">
            <v>433002</v>
          </cell>
          <cell r="D2123">
            <v>41244</v>
          </cell>
          <cell r="E2123">
            <v>8045945</v>
          </cell>
          <cell r="F2123">
            <v>8045945</v>
          </cell>
          <cell r="G2123">
            <v>8867350</v>
          </cell>
          <cell r="H2123">
            <v>670495</v>
          </cell>
          <cell r="I2123">
            <v>745750</v>
          </cell>
        </row>
        <row r="2124">
          <cell r="A2124" t="str">
            <v>3420|433003</v>
          </cell>
          <cell r="B2124" t="str">
            <v>3420</v>
          </cell>
          <cell r="C2124">
            <v>433003</v>
          </cell>
          <cell r="D2124">
            <v>41244</v>
          </cell>
          <cell r="E2124">
            <v>1014738</v>
          </cell>
          <cell r="F2124">
            <v>1014738</v>
          </cell>
          <cell r="G2124">
            <v>0</v>
          </cell>
          <cell r="H2124">
            <v>84561</v>
          </cell>
          <cell r="I2124">
            <v>0</v>
          </cell>
        </row>
        <row r="2125">
          <cell r="A2125" t="str">
            <v>3420|434012</v>
          </cell>
          <cell r="B2125" t="str">
            <v>3420</v>
          </cell>
          <cell r="C2125">
            <v>434012</v>
          </cell>
          <cell r="D2125">
            <v>41244</v>
          </cell>
          <cell r="E2125">
            <v>0</v>
          </cell>
          <cell r="F2125">
            <v>0</v>
          </cell>
          <cell r="G2125">
            <v>22396337</v>
          </cell>
          <cell r="H2125">
            <v>0</v>
          </cell>
          <cell r="I2125">
            <v>7857163</v>
          </cell>
        </row>
        <row r="2126">
          <cell r="A2126" t="str">
            <v>3420|434013</v>
          </cell>
          <cell r="B2126" t="str">
            <v>3420</v>
          </cell>
          <cell r="C2126">
            <v>434013</v>
          </cell>
          <cell r="D2126">
            <v>41244</v>
          </cell>
          <cell r="E2126">
            <v>0</v>
          </cell>
          <cell r="F2126">
            <v>0</v>
          </cell>
          <cell r="G2126">
            <v>12734665</v>
          </cell>
          <cell r="H2126">
            <v>0</v>
          </cell>
          <cell r="I2126">
            <v>4099789</v>
          </cell>
        </row>
        <row r="2127">
          <cell r="A2127" t="str">
            <v>3420|435002</v>
          </cell>
          <cell r="B2127" t="str">
            <v>3420</v>
          </cell>
          <cell r="C2127">
            <v>435002</v>
          </cell>
          <cell r="D2127">
            <v>41244</v>
          </cell>
          <cell r="E2127">
            <v>65361860</v>
          </cell>
          <cell r="F2127">
            <v>65361860</v>
          </cell>
          <cell r="G2127">
            <v>50924000</v>
          </cell>
          <cell r="H2127">
            <v>5446822</v>
          </cell>
          <cell r="I2127">
            <v>50924000</v>
          </cell>
        </row>
        <row r="2128">
          <cell r="A2128" t="str">
            <v>3420|435003</v>
          </cell>
          <cell r="B2128" t="str">
            <v>3420</v>
          </cell>
          <cell r="C2128">
            <v>435003</v>
          </cell>
          <cell r="D2128">
            <v>41244</v>
          </cell>
          <cell r="E2128">
            <v>61300353</v>
          </cell>
          <cell r="F2128">
            <v>61300353</v>
          </cell>
          <cell r="G2128">
            <v>56580787</v>
          </cell>
          <cell r="H2128">
            <v>5108363</v>
          </cell>
          <cell r="I2128">
            <v>0</v>
          </cell>
        </row>
        <row r="2129">
          <cell r="A2129" t="str">
            <v>3420|439003</v>
          </cell>
          <cell r="B2129" t="str">
            <v>3420</v>
          </cell>
          <cell r="C2129">
            <v>439003</v>
          </cell>
          <cell r="D2129">
            <v>41244</v>
          </cell>
          <cell r="E2129">
            <v>132166901</v>
          </cell>
          <cell r="F2129">
            <v>132166901</v>
          </cell>
          <cell r="G2129">
            <v>201684934</v>
          </cell>
          <cell r="H2129">
            <v>11013908</v>
          </cell>
          <cell r="I2129">
            <v>24889799</v>
          </cell>
        </row>
        <row r="2130">
          <cell r="A2130" t="str">
            <v>3420|439008</v>
          </cell>
          <cell r="B2130" t="str">
            <v>3420</v>
          </cell>
          <cell r="C2130">
            <v>439008</v>
          </cell>
          <cell r="D2130">
            <v>41244</v>
          </cell>
          <cell r="E2130">
            <v>180057956</v>
          </cell>
          <cell r="F2130">
            <v>180057956</v>
          </cell>
          <cell r="G2130">
            <v>178772970</v>
          </cell>
          <cell r="H2130">
            <v>15004830</v>
          </cell>
          <cell r="I2130">
            <v>0</v>
          </cell>
        </row>
        <row r="2131">
          <cell r="A2131" t="str">
            <v>3420|439202</v>
          </cell>
          <cell r="B2131" t="str">
            <v>3420</v>
          </cell>
          <cell r="C2131">
            <v>439202</v>
          </cell>
          <cell r="D2131">
            <v>41244</v>
          </cell>
          <cell r="E2131">
            <v>54000000</v>
          </cell>
          <cell r="F2131">
            <v>54000000</v>
          </cell>
          <cell r="G2131">
            <v>37385000</v>
          </cell>
          <cell r="H2131">
            <v>4500000</v>
          </cell>
          <cell r="I2131">
            <v>3750000</v>
          </cell>
        </row>
        <row r="2132">
          <cell r="A2132" t="str">
            <v>3420|439203</v>
          </cell>
          <cell r="B2132" t="str">
            <v>3420</v>
          </cell>
          <cell r="C2132">
            <v>439203</v>
          </cell>
          <cell r="D2132">
            <v>41244</v>
          </cell>
          <cell r="E2132">
            <v>12000000</v>
          </cell>
          <cell r="F2132">
            <v>12000000</v>
          </cell>
          <cell r="G2132">
            <v>15390000</v>
          </cell>
          <cell r="H2132">
            <v>1000000</v>
          </cell>
          <cell r="I2132">
            <v>1525000</v>
          </cell>
        </row>
        <row r="2133">
          <cell r="A2133" t="str">
            <v>3420|440002</v>
          </cell>
          <cell r="B2133" t="str">
            <v>3420</v>
          </cell>
          <cell r="C2133">
            <v>440002</v>
          </cell>
          <cell r="D2133">
            <v>41244</v>
          </cell>
          <cell r="E2133">
            <v>65361860</v>
          </cell>
          <cell r="F2133">
            <v>65361860</v>
          </cell>
          <cell r="G2133">
            <v>53350991</v>
          </cell>
          <cell r="H2133">
            <v>5446822</v>
          </cell>
          <cell r="I2133">
            <v>4467876</v>
          </cell>
        </row>
        <row r="2134">
          <cell r="A2134" t="str">
            <v>3420|440003</v>
          </cell>
          <cell r="B2134" t="str">
            <v>3420</v>
          </cell>
          <cell r="C2134">
            <v>440003</v>
          </cell>
          <cell r="D2134">
            <v>41244</v>
          </cell>
          <cell r="E2134">
            <v>51671107</v>
          </cell>
          <cell r="F2134">
            <v>51671107</v>
          </cell>
          <cell r="G2134">
            <v>40973486</v>
          </cell>
          <cell r="H2134">
            <v>4305926</v>
          </cell>
          <cell r="I2134">
            <v>3743452</v>
          </cell>
        </row>
        <row r="2135">
          <cell r="A2135" t="str">
            <v>3420|446002</v>
          </cell>
          <cell r="B2135" t="str">
            <v>3420</v>
          </cell>
          <cell r="C2135">
            <v>446002</v>
          </cell>
          <cell r="D2135">
            <v>41244</v>
          </cell>
          <cell r="E2135">
            <v>36795830</v>
          </cell>
          <cell r="F2135">
            <v>36795830</v>
          </cell>
          <cell r="G2135">
            <v>18820948</v>
          </cell>
          <cell r="H2135">
            <v>3066319</v>
          </cell>
          <cell r="I2135">
            <v>1200000</v>
          </cell>
        </row>
        <row r="2136">
          <cell r="A2136" t="str">
            <v>3420|447002</v>
          </cell>
          <cell r="B2136" t="str">
            <v>3420</v>
          </cell>
          <cell r="C2136">
            <v>447002</v>
          </cell>
          <cell r="D2136">
            <v>41244</v>
          </cell>
          <cell r="E2136">
            <v>22799168</v>
          </cell>
          <cell r="F2136">
            <v>22799168</v>
          </cell>
          <cell r="G2136">
            <v>3270533</v>
          </cell>
          <cell r="H2136">
            <v>1899931</v>
          </cell>
          <cell r="I2136">
            <v>274993</v>
          </cell>
        </row>
        <row r="2137">
          <cell r="A2137" t="str">
            <v>3420|447003</v>
          </cell>
          <cell r="B2137" t="str">
            <v>3420</v>
          </cell>
          <cell r="C2137">
            <v>447003</v>
          </cell>
          <cell r="D2137">
            <v>41244</v>
          </cell>
          <cell r="E2137">
            <v>3693693</v>
          </cell>
          <cell r="F2137">
            <v>3693693</v>
          </cell>
          <cell r="G2137">
            <v>2560248</v>
          </cell>
          <cell r="H2137">
            <v>307808</v>
          </cell>
          <cell r="I2137">
            <v>215248</v>
          </cell>
        </row>
        <row r="2138">
          <cell r="A2138" t="str">
            <v>3420|447012</v>
          </cell>
          <cell r="B2138" t="str">
            <v>3420</v>
          </cell>
          <cell r="C2138">
            <v>447012</v>
          </cell>
          <cell r="D2138">
            <v>41244</v>
          </cell>
          <cell r="E2138">
            <v>53730524</v>
          </cell>
          <cell r="F2138">
            <v>53730524</v>
          </cell>
          <cell r="G2138">
            <v>22408994</v>
          </cell>
          <cell r="H2138">
            <v>4477544</v>
          </cell>
          <cell r="I2138">
            <v>1884189</v>
          </cell>
        </row>
        <row r="2139">
          <cell r="A2139" t="str">
            <v>3420|447013</v>
          </cell>
          <cell r="B2139" t="str">
            <v>3420</v>
          </cell>
          <cell r="C2139">
            <v>447013</v>
          </cell>
          <cell r="D2139">
            <v>41244</v>
          </cell>
          <cell r="E2139">
            <v>17386608</v>
          </cell>
          <cell r="F2139">
            <v>17386608</v>
          </cell>
          <cell r="G2139">
            <v>17542344</v>
          </cell>
          <cell r="H2139">
            <v>1448885</v>
          </cell>
          <cell r="I2139">
            <v>1474840</v>
          </cell>
        </row>
        <row r="2140">
          <cell r="A2140" t="str">
            <v>3420|447022</v>
          </cell>
          <cell r="B2140" t="str">
            <v>3420</v>
          </cell>
          <cell r="C2140">
            <v>447022</v>
          </cell>
          <cell r="D2140">
            <v>41244</v>
          </cell>
          <cell r="E2140">
            <v>2279917</v>
          </cell>
          <cell r="F2140">
            <v>2279917</v>
          </cell>
          <cell r="G2140">
            <v>466243</v>
          </cell>
          <cell r="H2140">
            <v>189993</v>
          </cell>
          <cell r="I2140">
            <v>40700</v>
          </cell>
        </row>
        <row r="2141">
          <cell r="A2141" t="str">
            <v>3420|447023</v>
          </cell>
          <cell r="B2141" t="str">
            <v>3420</v>
          </cell>
          <cell r="C2141">
            <v>447023</v>
          </cell>
          <cell r="D2141">
            <v>41244</v>
          </cell>
          <cell r="E2141">
            <v>369369</v>
          </cell>
          <cell r="F2141">
            <v>369369</v>
          </cell>
          <cell r="G2141">
            <v>438276</v>
          </cell>
          <cell r="H2141">
            <v>30781</v>
          </cell>
          <cell r="I2141">
            <v>29550</v>
          </cell>
        </row>
        <row r="2142">
          <cell r="A2142" t="str">
            <v>3420|448002</v>
          </cell>
          <cell r="B2142" t="str">
            <v>3420</v>
          </cell>
          <cell r="C2142">
            <v>448002</v>
          </cell>
          <cell r="D2142">
            <v>41244</v>
          </cell>
          <cell r="E2142">
            <v>135458585</v>
          </cell>
          <cell r="F2142">
            <v>135458585</v>
          </cell>
          <cell r="G2142">
            <v>20986650</v>
          </cell>
          <cell r="H2142">
            <v>11288215</v>
          </cell>
          <cell r="I2142">
            <v>233700</v>
          </cell>
        </row>
        <row r="2143">
          <cell r="A2143" t="str">
            <v>3420|448003</v>
          </cell>
          <cell r="B2143" t="str">
            <v>3420</v>
          </cell>
          <cell r="C2143">
            <v>448003</v>
          </cell>
          <cell r="D2143">
            <v>41244</v>
          </cell>
          <cell r="E2143">
            <v>50374563</v>
          </cell>
          <cell r="F2143">
            <v>50374563</v>
          </cell>
          <cell r="G2143">
            <v>16006404</v>
          </cell>
          <cell r="H2143">
            <v>4197880</v>
          </cell>
          <cell r="I2143">
            <v>2350650</v>
          </cell>
        </row>
        <row r="2144">
          <cell r="A2144" t="str">
            <v>3420|449004</v>
          </cell>
          <cell r="B2144" t="str">
            <v>3420</v>
          </cell>
          <cell r="C2144">
            <v>449004</v>
          </cell>
          <cell r="D2144">
            <v>41244</v>
          </cell>
          <cell r="E2144">
            <v>7860000</v>
          </cell>
          <cell r="F2144">
            <v>7860000</v>
          </cell>
          <cell r="G2144">
            <v>7800000</v>
          </cell>
          <cell r="H2144">
            <v>655000</v>
          </cell>
          <cell r="I2144">
            <v>0</v>
          </cell>
        </row>
        <row r="2145">
          <cell r="A2145" t="str">
            <v>3420|449022</v>
          </cell>
          <cell r="B2145" t="str">
            <v>3420</v>
          </cell>
          <cell r="C2145">
            <v>449022</v>
          </cell>
          <cell r="D2145">
            <v>41244</v>
          </cell>
          <cell r="E2145">
            <v>43560000</v>
          </cell>
          <cell r="F2145">
            <v>43560000</v>
          </cell>
          <cell r="G2145">
            <v>25120000</v>
          </cell>
          <cell r="H2145">
            <v>3630000</v>
          </cell>
          <cell r="I2145">
            <v>2352000</v>
          </cell>
        </row>
        <row r="2146">
          <cell r="A2146" t="str">
            <v>3420|449023</v>
          </cell>
          <cell r="B2146" t="str">
            <v>3420</v>
          </cell>
          <cell r="C2146">
            <v>449023</v>
          </cell>
          <cell r="D2146">
            <v>41244</v>
          </cell>
          <cell r="E2146">
            <v>41370000</v>
          </cell>
          <cell r="F2146">
            <v>41370000</v>
          </cell>
          <cell r="G2146">
            <v>39515301</v>
          </cell>
          <cell r="H2146">
            <v>3447500</v>
          </cell>
          <cell r="I2146">
            <v>3352950</v>
          </cell>
        </row>
        <row r="2147">
          <cell r="A2147" t="str">
            <v>3420|449032</v>
          </cell>
          <cell r="B2147" t="str">
            <v>3420</v>
          </cell>
          <cell r="C2147">
            <v>449032</v>
          </cell>
          <cell r="D2147">
            <v>41244</v>
          </cell>
          <cell r="E2147">
            <v>22031024</v>
          </cell>
          <cell r="F2147">
            <v>22031024</v>
          </cell>
          <cell r="G2147">
            <v>16893997</v>
          </cell>
          <cell r="H2147">
            <v>1835919</v>
          </cell>
          <cell r="I2147">
            <v>0</v>
          </cell>
        </row>
        <row r="2148">
          <cell r="A2148" t="str">
            <v>3420|449040</v>
          </cell>
          <cell r="B2148" t="str">
            <v>3420</v>
          </cell>
          <cell r="C2148">
            <v>449040</v>
          </cell>
          <cell r="D2148">
            <v>41244</v>
          </cell>
          <cell r="E2148">
            <v>20600000</v>
          </cell>
          <cell r="F2148">
            <v>20600000</v>
          </cell>
          <cell r="G2148">
            <v>23343500</v>
          </cell>
          <cell r="H2148">
            <v>1716670</v>
          </cell>
          <cell r="I2148">
            <v>1930000</v>
          </cell>
        </row>
        <row r="2149">
          <cell r="A2149" t="str">
            <v>3420|449050</v>
          </cell>
          <cell r="B2149" t="str">
            <v>3420</v>
          </cell>
          <cell r="C2149">
            <v>449050</v>
          </cell>
          <cell r="D2149">
            <v>41244</v>
          </cell>
          <cell r="E2149">
            <v>22276700</v>
          </cell>
          <cell r="F2149">
            <v>22276700</v>
          </cell>
          <cell r="G2149">
            <v>29600004</v>
          </cell>
          <cell r="H2149">
            <v>1856392</v>
          </cell>
          <cell r="I2149">
            <v>2466667</v>
          </cell>
        </row>
        <row r="2150">
          <cell r="A2150" t="str">
            <v>3420|449060</v>
          </cell>
          <cell r="B2150" t="str">
            <v>3420</v>
          </cell>
          <cell r="C2150">
            <v>449060</v>
          </cell>
          <cell r="D2150">
            <v>41244</v>
          </cell>
          <cell r="E2150">
            <v>0</v>
          </cell>
          <cell r="F2150">
            <v>0</v>
          </cell>
          <cell r="G2150">
            <v>177303</v>
          </cell>
          <cell r="H2150">
            <v>0</v>
          </cell>
          <cell r="I2150">
            <v>0</v>
          </cell>
        </row>
        <row r="2151">
          <cell r="A2151" t="str">
            <v>3420|449061</v>
          </cell>
          <cell r="B2151" t="str">
            <v>3420</v>
          </cell>
          <cell r="C2151">
            <v>449061</v>
          </cell>
          <cell r="D2151">
            <v>41244</v>
          </cell>
          <cell r="E2151">
            <v>88579150</v>
          </cell>
          <cell r="F2151">
            <v>88579150</v>
          </cell>
          <cell r="G2151">
            <v>126386150</v>
          </cell>
          <cell r="H2151">
            <v>7381595</v>
          </cell>
          <cell r="I2151">
            <v>13253100</v>
          </cell>
        </row>
        <row r="2152">
          <cell r="A2152" t="str">
            <v>3420|451000</v>
          </cell>
          <cell r="B2152" t="str">
            <v>3420</v>
          </cell>
          <cell r="C2152">
            <v>451000</v>
          </cell>
          <cell r="D2152">
            <v>41244</v>
          </cell>
          <cell r="E2152">
            <v>423470</v>
          </cell>
          <cell r="F2152">
            <v>423470</v>
          </cell>
          <cell r="G2152">
            <v>334000</v>
          </cell>
          <cell r="H2152">
            <v>35289</v>
          </cell>
          <cell r="I2152">
            <v>0</v>
          </cell>
        </row>
        <row r="2153">
          <cell r="A2153" t="str">
            <v>3420|459000</v>
          </cell>
          <cell r="B2153" t="str">
            <v>3420</v>
          </cell>
          <cell r="C2153">
            <v>459000</v>
          </cell>
          <cell r="D2153">
            <v>41244</v>
          </cell>
          <cell r="E2153">
            <v>2450000</v>
          </cell>
          <cell r="F2153">
            <v>2450000</v>
          </cell>
          <cell r="G2153">
            <v>0</v>
          </cell>
          <cell r="H2153">
            <v>204167</v>
          </cell>
          <cell r="I2153">
            <v>0</v>
          </cell>
        </row>
        <row r="2154">
          <cell r="A2154" t="str">
            <v>3420|471000</v>
          </cell>
          <cell r="B2154" t="str">
            <v>3420</v>
          </cell>
          <cell r="C2154">
            <v>471000</v>
          </cell>
          <cell r="D2154">
            <v>41244</v>
          </cell>
          <cell r="E2154">
            <v>22985380</v>
          </cell>
          <cell r="F2154">
            <v>22985380</v>
          </cell>
          <cell r="G2154">
            <v>29314060</v>
          </cell>
          <cell r="H2154">
            <v>1915448</v>
          </cell>
          <cell r="I2154">
            <v>6481040</v>
          </cell>
        </row>
        <row r="2155">
          <cell r="A2155" t="str">
            <v>3420|472000</v>
          </cell>
          <cell r="B2155" t="str">
            <v>3420</v>
          </cell>
          <cell r="C2155">
            <v>472000</v>
          </cell>
          <cell r="D2155">
            <v>41244</v>
          </cell>
          <cell r="E2155">
            <v>1000000</v>
          </cell>
          <cell r="F2155">
            <v>1000000</v>
          </cell>
          <cell r="G2155">
            <v>852221</v>
          </cell>
          <cell r="H2155">
            <v>83333</v>
          </cell>
          <cell r="I2155">
            <v>0</v>
          </cell>
        </row>
        <row r="2156">
          <cell r="A2156" t="str">
            <v>3420|473000</v>
          </cell>
          <cell r="B2156" t="str">
            <v>3420</v>
          </cell>
          <cell r="C2156">
            <v>473000</v>
          </cell>
          <cell r="D2156">
            <v>41244</v>
          </cell>
          <cell r="E2156">
            <v>450000</v>
          </cell>
          <cell r="F2156">
            <v>450000</v>
          </cell>
          <cell r="G2156">
            <v>156900</v>
          </cell>
          <cell r="H2156">
            <v>37501</v>
          </cell>
          <cell r="I2156">
            <v>25000</v>
          </cell>
        </row>
        <row r="2157">
          <cell r="A2157" t="str">
            <v>3420|473120</v>
          </cell>
          <cell r="B2157" t="str">
            <v>3420</v>
          </cell>
          <cell r="C2157">
            <v>473120</v>
          </cell>
          <cell r="D2157">
            <v>41244</v>
          </cell>
          <cell r="E2157">
            <v>26243227</v>
          </cell>
          <cell r="F2157">
            <v>26243227</v>
          </cell>
          <cell r="G2157">
            <v>20838026</v>
          </cell>
          <cell r="H2157">
            <v>2186936</v>
          </cell>
          <cell r="I2157">
            <v>2507494</v>
          </cell>
        </row>
        <row r="2158">
          <cell r="A2158" t="str">
            <v>3420|474100</v>
          </cell>
          <cell r="B2158" t="str">
            <v>3420</v>
          </cell>
          <cell r="C2158">
            <v>474100</v>
          </cell>
          <cell r="D2158">
            <v>41244</v>
          </cell>
          <cell r="E2158">
            <v>61966527</v>
          </cell>
          <cell r="F2158">
            <v>61966527</v>
          </cell>
          <cell r="G2158">
            <v>74696981</v>
          </cell>
          <cell r="H2158">
            <v>5163877</v>
          </cell>
          <cell r="I2158">
            <v>49794297</v>
          </cell>
        </row>
        <row r="2159">
          <cell r="A2159" t="str">
            <v>3420|474101</v>
          </cell>
          <cell r="B2159" t="str">
            <v>3420</v>
          </cell>
          <cell r="C2159">
            <v>474101</v>
          </cell>
          <cell r="D2159">
            <v>41244</v>
          </cell>
          <cell r="E2159">
            <v>46920500</v>
          </cell>
          <cell r="F2159">
            <v>46920500</v>
          </cell>
          <cell r="G2159">
            <v>20770590</v>
          </cell>
          <cell r="H2159">
            <v>3910043</v>
          </cell>
          <cell r="I2159">
            <v>16045000</v>
          </cell>
        </row>
        <row r="2160">
          <cell r="A2160" t="str">
            <v>3420|475001</v>
          </cell>
          <cell r="B2160" t="str">
            <v>3420</v>
          </cell>
          <cell r="C2160">
            <v>475001</v>
          </cell>
          <cell r="D2160">
            <v>41244</v>
          </cell>
          <cell r="E2160">
            <v>3703000</v>
          </cell>
          <cell r="F2160">
            <v>3703000</v>
          </cell>
          <cell r="G2160">
            <v>3575000</v>
          </cell>
          <cell r="H2160">
            <v>308584</v>
          </cell>
          <cell r="I2160">
            <v>0</v>
          </cell>
        </row>
        <row r="2161">
          <cell r="A2161" t="str">
            <v>3420|475003</v>
          </cell>
          <cell r="B2161" t="str">
            <v>3420</v>
          </cell>
          <cell r="C2161">
            <v>475003</v>
          </cell>
          <cell r="D2161">
            <v>41244</v>
          </cell>
          <cell r="E2161">
            <v>6610000</v>
          </cell>
          <cell r="F2161">
            <v>6610000</v>
          </cell>
          <cell r="G2161">
            <v>203400</v>
          </cell>
          <cell r="H2161">
            <v>550833</v>
          </cell>
          <cell r="I2161">
            <v>0</v>
          </cell>
        </row>
        <row r="2162">
          <cell r="A2162" t="str">
            <v>3420|475004</v>
          </cell>
          <cell r="B2162" t="str">
            <v>3420</v>
          </cell>
          <cell r="C2162">
            <v>475004</v>
          </cell>
          <cell r="D2162">
            <v>41244</v>
          </cell>
          <cell r="E2162">
            <v>250000</v>
          </cell>
          <cell r="F2162">
            <v>250000</v>
          </cell>
          <cell r="G2162">
            <v>0</v>
          </cell>
          <cell r="H2162">
            <v>20833</v>
          </cell>
          <cell r="I2162">
            <v>0</v>
          </cell>
        </row>
        <row r="2163">
          <cell r="A2163" t="str">
            <v>3420|475006</v>
          </cell>
          <cell r="B2163" t="str">
            <v>3420</v>
          </cell>
          <cell r="C2163">
            <v>475006</v>
          </cell>
          <cell r="D2163">
            <v>41244</v>
          </cell>
          <cell r="E2163">
            <v>4951687</v>
          </cell>
          <cell r="F2163">
            <v>4951687</v>
          </cell>
          <cell r="G2163">
            <v>2546256</v>
          </cell>
          <cell r="H2163">
            <v>412641</v>
          </cell>
          <cell r="I2163">
            <v>212188</v>
          </cell>
        </row>
        <row r="2164">
          <cell r="A2164" t="str">
            <v>3420|476000</v>
          </cell>
          <cell r="B2164" t="str">
            <v>3420</v>
          </cell>
          <cell r="C2164">
            <v>476000</v>
          </cell>
          <cell r="D2164">
            <v>41244</v>
          </cell>
          <cell r="E2164">
            <v>17112381</v>
          </cell>
          <cell r="F2164">
            <v>17112381</v>
          </cell>
          <cell r="G2164">
            <v>13014800</v>
          </cell>
          <cell r="H2164">
            <v>1426032</v>
          </cell>
          <cell r="I2164">
            <v>3432375</v>
          </cell>
        </row>
        <row r="2165">
          <cell r="A2165" t="str">
            <v>3420|476001</v>
          </cell>
          <cell r="B2165" t="str">
            <v>3420</v>
          </cell>
          <cell r="C2165">
            <v>476001</v>
          </cell>
          <cell r="D2165">
            <v>41244</v>
          </cell>
          <cell r="E2165">
            <v>1050000</v>
          </cell>
          <cell r="F2165">
            <v>1050000</v>
          </cell>
          <cell r="G2165">
            <v>380000</v>
          </cell>
          <cell r="H2165">
            <v>87500</v>
          </cell>
          <cell r="I2165">
            <v>0</v>
          </cell>
        </row>
        <row r="2166">
          <cell r="A2166" t="str">
            <v>3420|476002</v>
          </cell>
          <cell r="B2166" t="str">
            <v>3420</v>
          </cell>
          <cell r="C2166">
            <v>476002</v>
          </cell>
          <cell r="D2166">
            <v>41244</v>
          </cell>
          <cell r="E2166">
            <v>1250330</v>
          </cell>
          <cell r="F2166">
            <v>1250330</v>
          </cell>
          <cell r="G2166">
            <v>0</v>
          </cell>
          <cell r="H2166">
            <v>104194</v>
          </cell>
          <cell r="I2166">
            <v>0</v>
          </cell>
        </row>
        <row r="2167">
          <cell r="A2167" t="str">
            <v>3420|476220</v>
          </cell>
          <cell r="B2167" t="str">
            <v>3420</v>
          </cell>
          <cell r="C2167">
            <v>476220</v>
          </cell>
          <cell r="D2167">
            <v>41244</v>
          </cell>
          <cell r="E2167">
            <v>0</v>
          </cell>
          <cell r="F2167">
            <v>0</v>
          </cell>
          <cell r="G2167">
            <v>123482136</v>
          </cell>
          <cell r="H2167">
            <v>0</v>
          </cell>
          <cell r="I2167">
            <v>33244604</v>
          </cell>
        </row>
        <row r="2168">
          <cell r="A2168" t="str">
            <v>3420|476900</v>
          </cell>
          <cell r="B2168" t="str">
            <v>3420</v>
          </cell>
          <cell r="C2168">
            <v>476900</v>
          </cell>
          <cell r="D2168">
            <v>41244</v>
          </cell>
          <cell r="E2168">
            <v>0</v>
          </cell>
          <cell r="F2168">
            <v>0</v>
          </cell>
          <cell r="G2168">
            <v>1697100</v>
          </cell>
          <cell r="H2168">
            <v>0</v>
          </cell>
          <cell r="I2168">
            <v>0</v>
          </cell>
        </row>
        <row r="2169">
          <cell r="A2169" t="str">
            <v>3420|477001</v>
          </cell>
          <cell r="B2169" t="str">
            <v>3420</v>
          </cell>
          <cell r="C2169">
            <v>477001</v>
          </cell>
          <cell r="D2169">
            <v>41244</v>
          </cell>
          <cell r="E2169">
            <v>1337500000</v>
          </cell>
          <cell r="F2169">
            <v>1337500000</v>
          </cell>
          <cell r="G2169">
            <v>1138117746</v>
          </cell>
          <cell r="H2169">
            <v>111458333</v>
          </cell>
          <cell r="I2169">
            <v>-60000020</v>
          </cell>
        </row>
        <row r="2170">
          <cell r="A2170" t="str">
            <v>3420|477100</v>
          </cell>
          <cell r="B2170" t="str">
            <v>3420</v>
          </cell>
          <cell r="C2170">
            <v>477100</v>
          </cell>
          <cell r="D2170">
            <v>41244</v>
          </cell>
          <cell r="E2170">
            <v>150000000</v>
          </cell>
          <cell r="F2170">
            <v>150000000</v>
          </cell>
          <cell r="G2170">
            <v>211770395</v>
          </cell>
          <cell r="H2170">
            <v>12500000</v>
          </cell>
          <cell r="I2170">
            <v>-2878708</v>
          </cell>
        </row>
        <row r="2171">
          <cell r="A2171" t="str">
            <v>3420|477310</v>
          </cell>
          <cell r="B2171" t="str">
            <v>3420</v>
          </cell>
          <cell r="C2171">
            <v>477310</v>
          </cell>
          <cell r="D2171">
            <v>41244</v>
          </cell>
          <cell r="E2171">
            <v>25000000</v>
          </cell>
          <cell r="F2171">
            <v>25000000</v>
          </cell>
          <cell r="G2171">
            <v>27745932</v>
          </cell>
          <cell r="H2171">
            <v>2083333</v>
          </cell>
          <cell r="I2171">
            <v>8386749</v>
          </cell>
        </row>
        <row r="2172">
          <cell r="A2172" t="str">
            <v>3420|477350</v>
          </cell>
          <cell r="B2172" t="str">
            <v>3420</v>
          </cell>
          <cell r="C2172">
            <v>477350</v>
          </cell>
          <cell r="D2172">
            <v>41244</v>
          </cell>
          <cell r="E2172">
            <v>0</v>
          </cell>
          <cell r="F2172">
            <v>0</v>
          </cell>
          <cell r="G2172">
            <v>-14468731</v>
          </cell>
          <cell r="H2172">
            <v>0</v>
          </cell>
          <cell r="I2172">
            <v>0</v>
          </cell>
        </row>
        <row r="2173">
          <cell r="A2173" t="str">
            <v>3420|477400</v>
          </cell>
          <cell r="B2173" t="str">
            <v>3420</v>
          </cell>
          <cell r="C2173">
            <v>477400</v>
          </cell>
          <cell r="D2173">
            <v>41244</v>
          </cell>
          <cell r="E2173">
            <v>21000000</v>
          </cell>
          <cell r="F2173">
            <v>21000000</v>
          </cell>
          <cell r="G2173">
            <v>54047858</v>
          </cell>
          <cell r="H2173">
            <v>1750000</v>
          </cell>
          <cell r="I2173">
            <v>0</v>
          </cell>
        </row>
        <row r="2174">
          <cell r="A2174" t="str">
            <v>3420|477450</v>
          </cell>
          <cell r="B2174" t="str">
            <v>3420</v>
          </cell>
          <cell r="C2174">
            <v>477450</v>
          </cell>
          <cell r="D2174">
            <v>41244</v>
          </cell>
          <cell r="E2174">
            <v>157250000</v>
          </cell>
          <cell r="F2174">
            <v>157250000</v>
          </cell>
          <cell r="G2174">
            <v>139570329</v>
          </cell>
          <cell r="H2174">
            <v>13104167</v>
          </cell>
          <cell r="I2174">
            <v>56449617</v>
          </cell>
        </row>
        <row r="2175">
          <cell r="A2175" t="str">
            <v>3420|477500</v>
          </cell>
          <cell r="B2175" t="str">
            <v>3420</v>
          </cell>
          <cell r="C2175">
            <v>477500</v>
          </cell>
          <cell r="D2175">
            <v>41244</v>
          </cell>
          <cell r="E2175">
            <v>2970000</v>
          </cell>
          <cell r="F2175">
            <v>2970000</v>
          </cell>
          <cell r="G2175">
            <v>3251000</v>
          </cell>
          <cell r="H2175">
            <v>247500</v>
          </cell>
          <cell r="I2175">
            <v>330000</v>
          </cell>
        </row>
        <row r="2176">
          <cell r="A2176" t="str">
            <v>3420|477800</v>
          </cell>
          <cell r="B2176" t="str">
            <v>3420</v>
          </cell>
          <cell r="C2176">
            <v>477800</v>
          </cell>
          <cell r="D2176">
            <v>41244</v>
          </cell>
          <cell r="E2176">
            <v>10000000</v>
          </cell>
          <cell r="F2176">
            <v>10000000</v>
          </cell>
          <cell r="G2176">
            <v>0</v>
          </cell>
          <cell r="H2176">
            <v>833333</v>
          </cell>
          <cell r="I2176">
            <v>0</v>
          </cell>
        </row>
        <row r="2177">
          <cell r="A2177" t="str">
            <v>3420|477851</v>
          </cell>
          <cell r="B2177" t="str">
            <v>3420</v>
          </cell>
          <cell r="C2177">
            <v>477851</v>
          </cell>
          <cell r="D2177">
            <v>41244</v>
          </cell>
          <cell r="E2177">
            <v>19351500</v>
          </cell>
          <cell r="F2177">
            <v>19351500</v>
          </cell>
          <cell r="G2177">
            <v>10227273</v>
          </cell>
          <cell r="H2177">
            <v>1612625</v>
          </cell>
          <cell r="I2177">
            <v>0</v>
          </cell>
        </row>
        <row r="2178">
          <cell r="A2178" t="str">
            <v>3430|211100</v>
          </cell>
          <cell r="B2178" t="str">
            <v>3430</v>
          </cell>
          <cell r="C2178">
            <v>211100</v>
          </cell>
          <cell r="D2178">
            <v>41244</v>
          </cell>
          <cell r="E2178">
            <v>1088719348</v>
          </cell>
          <cell r="F2178">
            <v>1088719348</v>
          </cell>
          <cell r="G2178">
            <v>843520931</v>
          </cell>
          <cell r="H2178">
            <v>90726612</v>
          </cell>
          <cell r="I2178">
            <v>100293955</v>
          </cell>
        </row>
        <row r="2179">
          <cell r="A2179" t="str">
            <v>3430|246000</v>
          </cell>
          <cell r="B2179" t="str">
            <v>3430</v>
          </cell>
          <cell r="C2179">
            <v>246000</v>
          </cell>
          <cell r="D2179">
            <v>41244</v>
          </cell>
          <cell r="E2179">
            <v>500000</v>
          </cell>
          <cell r="F2179">
            <v>500000</v>
          </cell>
          <cell r="G2179">
            <v>400000</v>
          </cell>
          <cell r="H2179">
            <v>41667</v>
          </cell>
          <cell r="I2179">
            <v>0</v>
          </cell>
        </row>
        <row r="2180">
          <cell r="A2180" t="str">
            <v>3430|400040</v>
          </cell>
          <cell r="B2180" t="str">
            <v>3430</v>
          </cell>
          <cell r="C2180">
            <v>400040</v>
          </cell>
          <cell r="D2180">
            <v>41244</v>
          </cell>
          <cell r="E2180">
            <v>4500000</v>
          </cell>
          <cell r="F2180">
            <v>4500000</v>
          </cell>
          <cell r="G2180">
            <v>4371853</v>
          </cell>
          <cell r="H2180">
            <v>375003</v>
          </cell>
          <cell r="I2180">
            <v>341715</v>
          </cell>
        </row>
        <row r="2181">
          <cell r="A2181" t="str">
            <v>3430|405252</v>
          </cell>
          <cell r="B2181" t="str">
            <v>3430</v>
          </cell>
          <cell r="C2181">
            <v>405252</v>
          </cell>
          <cell r="D2181">
            <v>41244</v>
          </cell>
          <cell r="E2181">
            <v>0</v>
          </cell>
          <cell r="F2181">
            <v>0</v>
          </cell>
          <cell r="G2181">
            <v>371255000</v>
          </cell>
          <cell r="H2181">
            <v>0</v>
          </cell>
          <cell r="I2181">
            <v>0</v>
          </cell>
        </row>
        <row r="2182">
          <cell r="A2182" t="str">
            <v>3430|416103</v>
          </cell>
          <cell r="B2182" t="str">
            <v>3430</v>
          </cell>
          <cell r="C2182">
            <v>416103</v>
          </cell>
          <cell r="D2182">
            <v>41244</v>
          </cell>
          <cell r="E2182">
            <v>17049995</v>
          </cell>
          <cell r="F2182">
            <v>17049995</v>
          </cell>
          <cell r="G2182">
            <v>23391200</v>
          </cell>
          <cell r="H2182">
            <v>1420833</v>
          </cell>
          <cell r="I2182">
            <v>2241603</v>
          </cell>
        </row>
        <row r="2183">
          <cell r="A2183" t="str">
            <v>3430|420001</v>
          </cell>
          <cell r="B2183" t="str">
            <v>3430</v>
          </cell>
          <cell r="C2183">
            <v>420001</v>
          </cell>
          <cell r="D2183">
            <v>41244</v>
          </cell>
          <cell r="E2183">
            <v>0</v>
          </cell>
          <cell r="F2183">
            <v>0</v>
          </cell>
          <cell r="G2183">
            <v>2973312</v>
          </cell>
          <cell r="H2183">
            <v>0</v>
          </cell>
          <cell r="I2183">
            <v>0</v>
          </cell>
        </row>
        <row r="2184">
          <cell r="A2184" t="str">
            <v>3430|420002</v>
          </cell>
          <cell r="B2184" t="str">
            <v>3430</v>
          </cell>
          <cell r="C2184">
            <v>420002</v>
          </cell>
          <cell r="D2184">
            <v>41244</v>
          </cell>
          <cell r="E2184">
            <v>855646169</v>
          </cell>
          <cell r="F2184">
            <v>855646169</v>
          </cell>
          <cell r="G2184">
            <v>874588288</v>
          </cell>
          <cell r="H2184">
            <v>71303847</v>
          </cell>
          <cell r="I2184">
            <v>74374269</v>
          </cell>
        </row>
        <row r="2185">
          <cell r="A2185" t="str">
            <v>3430|420003</v>
          </cell>
          <cell r="B2185" t="str">
            <v>3430</v>
          </cell>
          <cell r="C2185">
            <v>420003</v>
          </cell>
          <cell r="D2185">
            <v>41244</v>
          </cell>
          <cell r="E2185">
            <v>1004911977</v>
          </cell>
          <cell r="F2185">
            <v>1004911977</v>
          </cell>
          <cell r="G2185">
            <v>963491307</v>
          </cell>
          <cell r="H2185">
            <v>83742665</v>
          </cell>
          <cell r="I2185">
            <v>73545577</v>
          </cell>
        </row>
        <row r="2186">
          <cell r="A2186" t="str">
            <v>3430|422002</v>
          </cell>
          <cell r="B2186" t="str">
            <v>3430</v>
          </cell>
          <cell r="C2186">
            <v>422002</v>
          </cell>
          <cell r="D2186">
            <v>41244</v>
          </cell>
          <cell r="E2186">
            <v>1854519</v>
          </cell>
          <cell r="F2186">
            <v>1854519</v>
          </cell>
          <cell r="G2186">
            <v>1481550</v>
          </cell>
          <cell r="H2186">
            <v>154543</v>
          </cell>
          <cell r="I2186">
            <v>0</v>
          </cell>
        </row>
        <row r="2187">
          <cell r="A2187" t="str">
            <v>3430|422003</v>
          </cell>
          <cell r="B2187" t="str">
            <v>3430</v>
          </cell>
          <cell r="C2187">
            <v>422003</v>
          </cell>
          <cell r="D2187">
            <v>41244</v>
          </cell>
          <cell r="E2187">
            <v>2496921</v>
          </cell>
          <cell r="F2187">
            <v>2496921</v>
          </cell>
          <cell r="G2187">
            <v>1248600</v>
          </cell>
          <cell r="H2187">
            <v>208077</v>
          </cell>
          <cell r="I2187">
            <v>0</v>
          </cell>
        </row>
        <row r="2188">
          <cell r="A2188" t="str">
            <v>3430|431000</v>
          </cell>
          <cell r="B2188" t="str">
            <v>3430</v>
          </cell>
          <cell r="C2188">
            <v>431000</v>
          </cell>
          <cell r="D2188">
            <v>41244</v>
          </cell>
          <cell r="E2188">
            <v>5000000</v>
          </cell>
          <cell r="F2188">
            <v>5000000</v>
          </cell>
          <cell r="G2188">
            <v>136350</v>
          </cell>
          <cell r="H2188">
            <v>416667</v>
          </cell>
          <cell r="I2188">
            <v>0</v>
          </cell>
        </row>
        <row r="2189">
          <cell r="A2189" t="str">
            <v>3430|431001</v>
          </cell>
          <cell r="B2189" t="str">
            <v>3430</v>
          </cell>
          <cell r="C2189">
            <v>431001</v>
          </cell>
          <cell r="D2189">
            <v>41244</v>
          </cell>
          <cell r="E2189">
            <v>0</v>
          </cell>
          <cell r="F2189">
            <v>0</v>
          </cell>
          <cell r="G2189">
            <v>4293909</v>
          </cell>
          <cell r="H2189">
            <v>0</v>
          </cell>
          <cell r="I2189">
            <v>0</v>
          </cell>
        </row>
        <row r="2190">
          <cell r="A2190" t="str">
            <v>3430|431002</v>
          </cell>
          <cell r="B2190" t="str">
            <v>3430</v>
          </cell>
          <cell r="C2190">
            <v>431002</v>
          </cell>
          <cell r="D2190">
            <v>41244</v>
          </cell>
          <cell r="E2190">
            <v>10488500</v>
          </cell>
          <cell r="F2190">
            <v>10488500</v>
          </cell>
          <cell r="G2190">
            <v>11531189</v>
          </cell>
          <cell r="H2190">
            <v>874042</v>
          </cell>
          <cell r="I2190">
            <v>540672</v>
          </cell>
        </row>
        <row r="2191">
          <cell r="A2191" t="str">
            <v>3430|433002</v>
          </cell>
          <cell r="B2191" t="str">
            <v>3430</v>
          </cell>
          <cell r="C2191">
            <v>433002</v>
          </cell>
          <cell r="D2191">
            <v>41244</v>
          </cell>
          <cell r="E2191">
            <v>3466927</v>
          </cell>
          <cell r="F2191">
            <v>3466927</v>
          </cell>
          <cell r="G2191">
            <v>3826850</v>
          </cell>
          <cell r="H2191">
            <v>288911</v>
          </cell>
          <cell r="I2191">
            <v>322000</v>
          </cell>
        </row>
        <row r="2192">
          <cell r="A2192" t="str">
            <v>3430|433003</v>
          </cell>
          <cell r="B2192" t="str">
            <v>3430</v>
          </cell>
          <cell r="C2192">
            <v>433003</v>
          </cell>
          <cell r="D2192">
            <v>41244</v>
          </cell>
          <cell r="E2192">
            <v>41692071</v>
          </cell>
          <cell r="F2192">
            <v>41692071</v>
          </cell>
          <cell r="G2192">
            <v>35313750</v>
          </cell>
          <cell r="H2192">
            <v>3474339</v>
          </cell>
          <cell r="I2192">
            <v>2575700</v>
          </cell>
        </row>
        <row r="2193">
          <cell r="A2193" t="str">
            <v>3430|434012</v>
          </cell>
          <cell r="B2193" t="str">
            <v>3430</v>
          </cell>
          <cell r="C2193">
            <v>434012</v>
          </cell>
          <cell r="D2193">
            <v>41244</v>
          </cell>
          <cell r="E2193">
            <v>35279250</v>
          </cell>
          <cell r="F2193">
            <v>35279250</v>
          </cell>
          <cell r="G2193">
            <v>76713990</v>
          </cell>
          <cell r="H2193">
            <v>2939937</v>
          </cell>
          <cell r="I2193">
            <v>10803600</v>
          </cell>
        </row>
        <row r="2194">
          <cell r="A2194" t="str">
            <v>3430|434013</v>
          </cell>
          <cell r="B2194" t="str">
            <v>3430</v>
          </cell>
          <cell r="C2194">
            <v>434013</v>
          </cell>
          <cell r="D2194">
            <v>41244</v>
          </cell>
          <cell r="E2194">
            <v>16994250</v>
          </cell>
          <cell r="F2194">
            <v>16994250</v>
          </cell>
          <cell r="G2194">
            <v>31657861</v>
          </cell>
          <cell r="H2194">
            <v>1416187</v>
          </cell>
          <cell r="I2194">
            <v>6832981</v>
          </cell>
        </row>
        <row r="2195">
          <cell r="A2195" t="str">
            <v>3430|435002</v>
          </cell>
          <cell r="B2195" t="str">
            <v>3430</v>
          </cell>
          <cell r="C2195">
            <v>435002</v>
          </cell>
          <cell r="D2195">
            <v>41244</v>
          </cell>
          <cell r="E2195">
            <v>71303847</v>
          </cell>
          <cell r="F2195">
            <v>71303847</v>
          </cell>
          <cell r="G2195">
            <v>59786167</v>
          </cell>
          <cell r="H2195">
            <v>5941987</v>
          </cell>
          <cell r="I2195">
            <v>56125500</v>
          </cell>
        </row>
        <row r="2196">
          <cell r="A2196" t="str">
            <v>3430|435003</v>
          </cell>
          <cell r="B2196" t="str">
            <v>3430</v>
          </cell>
          <cell r="C2196">
            <v>435003</v>
          </cell>
          <cell r="D2196">
            <v>41244</v>
          </cell>
          <cell r="E2196">
            <v>127474917</v>
          </cell>
          <cell r="F2196">
            <v>127474917</v>
          </cell>
          <cell r="G2196">
            <v>132015417</v>
          </cell>
          <cell r="H2196">
            <v>10622910</v>
          </cell>
          <cell r="I2196">
            <v>0</v>
          </cell>
        </row>
        <row r="2197">
          <cell r="A2197" t="str">
            <v>3430|439003</v>
          </cell>
          <cell r="B2197" t="str">
            <v>3430</v>
          </cell>
          <cell r="C2197">
            <v>439003</v>
          </cell>
          <cell r="D2197">
            <v>41244</v>
          </cell>
          <cell r="E2197">
            <v>264333803</v>
          </cell>
          <cell r="F2197">
            <v>264333803</v>
          </cell>
          <cell r="G2197">
            <v>373388536</v>
          </cell>
          <cell r="H2197">
            <v>22027817</v>
          </cell>
          <cell r="I2197">
            <v>41482999</v>
          </cell>
        </row>
        <row r="2198">
          <cell r="A2198" t="str">
            <v>3430|439008</v>
          </cell>
          <cell r="B2198" t="str">
            <v>3430</v>
          </cell>
          <cell r="C2198">
            <v>439008</v>
          </cell>
          <cell r="D2198">
            <v>41244</v>
          </cell>
          <cell r="E2198">
            <v>196426861</v>
          </cell>
          <cell r="F2198">
            <v>196426861</v>
          </cell>
          <cell r="G2198">
            <v>238982724</v>
          </cell>
          <cell r="H2198">
            <v>16368905</v>
          </cell>
          <cell r="I2198">
            <v>0</v>
          </cell>
        </row>
        <row r="2199">
          <cell r="A2199" t="str">
            <v>3430|439103</v>
          </cell>
          <cell r="B2199" t="str">
            <v>3430</v>
          </cell>
          <cell r="C2199">
            <v>439103</v>
          </cell>
          <cell r="D2199">
            <v>41244</v>
          </cell>
          <cell r="E2199">
            <v>0</v>
          </cell>
          <cell r="F2199">
            <v>0</v>
          </cell>
          <cell r="G2199">
            <v>1000000</v>
          </cell>
          <cell r="H2199">
            <v>0</v>
          </cell>
          <cell r="I2199">
            <v>0</v>
          </cell>
        </row>
        <row r="2200">
          <cell r="A2200" t="str">
            <v>3430|439202</v>
          </cell>
          <cell r="B2200" t="str">
            <v>3430</v>
          </cell>
          <cell r="C2200">
            <v>439202</v>
          </cell>
          <cell r="D2200">
            <v>41244</v>
          </cell>
          <cell r="E2200">
            <v>72000000</v>
          </cell>
          <cell r="F2200">
            <v>72000000</v>
          </cell>
          <cell r="G2200">
            <v>57255000</v>
          </cell>
          <cell r="H2200">
            <v>6000000</v>
          </cell>
          <cell r="I2200">
            <v>6025000</v>
          </cell>
        </row>
        <row r="2201">
          <cell r="A2201" t="str">
            <v>3430|439203</v>
          </cell>
          <cell r="B2201" t="str">
            <v>3430</v>
          </cell>
          <cell r="C2201">
            <v>439203</v>
          </cell>
          <cell r="D2201">
            <v>41244</v>
          </cell>
          <cell r="E2201">
            <v>36000000</v>
          </cell>
          <cell r="F2201">
            <v>36000000</v>
          </cell>
          <cell r="G2201">
            <v>22370000</v>
          </cell>
          <cell r="H2201">
            <v>3000000</v>
          </cell>
          <cell r="I2201">
            <v>1975000</v>
          </cell>
        </row>
        <row r="2202">
          <cell r="A2202" t="str">
            <v>3430|440002</v>
          </cell>
          <cell r="B2202" t="str">
            <v>3430</v>
          </cell>
          <cell r="C2202">
            <v>440002</v>
          </cell>
          <cell r="D2202">
            <v>41244</v>
          </cell>
          <cell r="E2202">
            <v>71303847</v>
          </cell>
          <cell r="F2202">
            <v>71303847</v>
          </cell>
          <cell r="G2202">
            <v>79043665</v>
          </cell>
          <cell r="H2202">
            <v>5941987</v>
          </cell>
          <cell r="I2202">
            <v>6143330</v>
          </cell>
        </row>
        <row r="2203">
          <cell r="A2203" t="str">
            <v>3430|440003</v>
          </cell>
          <cell r="B2203" t="str">
            <v>3430</v>
          </cell>
          <cell r="C2203">
            <v>440003</v>
          </cell>
          <cell r="D2203">
            <v>41244</v>
          </cell>
          <cell r="E2203">
            <v>111993792</v>
          </cell>
          <cell r="F2203">
            <v>111993792</v>
          </cell>
          <cell r="G2203">
            <v>70464056</v>
          </cell>
          <cell r="H2203">
            <v>9332816</v>
          </cell>
          <cell r="I2203">
            <v>6794882</v>
          </cell>
        </row>
        <row r="2204">
          <cell r="A2204" t="str">
            <v>3430|446002</v>
          </cell>
          <cell r="B2204" t="str">
            <v>3430</v>
          </cell>
          <cell r="C2204">
            <v>446002</v>
          </cell>
          <cell r="D2204">
            <v>41244</v>
          </cell>
          <cell r="E2204">
            <v>43881724</v>
          </cell>
          <cell r="F2204">
            <v>43881724</v>
          </cell>
          <cell r="G2204">
            <v>17016502</v>
          </cell>
          <cell r="H2204">
            <v>3656810</v>
          </cell>
          <cell r="I2204">
            <v>850000</v>
          </cell>
        </row>
        <row r="2205">
          <cell r="A2205" t="str">
            <v>3430|447002</v>
          </cell>
          <cell r="B2205" t="str">
            <v>3430</v>
          </cell>
          <cell r="C2205">
            <v>447002</v>
          </cell>
          <cell r="D2205">
            <v>41244</v>
          </cell>
          <cell r="E2205">
            <v>24871820</v>
          </cell>
          <cell r="F2205">
            <v>24871820</v>
          </cell>
          <cell r="G2205">
            <v>5589056</v>
          </cell>
          <cell r="H2205">
            <v>2072652</v>
          </cell>
          <cell r="I2205">
            <v>473291</v>
          </cell>
        </row>
        <row r="2206">
          <cell r="A2206" t="str">
            <v>3430|447003</v>
          </cell>
          <cell r="B2206" t="str">
            <v>3430</v>
          </cell>
          <cell r="C2206">
            <v>447003</v>
          </cell>
          <cell r="D2206">
            <v>41244</v>
          </cell>
          <cell r="E2206">
            <v>7773750</v>
          </cell>
          <cell r="F2206">
            <v>7773750</v>
          </cell>
          <cell r="G2206">
            <v>4375751</v>
          </cell>
          <cell r="H2206">
            <v>647812</v>
          </cell>
          <cell r="I2206">
            <v>325414</v>
          </cell>
        </row>
        <row r="2207">
          <cell r="A2207" t="str">
            <v>3430|447012</v>
          </cell>
          <cell r="B2207" t="str">
            <v>3430</v>
          </cell>
          <cell r="C2207">
            <v>447012</v>
          </cell>
          <cell r="D2207">
            <v>41244</v>
          </cell>
          <cell r="E2207">
            <v>58615117</v>
          </cell>
          <cell r="F2207">
            <v>58615117</v>
          </cell>
          <cell r="G2207">
            <v>31975772</v>
          </cell>
          <cell r="H2207">
            <v>4884593</v>
          </cell>
          <cell r="I2207">
            <v>2844896</v>
          </cell>
        </row>
        <row r="2208">
          <cell r="A2208" t="str">
            <v>3430|447013</v>
          </cell>
          <cell r="B2208" t="str">
            <v>3430</v>
          </cell>
          <cell r="C2208">
            <v>447013</v>
          </cell>
          <cell r="D2208">
            <v>41244</v>
          </cell>
          <cell r="E2208">
            <v>33207664</v>
          </cell>
          <cell r="F2208">
            <v>33207664</v>
          </cell>
          <cell r="G2208">
            <v>29981894</v>
          </cell>
          <cell r="H2208">
            <v>2767305</v>
          </cell>
          <cell r="I2208">
            <v>2229677</v>
          </cell>
        </row>
        <row r="2209">
          <cell r="A2209" t="str">
            <v>3430|447022</v>
          </cell>
          <cell r="B2209" t="str">
            <v>3430</v>
          </cell>
          <cell r="C2209">
            <v>447022</v>
          </cell>
          <cell r="D2209">
            <v>41244</v>
          </cell>
          <cell r="E2209">
            <v>2487182</v>
          </cell>
          <cell r="F2209">
            <v>2487182</v>
          </cell>
          <cell r="G2209">
            <v>714770</v>
          </cell>
          <cell r="H2209">
            <v>207265</v>
          </cell>
          <cell r="I2209">
            <v>49100</v>
          </cell>
        </row>
        <row r="2210">
          <cell r="A2210" t="str">
            <v>3430|447023</v>
          </cell>
          <cell r="B2210" t="str">
            <v>3430</v>
          </cell>
          <cell r="C2210">
            <v>447023</v>
          </cell>
          <cell r="D2210">
            <v>41244</v>
          </cell>
          <cell r="E2210">
            <v>777375</v>
          </cell>
          <cell r="F2210">
            <v>777375</v>
          </cell>
          <cell r="G2210">
            <v>995971</v>
          </cell>
          <cell r="H2210">
            <v>64781</v>
          </cell>
          <cell r="I2210">
            <v>70600</v>
          </cell>
        </row>
        <row r="2211">
          <cell r="A2211" t="str">
            <v>3430|448002</v>
          </cell>
          <cell r="B2211" t="str">
            <v>3430</v>
          </cell>
          <cell r="C2211">
            <v>448002</v>
          </cell>
          <cell r="D2211">
            <v>41244</v>
          </cell>
          <cell r="E2211">
            <v>147773001</v>
          </cell>
          <cell r="F2211">
            <v>147773001</v>
          </cell>
          <cell r="G2211">
            <v>35823579</v>
          </cell>
          <cell r="H2211">
            <v>12314417</v>
          </cell>
          <cell r="I2211">
            <v>2135400</v>
          </cell>
        </row>
        <row r="2212">
          <cell r="A2212" t="str">
            <v>3430|448003</v>
          </cell>
          <cell r="B2212" t="str">
            <v>3430</v>
          </cell>
          <cell r="C2212">
            <v>448003</v>
          </cell>
          <cell r="D2212">
            <v>41244</v>
          </cell>
          <cell r="E2212">
            <v>103926123</v>
          </cell>
          <cell r="F2212">
            <v>103926123</v>
          </cell>
          <cell r="G2212">
            <v>29455412</v>
          </cell>
          <cell r="H2212">
            <v>8660510</v>
          </cell>
          <cell r="I2212">
            <v>0</v>
          </cell>
        </row>
        <row r="2213">
          <cell r="A2213" t="str">
            <v>3430|449004</v>
          </cell>
          <cell r="B2213" t="str">
            <v>3430</v>
          </cell>
          <cell r="C2213">
            <v>449004</v>
          </cell>
          <cell r="D2213">
            <v>41244</v>
          </cell>
          <cell r="E2213">
            <v>18700000</v>
          </cell>
          <cell r="F2213">
            <v>18700000</v>
          </cell>
          <cell r="G2213">
            <v>16275000</v>
          </cell>
          <cell r="H2213">
            <v>1558334</v>
          </cell>
          <cell r="I2213">
            <v>4875000</v>
          </cell>
        </row>
        <row r="2214">
          <cell r="A2214" t="str">
            <v>3430|449022</v>
          </cell>
          <cell r="B2214" t="str">
            <v>3430</v>
          </cell>
          <cell r="C2214">
            <v>449022</v>
          </cell>
          <cell r="D2214">
            <v>41244</v>
          </cell>
          <cell r="E2214">
            <v>47520000</v>
          </cell>
          <cell r="F2214">
            <v>47520000</v>
          </cell>
          <cell r="G2214">
            <v>43761000</v>
          </cell>
          <cell r="H2214">
            <v>3960000</v>
          </cell>
          <cell r="I2214">
            <v>4254500</v>
          </cell>
        </row>
        <row r="2215">
          <cell r="A2215" t="str">
            <v>3430|449023</v>
          </cell>
          <cell r="B2215" t="str">
            <v>3430</v>
          </cell>
          <cell r="C2215">
            <v>449023</v>
          </cell>
          <cell r="D2215">
            <v>41244</v>
          </cell>
          <cell r="E2215">
            <v>19800000</v>
          </cell>
          <cell r="F2215">
            <v>19800000</v>
          </cell>
          <cell r="G2215">
            <v>13861000</v>
          </cell>
          <cell r="H2215">
            <v>1650000</v>
          </cell>
          <cell r="I2215">
            <v>1062500</v>
          </cell>
        </row>
        <row r="2216">
          <cell r="A2216" t="str">
            <v>3430|449032</v>
          </cell>
          <cell r="B2216" t="str">
            <v>3430</v>
          </cell>
          <cell r="C2216">
            <v>449032</v>
          </cell>
          <cell r="D2216">
            <v>41244</v>
          </cell>
          <cell r="E2216">
            <v>39169200</v>
          </cell>
          <cell r="F2216">
            <v>39169200</v>
          </cell>
          <cell r="G2216">
            <v>38269871</v>
          </cell>
          <cell r="H2216">
            <v>3264099</v>
          </cell>
          <cell r="I2216">
            <v>0</v>
          </cell>
        </row>
        <row r="2217">
          <cell r="A2217" t="str">
            <v>3430|449034</v>
          </cell>
          <cell r="B2217" t="str">
            <v>3430</v>
          </cell>
          <cell r="C2217">
            <v>449034</v>
          </cell>
          <cell r="D2217">
            <v>41244</v>
          </cell>
          <cell r="E2217">
            <v>0</v>
          </cell>
          <cell r="F2217">
            <v>0</v>
          </cell>
          <cell r="G2217">
            <v>38093129</v>
          </cell>
          <cell r="H2217">
            <v>0</v>
          </cell>
          <cell r="I2217">
            <v>0</v>
          </cell>
        </row>
        <row r="2218">
          <cell r="A2218" t="str">
            <v>3430|449040</v>
          </cell>
          <cell r="B2218" t="str">
            <v>3430</v>
          </cell>
          <cell r="C2218">
            <v>449040</v>
          </cell>
          <cell r="D2218">
            <v>41244</v>
          </cell>
          <cell r="E2218">
            <v>13972000</v>
          </cell>
          <cell r="F2218">
            <v>13972000</v>
          </cell>
          <cell r="G2218">
            <v>12172000</v>
          </cell>
          <cell r="H2218">
            <v>1164334</v>
          </cell>
          <cell r="I2218">
            <v>3515000</v>
          </cell>
        </row>
        <row r="2219">
          <cell r="A2219" t="str">
            <v>3430|449061</v>
          </cell>
          <cell r="B2219" t="str">
            <v>3430</v>
          </cell>
          <cell r="C2219">
            <v>449061</v>
          </cell>
          <cell r="D2219">
            <v>41244</v>
          </cell>
          <cell r="E2219">
            <v>34213100</v>
          </cell>
          <cell r="F2219">
            <v>34213100</v>
          </cell>
          <cell r="G2219">
            <v>58343900</v>
          </cell>
          <cell r="H2219">
            <v>2851092</v>
          </cell>
          <cell r="I2219">
            <v>3080500</v>
          </cell>
        </row>
        <row r="2220">
          <cell r="A2220" t="str">
            <v>3430|451000</v>
          </cell>
          <cell r="B2220" t="str">
            <v>3430</v>
          </cell>
          <cell r="C2220">
            <v>451000</v>
          </cell>
          <cell r="D2220">
            <v>41244</v>
          </cell>
          <cell r="E2220">
            <v>25479430</v>
          </cell>
          <cell r="F2220">
            <v>25479430</v>
          </cell>
          <cell r="G2220">
            <v>14925000</v>
          </cell>
          <cell r="H2220">
            <v>2123286</v>
          </cell>
          <cell r="I2220">
            <v>0</v>
          </cell>
        </row>
        <row r="2221">
          <cell r="A2221" t="str">
            <v>3430|452000</v>
          </cell>
          <cell r="B2221" t="str">
            <v>3430</v>
          </cell>
          <cell r="C2221">
            <v>452000</v>
          </cell>
          <cell r="D2221">
            <v>41244</v>
          </cell>
          <cell r="E2221">
            <v>9500000</v>
          </cell>
          <cell r="F2221">
            <v>9500000</v>
          </cell>
          <cell r="G2221">
            <v>3916536</v>
          </cell>
          <cell r="H2221">
            <v>791667</v>
          </cell>
          <cell r="I2221">
            <v>0</v>
          </cell>
        </row>
        <row r="2222">
          <cell r="A2222" t="str">
            <v>3430|455000</v>
          </cell>
          <cell r="B2222" t="str">
            <v>3430</v>
          </cell>
          <cell r="C2222">
            <v>455000</v>
          </cell>
          <cell r="D2222">
            <v>41244</v>
          </cell>
          <cell r="E2222">
            <v>0</v>
          </cell>
          <cell r="F2222">
            <v>0</v>
          </cell>
          <cell r="G2222">
            <v>1000000</v>
          </cell>
          <cell r="H2222">
            <v>0</v>
          </cell>
          <cell r="I2222">
            <v>0</v>
          </cell>
        </row>
        <row r="2223">
          <cell r="A2223" t="str">
            <v>3430|455001</v>
          </cell>
          <cell r="B2223" t="str">
            <v>3430</v>
          </cell>
          <cell r="C2223">
            <v>455001</v>
          </cell>
          <cell r="D2223">
            <v>41244</v>
          </cell>
          <cell r="E2223">
            <v>3000000</v>
          </cell>
          <cell r="F2223">
            <v>3000000</v>
          </cell>
          <cell r="G2223">
            <v>0</v>
          </cell>
          <cell r="H2223">
            <v>250000</v>
          </cell>
          <cell r="I2223">
            <v>0</v>
          </cell>
        </row>
        <row r="2224">
          <cell r="A2224" t="str">
            <v>3430|455002</v>
          </cell>
          <cell r="B2224" t="str">
            <v>3430</v>
          </cell>
          <cell r="C2224">
            <v>455002</v>
          </cell>
          <cell r="D2224">
            <v>41244</v>
          </cell>
          <cell r="E2224">
            <v>0</v>
          </cell>
          <cell r="F2224">
            <v>0</v>
          </cell>
          <cell r="G2224">
            <v>1068750</v>
          </cell>
          <cell r="H2224">
            <v>0</v>
          </cell>
          <cell r="I2224">
            <v>0</v>
          </cell>
        </row>
        <row r="2225">
          <cell r="A2225" t="str">
            <v>3430|459000</v>
          </cell>
          <cell r="B2225" t="str">
            <v>3430</v>
          </cell>
          <cell r="C2225">
            <v>459000</v>
          </cell>
          <cell r="D2225">
            <v>41244</v>
          </cell>
          <cell r="E2225">
            <v>10850000</v>
          </cell>
          <cell r="F2225">
            <v>10850000</v>
          </cell>
          <cell r="G2225">
            <v>7832850</v>
          </cell>
          <cell r="H2225">
            <v>904167</v>
          </cell>
          <cell r="I2225">
            <v>0</v>
          </cell>
        </row>
        <row r="2226">
          <cell r="A2226" t="str">
            <v>3430|459005</v>
          </cell>
          <cell r="B2226" t="str">
            <v>3430</v>
          </cell>
          <cell r="C2226">
            <v>459005</v>
          </cell>
          <cell r="D2226">
            <v>41244</v>
          </cell>
          <cell r="E2226">
            <v>1</v>
          </cell>
          <cell r="F2226">
            <v>1</v>
          </cell>
          <cell r="G2226">
            <v>0</v>
          </cell>
          <cell r="H2226">
            <v>0</v>
          </cell>
          <cell r="I2226">
            <v>0</v>
          </cell>
        </row>
        <row r="2227">
          <cell r="A2227" t="str">
            <v>3430|470102</v>
          </cell>
          <cell r="B2227" t="str">
            <v>3430</v>
          </cell>
          <cell r="C2227">
            <v>470102</v>
          </cell>
          <cell r="D2227">
            <v>41244</v>
          </cell>
          <cell r="E2227">
            <v>0</v>
          </cell>
          <cell r="F2227">
            <v>0</v>
          </cell>
          <cell r="G2227">
            <v>939000</v>
          </cell>
          <cell r="H2227">
            <v>0</v>
          </cell>
          <cell r="I2227">
            <v>0</v>
          </cell>
        </row>
        <row r="2228">
          <cell r="A2228" t="str">
            <v>3430|471000</v>
          </cell>
          <cell r="B2228" t="str">
            <v>3430</v>
          </cell>
          <cell r="C2228">
            <v>471000</v>
          </cell>
          <cell r="D2228">
            <v>41244</v>
          </cell>
          <cell r="E2228">
            <v>40487300</v>
          </cell>
          <cell r="F2228">
            <v>40487300</v>
          </cell>
          <cell r="G2228">
            <v>57295040</v>
          </cell>
          <cell r="H2228">
            <v>3373942</v>
          </cell>
          <cell r="I2228">
            <v>10438150</v>
          </cell>
        </row>
        <row r="2229">
          <cell r="A2229" t="str">
            <v>3430|472000</v>
          </cell>
          <cell r="B2229" t="str">
            <v>3430</v>
          </cell>
          <cell r="C2229">
            <v>472000</v>
          </cell>
          <cell r="D2229">
            <v>41244</v>
          </cell>
          <cell r="E2229">
            <v>5000000</v>
          </cell>
          <cell r="F2229">
            <v>5000000</v>
          </cell>
          <cell r="G2229">
            <v>1576056</v>
          </cell>
          <cell r="H2229">
            <v>416667</v>
          </cell>
          <cell r="I2229">
            <v>740000</v>
          </cell>
        </row>
        <row r="2230">
          <cell r="A2230" t="str">
            <v>3430|473000</v>
          </cell>
          <cell r="B2230" t="str">
            <v>3430</v>
          </cell>
          <cell r="C2230">
            <v>473000</v>
          </cell>
          <cell r="D2230">
            <v>41244</v>
          </cell>
          <cell r="E2230">
            <v>3600000</v>
          </cell>
          <cell r="F2230">
            <v>3600000</v>
          </cell>
          <cell r="G2230">
            <v>2933520</v>
          </cell>
          <cell r="H2230">
            <v>299997</v>
          </cell>
          <cell r="I2230">
            <v>6000</v>
          </cell>
        </row>
        <row r="2231">
          <cell r="A2231" t="str">
            <v>3430|473120</v>
          </cell>
          <cell r="B2231" t="str">
            <v>3430</v>
          </cell>
          <cell r="C2231">
            <v>473120</v>
          </cell>
          <cell r="D2231">
            <v>41244</v>
          </cell>
          <cell r="E2231">
            <v>12733996</v>
          </cell>
          <cell r="F2231">
            <v>12733996</v>
          </cell>
          <cell r="G2231">
            <v>14908448</v>
          </cell>
          <cell r="H2231">
            <v>1061166</v>
          </cell>
          <cell r="I2231">
            <v>1771084</v>
          </cell>
        </row>
        <row r="2232">
          <cell r="A2232" t="str">
            <v>3430|474100</v>
          </cell>
          <cell r="B2232" t="str">
            <v>3430</v>
          </cell>
          <cell r="C2232">
            <v>474100</v>
          </cell>
          <cell r="D2232">
            <v>41244</v>
          </cell>
          <cell r="E2232">
            <v>259970100</v>
          </cell>
          <cell r="F2232">
            <v>259970100</v>
          </cell>
          <cell r="G2232">
            <v>270280879</v>
          </cell>
          <cell r="H2232">
            <v>21664174</v>
          </cell>
          <cell r="I2232">
            <v>7693370</v>
          </cell>
        </row>
        <row r="2233">
          <cell r="A2233" t="str">
            <v>3430|474101</v>
          </cell>
          <cell r="B2233" t="str">
            <v>3430</v>
          </cell>
          <cell r="C2233">
            <v>474101</v>
          </cell>
          <cell r="D2233">
            <v>41244</v>
          </cell>
          <cell r="E2233">
            <v>34972500</v>
          </cell>
          <cell r="F2233">
            <v>34972500</v>
          </cell>
          <cell r="G2233">
            <v>39011282</v>
          </cell>
          <cell r="H2233">
            <v>2914375</v>
          </cell>
          <cell r="I2233">
            <v>6560000</v>
          </cell>
        </row>
        <row r="2234">
          <cell r="A2234" t="str">
            <v>3430|475000</v>
          </cell>
          <cell r="B2234" t="str">
            <v>3430</v>
          </cell>
          <cell r="C2234">
            <v>475000</v>
          </cell>
          <cell r="D2234">
            <v>41244</v>
          </cell>
          <cell r="E2234">
            <v>23133300</v>
          </cell>
          <cell r="F2234">
            <v>23133300</v>
          </cell>
          <cell r="G2234">
            <v>104969061</v>
          </cell>
          <cell r="H2234">
            <v>1927775</v>
          </cell>
          <cell r="I2234">
            <v>0</v>
          </cell>
        </row>
        <row r="2235">
          <cell r="A2235" t="str">
            <v>3430|475001</v>
          </cell>
          <cell r="B2235" t="str">
            <v>3430</v>
          </cell>
          <cell r="C2235">
            <v>475001</v>
          </cell>
          <cell r="D2235">
            <v>41244</v>
          </cell>
          <cell r="E2235">
            <v>27960300</v>
          </cell>
          <cell r="F2235">
            <v>27960300</v>
          </cell>
          <cell r="G2235">
            <v>25461900</v>
          </cell>
          <cell r="H2235">
            <v>2330026</v>
          </cell>
          <cell r="I2235">
            <v>0</v>
          </cell>
        </row>
        <row r="2236">
          <cell r="A2236" t="str">
            <v>3430|475002</v>
          </cell>
          <cell r="B2236" t="str">
            <v>3430</v>
          </cell>
          <cell r="C2236">
            <v>475002</v>
          </cell>
          <cell r="D2236">
            <v>41244</v>
          </cell>
          <cell r="E2236">
            <v>727987</v>
          </cell>
          <cell r="F2236">
            <v>727987</v>
          </cell>
          <cell r="G2236">
            <v>761256</v>
          </cell>
          <cell r="H2236">
            <v>60666</v>
          </cell>
          <cell r="I2236">
            <v>63438</v>
          </cell>
        </row>
        <row r="2237">
          <cell r="A2237" t="str">
            <v>3430|475003</v>
          </cell>
          <cell r="B2237" t="str">
            <v>3430</v>
          </cell>
          <cell r="C2237">
            <v>475003</v>
          </cell>
          <cell r="D2237">
            <v>41244</v>
          </cell>
          <cell r="E2237">
            <v>3884000</v>
          </cell>
          <cell r="F2237">
            <v>3884000</v>
          </cell>
          <cell r="G2237">
            <v>2450000</v>
          </cell>
          <cell r="H2237">
            <v>323667</v>
          </cell>
          <cell r="I2237">
            <v>0</v>
          </cell>
        </row>
        <row r="2238">
          <cell r="A2238" t="str">
            <v>3430|475004</v>
          </cell>
          <cell r="B2238" t="str">
            <v>3430</v>
          </cell>
          <cell r="C2238">
            <v>475004</v>
          </cell>
          <cell r="D2238">
            <v>41244</v>
          </cell>
          <cell r="E2238">
            <v>19037679</v>
          </cell>
          <cell r="F2238">
            <v>19037679</v>
          </cell>
          <cell r="G2238">
            <v>20221471</v>
          </cell>
          <cell r="H2238">
            <v>1586473</v>
          </cell>
          <cell r="I2238">
            <v>1084000</v>
          </cell>
        </row>
        <row r="2239">
          <cell r="A2239" t="str">
            <v>3430|475006</v>
          </cell>
          <cell r="B2239" t="str">
            <v>3430</v>
          </cell>
          <cell r="C2239">
            <v>475006</v>
          </cell>
          <cell r="D2239">
            <v>41244</v>
          </cell>
          <cell r="E2239">
            <v>9154000</v>
          </cell>
          <cell r="F2239">
            <v>9154000</v>
          </cell>
          <cell r="G2239">
            <v>11595907</v>
          </cell>
          <cell r="H2239">
            <v>762833</v>
          </cell>
          <cell r="I2239">
            <v>933716</v>
          </cell>
        </row>
        <row r="2240">
          <cell r="A2240" t="str">
            <v>3430|476000</v>
          </cell>
          <cell r="B2240" t="str">
            <v>3430</v>
          </cell>
          <cell r="C2240">
            <v>476000</v>
          </cell>
          <cell r="D2240">
            <v>41244</v>
          </cell>
          <cell r="E2240">
            <v>95387700</v>
          </cell>
          <cell r="F2240">
            <v>95387700</v>
          </cell>
          <cell r="G2240">
            <v>84118824</v>
          </cell>
          <cell r="H2240">
            <v>7948975</v>
          </cell>
          <cell r="I2240">
            <v>0</v>
          </cell>
        </row>
        <row r="2241">
          <cell r="A2241" t="str">
            <v>3430|476001</v>
          </cell>
          <cell r="B2241" t="str">
            <v>3430</v>
          </cell>
          <cell r="C2241">
            <v>476001</v>
          </cell>
          <cell r="D2241">
            <v>41244</v>
          </cell>
          <cell r="E2241">
            <v>1862800</v>
          </cell>
          <cell r="F2241">
            <v>1862800</v>
          </cell>
          <cell r="G2241">
            <v>210140</v>
          </cell>
          <cell r="H2241">
            <v>155234</v>
          </cell>
          <cell r="I2241">
            <v>0</v>
          </cell>
        </row>
        <row r="2242">
          <cell r="A2242" t="str">
            <v>3430|476002</v>
          </cell>
          <cell r="B2242" t="str">
            <v>3430</v>
          </cell>
          <cell r="C2242">
            <v>476002</v>
          </cell>
          <cell r="D2242">
            <v>41244</v>
          </cell>
          <cell r="E2242">
            <v>2662300</v>
          </cell>
          <cell r="F2242">
            <v>2662300</v>
          </cell>
          <cell r="G2242">
            <v>1424000</v>
          </cell>
          <cell r="H2242">
            <v>221859</v>
          </cell>
          <cell r="I2242">
            <v>115000</v>
          </cell>
        </row>
        <row r="2243">
          <cell r="A2243" t="str">
            <v>3430|476201</v>
          </cell>
          <cell r="B2243" t="str">
            <v>3430</v>
          </cell>
          <cell r="C2243">
            <v>476201</v>
          </cell>
          <cell r="D2243">
            <v>41244</v>
          </cell>
          <cell r="E2243">
            <v>700000</v>
          </cell>
          <cell r="F2243">
            <v>700000</v>
          </cell>
          <cell r="G2243">
            <v>-140000</v>
          </cell>
          <cell r="H2243">
            <v>58333</v>
          </cell>
          <cell r="I2243">
            <v>0</v>
          </cell>
        </row>
        <row r="2244">
          <cell r="A2244" t="str">
            <v>3430|476220</v>
          </cell>
          <cell r="B2244" t="str">
            <v>3430</v>
          </cell>
          <cell r="C2244">
            <v>476220</v>
          </cell>
          <cell r="D2244">
            <v>41244</v>
          </cell>
          <cell r="E2244">
            <v>39205437</v>
          </cell>
          <cell r="F2244">
            <v>39205437</v>
          </cell>
          <cell r="G2244">
            <v>53176324</v>
          </cell>
          <cell r="H2244">
            <v>3267120</v>
          </cell>
          <cell r="I2244">
            <v>7370214</v>
          </cell>
        </row>
        <row r="2245">
          <cell r="A2245" t="str">
            <v>3430|476900</v>
          </cell>
          <cell r="B2245" t="str">
            <v>3430</v>
          </cell>
          <cell r="C2245">
            <v>476900</v>
          </cell>
          <cell r="D2245">
            <v>41244</v>
          </cell>
          <cell r="E2245">
            <v>0</v>
          </cell>
          <cell r="F2245">
            <v>0</v>
          </cell>
          <cell r="G2245">
            <v>3147165</v>
          </cell>
          <cell r="H2245">
            <v>0</v>
          </cell>
          <cell r="I2245">
            <v>0</v>
          </cell>
        </row>
        <row r="2246">
          <cell r="A2246" t="str">
            <v>3430|477310</v>
          </cell>
          <cell r="B2246" t="str">
            <v>3430</v>
          </cell>
          <cell r="C2246">
            <v>477310</v>
          </cell>
          <cell r="D2246">
            <v>41244</v>
          </cell>
          <cell r="E2246">
            <v>0</v>
          </cell>
          <cell r="F2246">
            <v>0</v>
          </cell>
          <cell r="G2246">
            <v>12970828</v>
          </cell>
          <cell r="H2246">
            <v>0</v>
          </cell>
          <cell r="I2246">
            <v>8386875</v>
          </cell>
        </row>
        <row r="2247">
          <cell r="A2247" t="str">
            <v>3430|477450</v>
          </cell>
          <cell r="B2247" t="str">
            <v>3430</v>
          </cell>
          <cell r="C2247">
            <v>477450</v>
          </cell>
          <cell r="D2247">
            <v>41244</v>
          </cell>
          <cell r="E2247">
            <v>9600000</v>
          </cell>
          <cell r="F2247">
            <v>9600000</v>
          </cell>
          <cell r="G2247">
            <v>17663166</v>
          </cell>
          <cell r="H2247">
            <v>800000</v>
          </cell>
          <cell r="I2247">
            <v>0</v>
          </cell>
        </row>
        <row r="2248">
          <cell r="A2248" t="str">
            <v>3430|477500</v>
          </cell>
          <cell r="B2248" t="str">
            <v>3430</v>
          </cell>
          <cell r="C2248">
            <v>477500</v>
          </cell>
          <cell r="D2248">
            <v>41244</v>
          </cell>
          <cell r="E2248">
            <v>250932400</v>
          </cell>
          <cell r="F2248">
            <v>250932400</v>
          </cell>
          <cell r="G2248">
            <v>280342300</v>
          </cell>
          <cell r="H2248">
            <v>20911033</v>
          </cell>
          <cell r="I2248">
            <v>-355861787</v>
          </cell>
        </row>
        <row r="2249">
          <cell r="A2249" t="str">
            <v>3430|477800</v>
          </cell>
          <cell r="B2249" t="str">
            <v>3430</v>
          </cell>
          <cell r="C2249">
            <v>477800</v>
          </cell>
          <cell r="D2249">
            <v>41244</v>
          </cell>
          <cell r="E2249">
            <v>600000000</v>
          </cell>
          <cell r="F2249">
            <v>600000000</v>
          </cell>
          <cell r="G2249">
            <v>686505080</v>
          </cell>
          <cell r="H2249">
            <v>50000000</v>
          </cell>
          <cell r="I2249">
            <v>-26087052</v>
          </cell>
        </row>
        <row r="2250">
          <cell r="A2250" t="str">
            <v>3440|211100</v>
          </cell>
          <cell r="B2250" t="str">
            <v>3440</v>
          </cell>
          <cell r="C2250">
            <v>211100</v>
          </cell>
          <cell r="D2250">
            <v>41244</v>
          </cell>
          <cell r="E2250">
            <v>700358789</v>
          </cell>
          <cell r="F2250">
            <v>700358789</v>
          </cell>
          <cell r="G2250">
            <v>658278149</v>
          </cell>
          <cell r="H2250">
            <v>58363232</v>
          </cell>
          <cell r="I2250">
            <v>55249011</v>
          </cell>
        </row>
        <row r="2251">
          <cell r="A2251" t="str">
            <v>3440|400040</v>
          </cell>
          <cell r="B2251" t="str">
            <v>3440</v>
          </cell>
          <cell r="C2251">
            <v>400040</v>
          </cell>
          <cell r="D2251">
            <v>41244</v>
          </cell>
          <cell r="E2251">
            <v>23850000</v>
          </cell>
          <cell r="F2251">
            <v>23850000</v>
          </cell>
          <cell r="G2251">
            <v>21985903</v>
          </cell>
          <cell r="H2251">
            <v>1987501</v>
          </cell>
          <cell r="I2251">
            <v>0</v>
          </cell>
        </row>
        <row r="2252">
          <cell r="A2252" t="str">
            <v>3440|405200</v>
          </cell>
          <cell r="B2252" t="str">
            <v>3440</v>
          </cell>
          <cell r="C2252">
            <v>405200</v>
          </cell>
          <cell r="D2252">
            <v>41244</v>
          </cell>
          <cell r="E2252">
            <v>44363510</v>
          </cell>
          <cell r="F2252">
            <v>44363510</v>
          </cell>
          <cell r="G2252">
            <v>42299635</v>
          </cell>
          <cell r="H2252">
            <v>3696959</v>
          </cell>
          <cell r="I2252">
            <v>5372500</v>
          </cell>
        </row>
        <row r="2253">
          <cell r="A2253" t="str">
            <v>3440|405250</v>
          </cell>
          <cell r="B2253" t="str">
            <v>3440</v>
          </cell>
          <cell r="C2253">
            <v>405250</v>
          </cell>
          <cell r="D2253">
            <v>41244</v>
          </cell>
          <cell r="E2253">
            <v>0</v>
          </cell>
          <cell r="F2253">
            <v>0</v>
          </cell>
          <cell r="G2253">
            <v>9226484774</v>
          </cell>
          <cell r="H2253">
            <v>0</v>
          </cell>
          <cell r="I2253">
            <v>164671986</v>
          </cell>
        </row>
        <row r="2254">
          <cell r="A2254" t="str">
            <v>3440|405251</v>
          </cell>
          <cell r="B2254" t="str">
            <v>3440</v>
          </cell>
          <cell r="C2254">
            <v>405251</v>
          </cell>
          <cell r="D2254">
            <v>41244</v>
          </cell>
          <cell r="E2254">
            <v>0</v>
          </cell>
          <cell r="F2254">
            <v>0</v>
          </cell>
          <cell r="G2254">
            <v>16094013</v>
          </cell>
          <cell r="H2254">
            <v>0</v>
          </cell>
          <cell r="I2254">
            <v>0</v>
          </cell>
        </row>
        <row r="2255">
          <cell r="A2255" t="str">
            <v>3440|420001</v>
          </cell>
          <cell r="B2255" t="str">
            <v>3440</v>
          </cell>
          <cell r="C2255">
            <v>420001</v>
          </cell>
          <cell r="D2255">
            <v>41244</v>
          </cell>
          <cell r="E2255">
            <v>690359936</v>
          </cell>
          <cell r="F2255">
            <v>690359936</v>
          </cell>
          <cell r="G2255">
            <v>537345946</v>
          </cell>
          <cell r="H2255">
            <v>57529995</v>
          </cell>
          <cell r="I2255">
            <v>43244404</v>
          </cell>
        </row>
        <row r="2256">
          <cell r="A2256" t="str">
            <v>3440|420002</v>
          </cell>
          <cell r="B2256" t="str">
            <v>3440</v>
          </cell>
          <cell r="C2256">
            <v>420002</v>
          </cell>
          <cell r="D2256">
            <v>41244</v>
          </cell>
          <cell r="E2256">
            <v>499126932</v>
          </cell>
          <cell r="F2256">
            <v>499126932</v>
          </cell>
          <cell r="G2256">
            <v>708601870</v>
          </cell>
          <cell r="H2256">
            <v>41593911</v>
          </cell>
          <cell r="I2256">
            <v>59865500</v>
          </cell>
        </row>
        <row r="2257">
          <cell r="A2257" t="str">
            <v>3440|420003</v>
          </cell>
          <cell r="B2257" t="str">
            <v>3440</v>
          </cell>
          <cell r="C2257">
            <v>420003</v>
          </cell>
          <cell r="D2257">
            <v>41244</v>
          </cell>
          <cell r="E2257">
            <v>484530806</v>
          </cell>
          <cell r="F2257">
            <v>484530806</v>
          </cell>
          <cell r="G2257">
            <v>426809075</v>
          </cell>
          <cell r="H2257">
            <v>40377567</v>
          </cell>
          <cell r="I2257">
            <v>40517895</v>
          </cell>
        </row>
        <row r="2258">
          <cell r="A2258" t="str">
            <v>3440|422001</v>
          </cell>
          <cell r="B2258" t="str">
            <v>3440</v>
          </cell>
          <cell r="C2258">
            <v>422001</v>
          </cell>
          <cell r="D2258">
            <v>41244</v>
          </cell>
          <cell r="E2258">
            <v>1497765</v>
          </cell>
          <cell r="F2258">
            <v>1497765</v>
          </cell>
          <cell r="G2258">
            <v>604600</v>
          </cell>
          <cell r="H2258">
            <v>124814</v>
          </cell>
          <cell r="I2258">
            <v>0</v>
          </cell>
        </row>
        <row r="2259">
          <cell r="A2259" t="str">
            <v>3440|422002</v>
          </cell>
          <cell r="B2259" t="str">
            <v>3440</v>
          </cell>
          <cell r="C2259">
            <v>422002</v>
          </cell>
          <cell r="D2259">
            <v>41244</v>
          </cell>
          <cell r="E2259">
            <v>10631217</v>
          </cell>
          <cell r="F2259">
            <v>10631217</v>
          </cell>
          <cell r="G2259">
            <v>29222750</v>
          </cell>
          <cell r="H2259">
            <v>885935</v>
          </cell>
          <cell r="I2259">
            <v>2354550</v>
          </cell>
        </row>
        <row r="2260">
          <cell r="A2260" t="str">
            <v>3440|422003</v>
          </cell>
          <cell r="B2260" t="str">
            <v>3440</v>
          </cell>
          <cell r="C2260">
            <v>422003</v>
          </cell>
          <cell r="D2260">
            <v>41244</v>
          </cell>
          <cell r="E2260">
            <v>15196690</v>
          </cell>
          <cell r="F2260">
            <v>15196690</v>
          </cell>
          <cell r="G2260">
            <v>49160250</v>
          </cell>
          <cell r="H2260">
            <v>1266391</v>
          </cell>
          <cell r="I2260">
            <v>4034550</v>
          </cell>
        </row>
        <row r="2261">
          <cell r="A2261" t="str">
            <v>3440|431000</v>
          </cell>
          <cell r="B2261" t="str">
            <v>3440</v>
          </cell>
          <cell r="C2261">
            <v>431000</v>
          </cell>
          <cell r="D2261">
            <v>41244</v>
          </cell>
          <cell r="E2261">
            <v>0</v>
          </cell>
          <cell r="F2261">
            <v>0</v>
          </cell>
          <cell r="G2261">
            <v>1197035</v>
          </cell>
          <cell r="H2261">
            <v>0</v>
          </cell>
          <cell r="I2261">
            <v>0</v>
          </cell>
        </row>
        <row r="2262">
          <cell r="A2262" t="str">
            <v>3440|431001</v>
          </cell>
          <cell r="B2262" t="str">
            <v>3440</v>
          </cell>
          <cell r="C2262">
            <v>431001</v>
          </cell>
          <cell r="D2262">
            <v>41244</v>
          </cell>
          <cell r="E2262">
            <v>180000000</v>
          </cell>
          <cell r="F2262">
            <v>180000000</v>
          </cell>
          <cell r="G2262">
            <v>209362090</v>
          </cell>
          <cell r="H2262">
            <v>14999999</v>
          </cell>
          <cell r="I2262">
            <v>25326863</v>
          </cell>
        </row>
        <row r="2263">
          <cell r="A2263" t="str">
            <v>3440|431002</v>
          </cell>
          <cell r="B2263" t="str">
            <v>3440</v>
          </cell>
          <cell r="C2263">
            <v>431002</v>
          </cell>
          <cell r="D2263">
            <v>41244</v>
          </cell>
          <cell r="E2263">
            <v>50642560</v>
          </cell>
          <cell r="F2263">
            <v>50642560</v>
          </cell>
          <cell r="G2263">
            <v>94714020</v>
          </cell>
          <cell r="H2263">
            <v>4220214</v>
          </cell>
          <cell r="I2263">
            <v>10856980</v>
          </cell>
        </row>
        <row r="2264">
          <cell r="A2264" t="str">
            <v>3440|433001</v>
          </cell>
          <cell r="B2264" t="str">
            <v>3440</v>
          </cell>
          <cell r="C2264">
            <v>433001</v>
          </cell>
          <cell r="D2264">
            <v>41244</v>
          </cell>
          <cell r="E2264">
            <v>8924408</v>
          </cell>
          <cell r="F2264">
            <v>8924408</v>
          </cell>
          <cell r="G2264">
            <v>7155972</v>
          </cell>
          <cell r="H2264">
            <v>743701</v>
          </cell>
          <cell r="I2264">
            <v>601625</v>
          </cell>
        </row>
        <row r="2265">
          <cell r="A2265" t="str">
            <v>3440|433002</v>
          </cell>
          <cell r="B2265" t="str">
            <v>3440</v>
          </cell>
          <cell r="C2265">
            <v>433002</v>
          </cell>
          <cell r="D2265">
            <v>41244</v>
          </cell>
          <cell r="E2265">
            <v>13608855</v>
          </cell>
          <cell r="F2265">
            <v>13608855</v>
          </cell>
          <cell r="G2265">
            <v>14937450</v>
          </cell>
          <cell r="H2265">
            <v>1134071</v>
          </cell>
          <cell r="I2265">
            <v>1255850</v>
          </cell>
        </row>
        <row r="2266">
          <cell r="A2266" t="str">
            <v>3440|433003</v>
          </cell>
          <cell r="B2266" t="str">
            <v>3440</v>
          </cell>
          <cell r="C2266">
            <v>433003</v>
          </cell>
          <cell r="D2266">
            <v>41244</v>
          </cell>
          <cell r="E2266">
            <v>6315616</v>
          </cell>
          <cell r="F2266">
            <v>6315616</v>
          </cell>
          <cell r="G2266">
            <v>7556850</v>
          </cell>
          <cell r="H2266">
            <v>526301</v>
          </cell>
          <cell r="I2266">
            <v>635325</v>
          </cell>
        </row>
        <row r="2267">
          <cell r="A2267" t="str">
            <v>3440|434010</v>
          </cell>
          <cell r="B2267" t="str">
            <v>3440</v>
          </cell>
          <cell r="C2267">
            <v>434010</v>
          </cell>
          <cell r="D2267">
            <v>41244</v>
          </cell>
          <cell r="E2267">
            <v>0</v>
          </cell>
          <cell r="F2267">
            <v>0</v>
          </cell>
          <cell r="G2267">
            <v>100921</v>
          </cell>
          <cell r="H2267">
            <v>0</v>
          </cell>
          <cell r="I2267">
            <v>0</v>
          </cell>
        </row>
        <row r="2268">
          <cell r="A2268" t="str">
            <v>3440|434011</v>
          </cell>
          <cell r="B2268" t="str">
            <v>3440</v>
          </cell>
          <cell r="C2268">
            <v>434011</v>
          </cell>
          <cell r="D2268">
            <v>41244</v>
          </cell>
          <cell r="E2268">
            <v>28793342</v>
          </cell>
          <cell r="F2268">
            <v>28793342</v>
          </cell>
          <cell r="G2268">
            <v>73274305</v>
          </cell>
          <cell r="H2268">
            <v>2399445</v>
          </cell>
          <cell r="I2268">
            <v>4712450</v>
          </cell>
        </row>
        <row r="2269">
          <cell r="A2269" t="str">
            <v>3440|434012</v>
          </cell>
          <cell r="B2269" t="str">
            <v>3440</v>
          </cell>
          <cell r="C2269">
            <v>434012</v>
          </cell>
          <cell r="D2269">
            <v>41244</v>
          </cell>
          <cell r="E2269">
            <v>27762750</v>
          </cell>
          <cell r="F2269">
            <v>27762750</v>
          </cell>
          <cell r="G2269">
            <v>61703853</v>
          </cell>
          <cell r="H2269">
            <v>2313562</v>
          </cell>
          <cell r="I2269">
            <v>10803600</v>
          </cell>
        </row>
        <row r="2270">
          <cell r="A2270" t="str">
            <v>3440|434013</v>
          </cell>
          <cell r="B2270" t="str">
            <v>3440</v>
          </cell>
          <cell r="C2270">
            <v>434013</v>
          </cell>
          <cell r="D2270">
            <v>41244</v>
          </cell>
          <cell r="E2270">
            <v>0</v>
          </cell>
          <cell r="F2270">
            <v>0</v>
          </cell>
          <cell r="G2270">
            <v>11754157</v>
          </cell>
          <cell r="H2270">
            <v>0</v>
          </cell>
          <cell r="I2270">
            <v>4099789</v>
          </cell>
        </row>
        <row r="2271">
          <cell r="A2271" t="str">
            <v>3440|435001</v>
          </cell>
          <cell r="B2271" t="str">
            <v>3440</v>
          </cell>
          <cell r="C2271">
            <v>435001</v>
          </cell>
          <cell r="D2271">
            <v>41244</v>
          </cell>
          <cell r="E2271">
            <v>57529995</v>
          </cell>
          <cell r="F2271">
            <v>57529995</v>
          </cell>
          <cell r="G2271">
            <v>44126894</v>
          </cell>
          <cell r="H2271">
            <v>4794166</v>
          </cell>
          <cell r="I2271">
            <v>44126894</v>
          </cell>
        </row>
        <row r="2272">
          <cell r="A2272" t="str">
            <v>3440|435002</v>
          </cell>
          <cell r="B2272" t="str">
            <v>3440</v>
          </cell>
          <cell r="C2272">
            <v>435002</v>
          </cell>
          <cell r="D2272">
            <v>41244</v>
          </cell>
          <cell r="E2272">
            <v>41593911</v>
          </cell>
          <cell r="F2272">
            <v>41593911</v>
          </cell>
          <cell r="G2272">
            <v>58983000</v>
          </cell>
          <cell r="H2272">
            <v>3466159</v>
          </cell>
          <cell r="I2272">
            <v>58983000</v>
          </cell>
        </row>
        <row r="2273">
          <cell r="A2273" t="str">
            <v>3440|435003</v>
          </cell>
          <cell r="B2273" t="str">
            <v>3440</v>
          </cell>
          <cell r="C2273">
            <v>435003</v>
          </cell>
          <cell r="D2273">
            <v>41244</v>
          </cell>
          <cell r="E2273">
            <v>61300353</v>
          </cell>
          <cell r="F2273">
            <v>61300353</v>
          </cell>
          <cell r="G2273">
            <v>56583048</v>
          </cell>
          <cell r="H2273">
            <v>5108363</v>
          </cell>
          <cell r="I2273">
            <v>0</v>
          </cell>
        </row>
        <row r="2274">
          <cell r="A2274" t="str">
            <v>3440|439000</v>
          </cell>
          <cell r="B2274" t="str">
            <v>3440</v>
          </cell>
          <cell r="C2274">
            <v>439000</v>
          </cell>
          <cell r="D2274">
            <v>41244</v>
          </cell>
          <cell r="E2274">
            <v>0</v>
          </cell>
          <cell r="F2274">
            <v>0</v>
          </cell>
          <cell r="G2274">
            <v>336696</v>
          </cell>
          <cell r="H2274">
            <v>0</v>
          </cell>
          <cell r="I2274">
            <v>0</v>
          </cell>
        </row>
        <row r="2275">
          <cell r="A2275" t="str">
            <v>3440|439001</v>
          </cell>
          <cell r="B2275" t="str">
            <v>3440</v>
          </cell>
          <cell r="C2275">
            <v>439001</v>
          </cell>
          <cell r="D2275">
            <v>41244</v>
          </cell>
          <cell r="E2275">
            <v>95840263</v>
          </cell>
          <cell r="F2275">
            <v>95840263</v>
          </cell>
          <cell r="G2275">
            <v>187884506</v>
          </cell>
          <cell r="H2275">
            <v>7986689</v>
          </cell>
          <cell r="I2275">
            <v>0</v>
          </cell>
        </row>
        <row r="2276">
          <cell r="A2276" t="str">
            <v>3440|439003</v>
          </cell>
          <cell r="B2276" t="str">
            <v>3440</v>
          </cell>
          <cell r="C2276">
            <v>439003</v>
          </cell>
          <cell r="D2276">
            <v>41244</v>
          </cell>
          <cell r="E2276">
            <v>132166901</v>
          </cell>
          <cell r="F2276">
            <v>132166901</v>
          </cell>
          <cell r="G2276">
            <v>188983403</v>
          </cell>
          <cell r="H2276">
            <v>11013908</v>
          </cell>
          <cell r="I2276">
            <v>24889799</v>
          </cell>
        </row>
        <row r="2277">
          <cell r="A2277" t="str">
            <v>3440|439008</v>
          </cell>
          <cell r="B2277" t="str">
            <v>3440</v>
          </cell>
          <cell r="C2277">
            <v>439008</v>
          </cell>
          <cell r="D2277">
            <v>41244</v>
          </cell>
          <cell r="E2277">
            <v>114582335</v>
          </cell>
          <cell r="F2277">
            <v>114582335</v>
          </cell>
          <cell r="G2277">
            <v>247409054</v>
          </cell>
          <cell r="H2277">
            <v>9548528</v>
          </cell>
          <cell r="I2277">
            <v>0</v>
          </cell>
        </row>
        <row r="2278">
          <cell r="A2278" t="str">
            <v>3440|439101</v>
          </cell>
          <cell r="B2278" t="str">
            <v>3440</v>
          </cell>
          <cell r="C2278">
            <v>439101</v>
          </cell>
          <cell r="D2278">
            <v>41244</v>
          </cell>
          <cell r="E2278">
            <v>0</v>
          </cell>
          <cell r="F2278">
            <v>0</v>
          </cell>
          <cell r="G2278">
            <v>1000000</v>
          </cell>
          <cell r="H2278">
            <v>0</v>
          </cell>
          <cell r="I2278">
            <v>0</v>
          </cell>
        </row>
        <row r="2279">
          <cell r="A2279" t="str">
            <v>3440|439102</v>
          </cell>
          <cell r="B2279" t="str">
            <v>3440</v>
          </cell>
          <cell r="C2279">
            <v>439102</v>
          </cell>
          <cell r="D2279">
            <v>41244</v>
          </cell>
          <cell r="E2279">
            <v>0</v>
          </cell>
          <cell r="F2279">
            <v>0</v>
          </cell>
          <cell r="G2279">
            <v>500000</v>
          </cell>
          <cell r="H2279">
            <v>0</v>
          </cell>
          <cell r="I2279">
            <v>0</v>
          </cell>
        </row>
        <row r="2280">
          <cell r="A2280" t="str">
            <v>3440|439103</v>
          </cell>
          <cell r="B2280" t="str">
            <v>3440</v>
          </cell>
          <cell r="C2280">
            <v>439103</v>
          </cell>
          <cell r="D2280">
            <v>41244</v>
          </cell>
          <cell r="E2280">
            <v>0</v>
          </cell>
          <cell r="F2280">
            <v>0</v>
          </cell>
          <cell r="G2280">
            <v>2500000</v>
          </cell>
          <cell r="H2280">
            <v>0</v>
          </cell>
          <cell r="I2280">
            <v>0</v>
          </cell>
        </row>
        <row r="2281">
          <cell r="A2281" t="str">
            <v>3440|439201</v>
          </cell>
          <cell r="B2281" t="str">
            <v>3440</v>
          </cell>
          <cell r="C2281">
            <v>439201</v>
          </cell>
          <cell r="D2281">
            <v>41244</v>
          </cell>
          <cell r="E2281">
            <v>84000000</v>
          </cell>
          <cell r="F2281">
            <v>84000000</v>
          </cell>
          <cell r="G2281">
            <v>71730000</v>
          </cell>
          <cell r="H2281">
            <v>7000000</v>
          </cell>
          <cell r="I2281">
            <v>7000000</v>
          </cell>
        </row>
        <row r="2282">
          <cell r="A2282" t="str">
            <v>3440|439202</v>
          </cell>
          <cell r="B2282" t="str">
            <v>3440</v>
          </cell>
          <cell r="C2282">
            <v>439202</v>
          </cell>
          <cell r="D2282">
            <v>41244</v>
          </cell>
          <cell r="E2282">
            <v>66000000</v>
          </cell>
          <cell r="F2282">
            <v>66000000</v>
          </cell>
          <cell r="G2282">
            <v>52050000</v>
          </cell>
          <cell r="H2282">
            <v>5500000</v>
          </cell>
          <cell r="I2282">
            <v>5350000</v>
          </cell>
        </row>
        <row r="2283">
          <cell r="A2283" t="str">
            <v>3440|439203</v>
          </cell>
          <cell r="B2283" t="str">
            <v>3440</v>
          </cell>
          <cell r="C2283">
            <v>439203</v>
          </cell>
          <cell r="D2283">
            <v>41244</v>
          </cell>
          <cell r="E2283">
            <v>18000000</v>
          </cell>
          <cell r="F2283">
            <v>18000000</v>
          </cell>
          <cell r="G2283">
            <v>11760000</v>
          </cell>
          <cell r="H2283">
            <v>1500000</v>
          </cell>
          <cell r="I2283">
            <v>1575000</v>
          </cell>
        </row>
        <row r="2284">
          <cell r="A2284" t="str">
            <v>3440|440000</v>
          </cell>
          <cell r="B2284" t="str">
            <v>3440</v>
          </cell>
          <cell r="C2284">
            <v>440000</v>
          </cell>
          <cell r="D2284">
            <v>41244</v>
          </cell>
          <cell r="E2284">
            <v>0</v>
          </cell>
          <cell r="F2284">
            <v>0</v>
          </cell>
          <cell r="G2284">
            <v>341157</v>
          </cell>
          <cell r="H2284">
            <v>0</v>
          </cell>
          <cell r="I2284">
            <v>0</v>
          </cell>
        </row>
        <row r="2285">
          <cell r="A2285" t="str">
            <v>3440|440001</v>
          </cell>
          <cell r="B2285" t="str">
            <v>3440</v>
          </cell>
          <cell r="C2285">
            <v>440001</v>
          </cell>
          <cell r="D2285">
            <v>41244</v>
          </cell>
          <cell r="E2285">
            <v>57529995</v>
          </cell>
          <cell r="F2285">
            <v>57529995</v>
          </cell>
          <cell r="G2285">
            <v>48342995</v>
          </cell>
          <cell r="H2285">
            <v>4794166</v>
          </cell>
          <cell r="I2285">
            <v>4994941</v>
          </cell>
        </row>
        <row r="2286">
          <cell r="A2286" t="str">
            <v>3440|440002</v>
          </cell>
          <cell r="B2286" t="str">
            <v>3440</v>
          </cell>
          <cell r="C2286">
            <v>440002</v>
          </cell>
          <cell r="D2286">
            <v>41244</v>
          </cell>
          <cell r="E2286">
            <v>41593911</v>
          </cell>
          <cell r="F2286">
            <v>41593911</v>
          </cell>
          <cell r="G2286">
            <v>61828912</v>
          </cell>
          <cell r="H2286">
            <v>3466159</v>
          </cell>
          <cell r="I2286">
            <v>6143330</v>
          </cell>
        </row>
        <row r="2287">
          <cell r="A2287" t="str">
            <v>3440|440003</v>
          </cell>
          <cell r="B2287" t="str">
            <v>3440</v>
          </cell>
          <cell r="C2287">
            <v>440003</v>
          </cell>
          <cell r="D2287">
            <v>41244</v>
          </cell>
          <cell r="E2287">
            <v>51671107</v>
          </cell>
          <cell r="F2287">
            <v>51671107</v>
          </cell>
          <cell r="G2287">
            <v>62476150</v>
          </cell>
          <cell r="H2287">
            <v>4305926</v>
          </cell>
          <cell r="I2287">
            <v>3743452</v>
          </cell>
        </row>
        <row r="2288">
          <cell r="A2288" t="str">
            <v>3440|446000</v>
          </cell>
          <cell r="B2288" t="str">
            <v>3440</v>
          </cell>
          <cell r="C2288">
            <v>446000</v>
          </cell>
          <cell r="D2288">
            <v>41244</v>
          </cell>
          <cell r="E2288">
            <v>0</v>
          </cell>
          <cell r="F2288">
            <v>0</v>
          </cell>
          <cell r="G2288">
            <v>118365</v>
          </cell>
          <cell r="H2288">
            <v>0</v>
          </cell>
          <cell r="I2288">
            <v>0</v>
          </cell>
        </row>
        <row r="2289">
          <cell r="A2289" t="str">
            <v>3440|446001</v>
          </cell>
          <cell r="B2289" t="str">
            <v>3440</v>
          </cell>
          <cell r="C2289">
            <v>446001</v>
          </cell>
          <cell r="D2289">
            <v>41244</v>
          </cell>
          <cell r="E2289">
            <v>28764997</v>
          </cell>
          <cell r="F2289">
            <v>28764997</v>
          </cell>
          <cell r="G2289">
            <v>64303634</v>
          </cell>
          <cell r="H2289">
            <v>2397083</v>
          </cell>
          <cell r="I2289">
            <v>1950000</v>
          </cell>
        </row>
        <row r="2290">
          <cell r="A2290" t="str">
            <v>3440|446002</v>
          </cell>
          <cell r="B2290" t="str">
            <v>3440</v>
          </cell>
          <cell r="C2290">
            <v>446002</v>
          </cell>
          <cell r="D2290">
            <v>41244</v>
          </cell>
          <cell r="E2290">
            <v>34125256</v>
          </cell>
          <cell r="F2290">
            <v>34125256</v>
          </cell>
          <cell r="G2290">
            <v>16617004</v>
          </cell>
          <cell r="H2290">
            <v>2843771</v>
          </cell>
          <cell r="I2290">
            <v>1600000</v>
          </cell>
        </row>
        <row r="2291">
          <cell r="A2291" t="str">
            <v>3440|447001</v>
          </cell>
          <cell r="B2291" t="str">
            <v>3440</v>
          </cell>
          <cell r="C2291">
            <v>447001</v>
          </cell>
          <cell r="D2291">
            <v>41244</v>
          </cell>
          <cell r="E2291">
            <v>10838651</v>
          </cell>
          <cell r="F2291">
            <v>10838651</v>
          </cell>
          <cell r="G2291">
            <v>2833877</v>
          </cell>
          <cell r="H2291">
            <v>903221</v>
          </cell>
          <cell r="I2291">
            <v>240783</v>
          </cell>
        </row>
        <row r="2292">
          <cell r="A2292" t="str">
            <v>3440|447002</v>
          </cell>
          <cell r="B2292" t="str">
            <v>3440</v>
          </cell>
          <cell r="C2292">
            <v>447002</v>
          </cell>
          <cell r="D2292">
            <v>41244</v>
          </cell>
          <cell r="E2292">
            <v>14508562</v>
          </cell>
          <cell r="F2292">
            <v>14508562</v>
          </cell>
          <cell r="G2292">
            <v>3827367</v>
          </cell>
          <cell r="H2292">
            <v>1209047</v>
          </cell>
          <cell r="I2292">
            <v>323278</v>
          </cell>
        </row>
        <row r="2293">
          <cell r="A2293" t="str">
            <v>3440|447003</v>
          </cell>
          <cell r="B2293" t="str">
            <v>3440</v>
          </cell>
          <cell r="C2293">
            <v>447003</v>
          </cell>
          <cell r="D2293">
            <v>41244</v>
          </cell>
          <cell r="E2293">
            <v>3693693</v>
          </cell>
          <cell r="F2293">
            <v>3693693</v>
          </cell>
          <cell r="G2293">
            <v>3038592</v>
          </cell>
          <cell r="H2293">
            <v>307808</v>
          </cell>
          <cell r="I2293">
            <v>334530</v>
          </cell>
        </row>
        <row r="2294">
          <cell r="A2294" t="str">
            <v>3440|447011</v>
          </cell>
          <cell r="B2294" t="str">
            <v>3440</v>
          </cell>
          <cell r="C2294">
            <v>447011</v>
          </cell>
          <cell r="D2294">
            <v>41244</v>
          </cell>
          <cell r="E2294">
            <v>25543318</v>
          </cell>
          <cell r="F2294">
            <v>25543318</v>
          </cell>
          <cell r="G2294">
            <v>19417333</v>
          </cell>
          <cell r="H2294">
            <v>2128610</v>
          </cell>
          <cell r="I2294">
            <v>1649796</v>
          </cell>
        </row>
        <row r="2295">
          <cell r="A2295" t="str">
            <v>3440|447012</v>
          </cell>
          <cell r="B2295" t="str">
            <v>3440</v>
          </cell>
          <cell r="C2295">
            <v>447012</v>
          </cell>
          <cell r="D2295">
            <v>41244</v>
          </cell>
          <cell r="E2295">
            <v>34192152</v>
          </cell>
          <cell r="F2295">
            <v>34192152</v>
          </cell>
          <cell r="G2295">
            <v>26224374</v>
          </cell>
          <cell r="H2295">
            <v>2849346</v>
          </cell>
          <cell r="I2295">
            <v>2215027</v>
          </cell>
        </row>
        <row r="2296">
          <cell r="A2296" t="str">
            <v>3440|447013</v>
          </cell>
          <cell r="B2296" t="str">
            <v>3440</v>
          </cell>
          <cell r="C2296">
            <v>447013</v>
          </cell>
          <cell r="D2296">
            <v>41244</v>
          </cell>
          <cell r="E2296">
            <v>14576896</v>
          </cell>
          <cell r="F2296">
            <v>14576896</v>
          </cell>
          <cell r="G2296">
            <v>15270464</v>
          </cell>
          <cell r="H2296">
            <v>1214742</v>
          </cell>
          <cell r="I2296">
            <v>1343027</v>
          </cell>
        </row>
        <row r="2297">
          <cell r="A2297" t="str">
            <v>3440|447021</v>
          </cell>
          <cell r="B2297" t="str">
            <v>3440</v>
          </cell>
          <cell r="C2297">
            <v>447021</v>
          </cell>
          <cell r="D2297">
            <v>41244</v>
          </cell>
          <cell r="E2297">
            <v>1083865</v>
          </cell>
          <cell r="F2297">
            <v>1083865</v>
          </cell>
          <cell r="G2297">
            <v>183429</v>
          </cell>
          <cell r="H2297">
            <v>90322</v>
          </cell>
          <cell r="I2297">
            <v>21100</v>
          </cell>
        </row>
        <row r="2298">
          <cell r="A2298" t="str">
            <v>3440|447022</v>
          </cell>
          <cell r="B2298" t="str">
            <v>3440</v>
          </cell>
          <cell r="C2298">
            <v>447022</v>
          </cell>
          <cell r="D2298">
            <v>41244</v>
          </cell>
          <cell r="E2298">
            <v>1450856</v>
          </cell>
          <cell r="F2298">
            <v>1450856</v>
          </cell>
          <cell r="G2298">
            <v>558245</v>
          </cell>
          <cell r="H2298">
            <v>120905</v>
          </cell>
          <cell r="I2298">
            <v>50000</v>
          </cell>
        </row>
        <row r="2299">
          <cell r="A2299" t="str">
            <v>3440|447023</v>
          </cell>
          <cell r="B2299" t="str">
            <v>3440</v>
          </cell>
          <cell r="C2299">
            <v>447023</v>
          </cell>
          <cell r="D2299">
            <v>41244</v>
          </cell>
          <cell r="E2299">
            <v>369369</v>
          </cell>
          <cell r="F2299">
            <v>369369</v>
          </cell>
          <cell r="G2299">
            <v>477163</v>
          </cell>
          <cell r="H2299">
            <v>30781</v>
          </cell>
          <cell r="I2299">
            <v>0</v>
          </cell>
        </row>
        <row r="2300">
          <cell r="A2300" t="str">
            <v>3440|448001</v>
          </cell>
          <cell r="B2300" t="str">
            <v>3440</v>
          </cell>
          <cell r="C2300">
            <v>448001</v>
          </cell>
          <cell r="D2300">
            <v>41244</v>
          </cell>
          <cell r="E2300">
            <v>154666892</v>
          </cell>
          <cell r="F2300">
            <v>154666892</v>
          </cell>
          <cell r="G2300">
            <v>57716986</v>
          </cell>
          <cell r="H2300">
            <v>12888908</v>
          </cell>
          <cell r="I2300">
            <v>5575600</v>
          </cell>
        </row>
        <row r="2301">
          <cell r="A2301" t="str">
            <v>3440|448002</v>
          </cell>
          <cell r="B2301" t="str">
            <v>3440</v>
          </cell>
          <cell r="C2301">
            <v>448002</v>
          </cell>
          <cell r="D2301">
            <v>41244</v>
          </cell>
          <cell r="E2301">
            <v>86200918</v>
          </cell>
          <cell r="F2301">
            <v>86200918</v>
          </cell>
          <cell r="G2301">
            <v>79097170</v>
          </cell>
          <cell r="H2301">
            <v>7183410</v>
          </cell>
          <cell r="I2301">
            <v>9796600</v>
          </cell>
        </row>
        <row r="2302">
          <cell r="A2302" t="str">
            <v>3440|448003</v>
          </cell>
          <cell r="B2302" t="str">
            <v>3440</v>
          </cell>
          <cell r="C2302">
            <v>448003</v>
          </cell>
          <cell r="D2302">
            <v>41244</v>
          </cell>
          <cell r="E2302">
            <v>50374563</v>
          </cell>
          <cell r="F2302">
            <v>50374563</v>
          </cell>
          <cell r="G2302">
            <v>64326349</v>
          </cell>
          <cell r="H2302">
            <v>4197880</v>
          </cell>
          <cell r="I2302">
            <v>3038900</v>
          </cell>
        </row>
        <row r="2303">
          <cell r="A2303" t="str">
            <v>3440|449004</v>
          </cell>
          <cell r="B2303" t="str">
            <v>3440</v>
          </cell>
          <cell r="C2303">
            <v>449004</v>
          </cell>
          <cell r="D2303">
            <v>41244</v>
          </cell>
          <cell r="E2303">
            <v>17640000</v>
          </cell>
          <cell r="F2303">
            <v>17640000</v>
          </cell>
          <cell r="G2303">
            <v>17250000</v>
          </cell>
          <cell r="H2303">
            <v>1470000</v>
          </cell>
          <cell r="I2303">
            <v>0</v>
          </cell>
        </row>
        <row r="2304">
          <cell r="A2304" t="str">
            <v>3440|449022</v>
          </cell>
          <cell r="B2304" t="str">
            <v>3440</v>
          </cell>
          <cell r="C2304">
            <v>449022</v>
          </cell>
          <cell r="D2304">
            <v>41244</v>
          </cell>
          <cell r="E2304">
            <v>27720000</v>
          </cell>
          <cell r="F2304">
            <v>27720000</v>
          </cell>
          <cell r="G2304">
            <v>42790000</v>
          </cell>
          <cell r="H2304">
            <v>2310000</v>
          </cell>
          <cell r="I2304">
            <v>4104500</v>
          </cell>
        </row>
        <row r="2305">
          <cell r="A2305" t="str">
            <v>3440|449023</v>
          </cell>
          <cell r="B2305" t="str">
            <v>3440</v>
          </cell>
          <cell r="C2305">
            <v>449023</v>
          </cell>
          <cell r="D2305">
            <v>41244</v>
          </cell>
          <cell r="E2305">
            <v>41370000</v>
          </cell>
          <cell r="F2305">
            <v>41370000</v>
          </cell>
          <cell r="G2305">
            <v>35902787</v>
          </cell>
          <cell r="H2305">
            <v>3447500</v>
          </cell>
          <cell r="I2305">
            <v>5714000</v>
          </cell>
        </row>
        <row r="2306">
          <cell r="A2306" t="str">
            <v>3440|449025</v>
          </cell>
          <cell r="B2306" t="str">
            <v>3440</v>
          </cell>
          <cell r="C2306">
            <v>449025</v>
          </cell>
          <cell r="D2306">
            <v>41244</v>
          </cell>
          <cell r="E2306">
            <v>67320000</v>
          </cell>
          <cell r="F2306">
            <v>67320000</v>
          </cell>
          <cell r="G2306">
            <v>66269000</v>
          </cell>
          <cell r="H2306">
            <v>5610000</v>
          </cell>
          <cell r="I2306">
            <v>6293000</v>
          </cell>
        </row>
        <row r="2307">
          <cell r="A2307" t="str">
            <v>3440|449032</v>
          </cell>
          <cell r="B2307" t="str">
            <v>3440</v>
          </cell>
          <cell r="C2307">
            <v>449032</v>
          </cell>
          <cell r="D2307">
            <v>41244</v>
          </cell>
          <cell r="E2307">
            <v>55508844</v>
          </cell>
          <cell r="F2307">
            <v>55508844</v>
          </cell>
          <cell r="G2307">
            <v>54777331</v>
          </cell>
          <cell r="H2307">
            <v>4625737</v>
          </cell>
          <cell r="I2307">
            <v>0</v>
          </cell>
        </row>
        <row r="2308">
          <cell r="A2308" t="str">
            <v>3440|449040</v>
          </cell>
          <cell r="B2308" t="str">
            <v>3440</v>
          </cell>
          <cell r="C2308">
            <v>449040</v>
          </cell>
          <cell r="D2308">
            <v>41244</v>
          </cell>
          <cell r="E2308">
            <v>28870000</v>
          </cell>
          <cell r="F2308">
            <v>28870000</v>
          </cell>
          <cell r="G2308">
            <v>31812500</v>
          </cell>
          <cell r="H2308">
            <v>2405833</v>
          </cell>
          <cell r="I2308">
            <v>3532500</v>
          </cell>
        </row>
        <row r="2309">
          <cell r="A2309" t="str">
            <v>3440|449050</v>
          </cell>
          <cell r="B2309" t="str">
            <v>3440</v>
          </cell>
          <cell r="C2309">
            <v>449050</v>
          </cell>
          <cell r="D2309">
            <v>41244</v>
          </cell>
          <cell r="E2309">
            <v>13700000</v>
          </cell>
          <cell r="F2309">
            <v>13700000</v>
          </cell>
          <cell r="G2309">
            <v>9866668</v>
          </cell>
          <cell r="H2309">
            <v>1141667</v>
          </cell>
          <cell r="I2309">
            <v>0</v>
          </cell>
        </row>
        <row r="2310">
          <cell r="A2310" t="str">
            <v>3440|449061</v>
          </cell>
          <cell r="B2310" t="str">
            <v>3440</v>
          </cell>
          <cell r="C2310">
            <v>449061</v>
          </cell>
          <cell r="D2310">
            <v>41244</v>
          </cell>
          <cell r="E2310">
            <v>60589400</v>
          </cell>
          <cell r="F2310">
            <v>60589400</v>
          </cell>
          <cell r="G2310">
            <v>109096135</v>
          </cell>
          <cell r="H2310">
            <v>5049116</v>
          </cell>
          <cell r="I2310">
            <v>14923775</v>
          </cell>
        </row>
        <row r="2311">
          <cell r="A2311" t="str">
            <v>3440|451000</v>
          </cell>
          <cell r="B2311" t="str">
            <v>3440</v>
          </cell>
          <cell r="C2311">
            <v>451000</v>
          </cell>
          <cell r="D2311">
            <v>41244</v>
          </cell>
          <cell r="E2311">
            <v>95932439</v>
          </cell>
          <cell r="F2311">
            <v>95932439</v>
          </cell>
          <cell r="G2311">
            <v>81800000</v>
          </cell>
          <cell r="H2311">
            <v>7994375</v>
          </cell>
          <cell r="I2311">
            <v>39000000</v>
          </cell>
        </row>
        <row r="2312">
          <cell r="A2312" t="str">
            <v>3440|452000</v>
          </cell>
          <cell r="B2312" t="str">
            <v>3440</v>
          </cell>
          <cell r="C2312">
            <v>452000</v>
          </cell>
          <cell r="D2312">
            <v>41244</v>
          </cell>
          <cell r="E2312">
            <v>154530000</v>
          </cell>
          <cell r="F2312">
            <v>154530000</v>
          </cell>
          <cell r="G2312">
            <v>118263300</v>
          </cell>
          <cell r="H2312">
            <v>12877501</v>
          </cell>
          <cell r="I2312">
            <v>8853575</v>
          </cell>
        </row>
        <row r="2313">
          <cell r="A2313" t="str">
            <v>3440|455000</v>
          </cell>
          <cell r="B2313" t="str">
            <v>3440</v>
          </cell>
          <cell r="C2313">
            <v>455000</v>
          </cell>
          <cell r="D2313">
            <v>41244</v>
          </cell>
          <cell r="E2313">
            <v>2500000</v>
          </cell>
          <cell r="F2313">
            <v>2500000</v>
          </cell>
          <cell r="G2313">
            <v>8798047</v>
          </cell>
          <cell r="H2313">
            <v>208333</v>
          </cell>
          <cell r="I2313">
            <v>2808177</v>
          </cell>
        </row>
        <row r="2314">
          <cell r="A2314" t="str">
            <v>3440|459000</v>
          </cell>
          <cell r="B2314" t="str">
            <v>3440</v>
          </cell>
          <cell r="C2314">
            <v>459000</v>
          </cell>
          <cell r="D2314">
            <v>41244</v>
          </cell>
          <cell r="E2314">
            <v>26090000</v>
          </cell>
          <cell r="F2314">
            <v>26090000</v>
          </cell>
          <cell r="G2314">
            <v>24962100</v>
          </cell>
          <cell r="H2314">
            <v>2174172</v>
          </cell>
          <cell r="I2314">
            <v>926000</v>
          </cell>
        </row>
        <row r="2315">
          <cell r="A2315" t="str">
            <v>3440|459004</v>
          </cell>
          <cell r="B2315" t="str">
            <v>3440</v>
          </cell>
          <cell r="C2315">
            <v>459004</v>
          </cell>
          <cell r="D2315">
            <v>41244</v>
          </cell>
          <cell r="E2315">
            <v>4000000</v>
          </cell>
          <cell r="F2315">
            <v>4000000</v>
          </cell>
          <cell r="G2315">
            <v>0</v>
          </cell>
          <cell r="H2315">
            <v>333333</v>
          </cell>
          <cell r="I2315">
            <v>0</v>
          </cell>
        </row>
        <row r="2316">
          <cell r="A2316" t="str">
            <v>3440|459005</v>
          </cell>
          <cell r="B2316" t="str">
            <v>3440</v>
          </cell>
          <cell r="C2316">
            <v>459005</v>
          </cell>
          <cell r="D2316">
            <v>41244</v>
          </cell>
          <cell r="E2316">
            <v>0</v>
          </cell>
          <cell r="F2316">
            <v>0</v>
          </cell>
          <cell r="G2316">
            <v>12328830</v>
          </cell>
          <cell r="H2316">
            <v>0</v>
          </cell>
          <cell r="I2316">
            <v>1278819</v>
          </cell>
        </row>
        <row r="2317">
          <cell r="A2317" t="str">
            <v>3440|470004</v>
          </cell>
          <cell r="B2317" t="str">
            <v>3440</v>
          </cell>
          <cell r="C2317">
            <v>470004</v>
          </cell>
          <cell r="D2317">
            <v>41244</v>
          </cell>
          <cell r="E2317">
            <v>838550000</v>
          </cell>
          <cell r="F2317">
            <v>838550000</v>
          </cell>
          <cell r="G2317">
            <v>1507020000</v>
          </cell>
          <cell r="H2317">
            <v>69879167</v>
          </cell>
          <cell r="I2317">
            <v>295020000</v>
          </cell>
        </row>
        <row r="2318">
          <cell r="A2318" t="str">
            <v>3440|470102</v>
          </cell>
          <cell r="B2318" t="str">
            <v>3440</v>
          </cell>
          <cell r="C2318">
            <v>470102</v>
          </cell>
          <cell r="D2318">
            <v>41244</v>
          </cell>
          <cell r="E2318">
            <v>486994</v>
          </cell>
          <cell r="F2318">
            <v>486994</v>
          </cell>
          <cell r="G2318">
            <v>100000</v>
          </cell>
          <cell r="H2318">
            <v>40583</v>
          </cell>
          <cell r="I2318">
            <v>0</v>
          </cell>
        </row>
        <row r="2319">
          <cell r="A2319" t="str">
            <v>3440|471000</v>
          </cell>
          <cell r="B2319" t="str">
            <v>3440</v>
          </cell>
          <cell r="C2319">
            <v>471000</v>
          </cell>
          <cell r="D2319">
            <v>41244</v>
          </cell>
          <cell r="E2319">
            <v>60695215</v>
          </cell>
          <cell r="F2319">
            <v>60695215</v>
          </cell>
          <cell r="G2319">
            <v>79414600</v>
          </cell>
          <cell r="H2319">
            <v>5057934</v>
          </cell>
          <cell r="I2319">
            <v>32009450</v>
          </cell>
        </row>
        <row r="2320">
          <cell r="A2320" t="str">
            <v>3440|472000</v>
          </cell>
          <cell r="B2320" t="str">
            <v>3440</v>
          </cell>
          <cell r="C2320">
            <v>472000</v>
          </cell>
          <cell r="D2320">
            <v>41244</v>
          </cell>
          <cell r="E2320">
            <v>960686490</v>
          </cell>
          <cell r="F2320">
            <v>960686490</v>
          </cell>
          <cell r="G2320">
            <v>1088674474</v>
          </cell>
          <cell r="H2320">
            <v>80057206</v>
          </cell>
          <cell r="I2320">
            <v>612388714</v>
          </cell>
        </row>
        <row r="2321">
          <cell r="A2321" t="str">
            <v>3440|473000</v>
          </cell>
          <cell r="B2321" t="str">
            <v>3440</v>
          </cell>
          <cell r="C2321">
            <v>473000</v>
          </cell>
          <cell r="D2321">
            <v>41244</v>
          </cell>
          <cell r="E2321">
            <v>5668500</v>
          </cell>
          <cell r="F2321">
            <v>5668500</v>
          </cell>
          <cell r="G2321">
            <v>5504800</v>
          </cell>
          <cell r="H2321">
            <v>472375</v>
          </cell>
          <cell r="I2321">
            <v>505900</v>
          </cell>
        </row>
        <row r="2322">
          <cell r="A2322" t="str">
            <v>3440|473120</v>
          </cell>
          <cell r="B2322" t="str">
            <v>3440</v>
          </cell>
          <cell r="C2322">
            <v>473120</v>
          </cell>
          <cell r="D2322">
            <v>41244</v>
          </cell>
          <cell r="E2322">
            <v>19788726</v>
          </cell>
          <cell r="F2322">
            <v>19788726</v>
          </cell>
          <cell r="G2322">
            <v>17660267</v>
          </cell>
          <cell r="H2322">
            <v>1649060</v>
          </cell>
          <cell r="I2322">
            <v>3559917</v>
          </cell>
        </row>
        <row r="2323">
          <cell r="A2323" t="str">
            <v>3440|474100</v>
          </cell>
          <cell r="B2323" t="str">
            <v>3440</v>
          </cell>
          <cell r="C2323">
            <v>474100</v>
          </cell>
          <cell r="D2323">
            <v>41244</v>
          </cell>
          <cell r="E2323">
            <v>80520613</v>
          </cell>
          <cell r="F2323">
            <v>80520613</v>
          </cell>
          <cell r="G2323">
            <v>87330465</v>
          </cell>
          <cell r="H2323">
            <v>6710052</v>
          </cell>
          <cell r="I2323">
            <v>34736562</v>
          </cell>
        </row>
        <row r="2324">
          <cell r="A2324" t="str">
            <v>3440|474101</v>
          </cell>
          <cell r="B2324" t="str">
            <v>3440</v>
          </cell>
          <cell r="C2324">
            <v>474101</v>
          </cell>
          <cell r="D2324">
            <v>41244</v>
          </cell>
          <cell r="E2324">
            <v>208027369</v>
          </cell>
          <cell r="F2324">
            <v>208027369</v>
          </cell>
          <cell r="G2324">
            <v>296839150</v>
          </cell>
          <cell r="H2324">
            <v>17335619</v>
          </cell>
          <cell r="I2324">
            <v>122680000</v>
          </cell>
        </row>
        <row r="2325">
          <cell r="A2325" t="str">
            <v>3440|475000</v>
          </cell>
          <cell r="B2325" t="str">
            <v>3440</v>
          </cell>
          <cell r="C2325">
            <v>475000</v>
          </cell>
          <cell r="D2325">
            <v>41244</v>
          </cell>
          <cell r="E2325">
            <v>2718583</v>
          </cell>
          <cell r="F2325">
            <v>2718583</v>
          </cell>
          <cell r="G2325">
            <v>26939912</v>
          </cell>
          <cell r="H2325">
            <v>226548</v>
          </cell>
          <cell r="I2325">
            <v>16845605</v>
          </cell>
        </row>
        <row r="2326">
          <cell r="A2326" t="str">
            <v>3440|475001</v>
          </cell>
          <cell r="B2326" t="str">
            <v>3440</v>
          </cell>
          <cell r="C2326">
            <v>475001</v>
          </cell>
          <cell r="D2326">
            <v>41244</v>
          </cell>
          <cell r="E2326">
            <v>26183000</v>
          </cell>
          <cell r="F2326">
            <v>26183000</v>
          </cell>
          <cell r="G2326">
            <v>25023000</v>
          </cell>
          <cell r="H2326">
            <v>2181917</v>
          </cell>
          <cell r="I2326">
            <v>0</v>
          </cell>
        </row>
        <row r="2327">
          <cell r="A2327" t="str">
            <v>3440|475002</v>
          </cell>
          <cell r="B2327" t="str">
            <v>3440</v>
          </cell>
          <cell r="C2327">
            <v>475002</v>
          </cell>
          <cell r="D2327">
            <v>41244</v>
          </cell>
          <cell r="E2327">
            <v>986843</v>
          </cell>
          <cell r="F2327">
            <v>986843</v>
          </cell>
          <cell r="G2327">
            <v>1819512</v>
          </cell>
          <cell r="H2327">
            <v>82237</v>
          </cell>
          <cell r="I2327">
            <v>151626</v>
          </cell>
        </row>
        <row r="2328">
          <cell r="A2328" t="str">
            <v>3440|475003</v>
          </cell>
          <cell r="B2328" t="str">
            <v>3440</v>
          </cell>
          <cell r="C2328">
            <v>475003</v>
          </cell>
          <cell r="D2328">
            <v>41244</v>
          </cell>
          <cell r="E2328">
            <v>22907400</v>
          </cell>
          <cell r="F2328">
            <v>22907400</v>
          </cell>
          <cell r="G2328">
            <v>8831700</v>
          </cell>
          <cell r="H2328">
            <v>1908951</v>
          </cell>
          <cell r="I2328">
            <v>681000</v>
          </cell>
        </row>
        <row r="2329">
          <cell r="A2329" t="str">
            <v>3440|475006</v>
          </cell>
          <cell r="B2329" t="str">
            <v>3440</v>
          </cell>
          <cell r="C2329">
            <v>475006</v>
          </cell>
          <cell r="D2329">
            <v>41244</v>
          </cell>
          <cell r="E2329">
            <v>3684337</v>
          </cell>
          <cell r="F2329">
            <v>3684337</v>
          </cell>
          <cell r="G2329">
            <v>7701571</v>
          </cell>
          <cell r="H2329">
            <v>307028</v>
          </cell>
          <cell r="I2329">
            <v>609188</v>
          </cell>
        </row>
        <row r="2330">
          <cell r="A2330" t="str">
            <v>3440|476000</v>
          </cell>
          <cell r="B2330" t="str">
            <v>3440</v>
          </cell>
          <cell r="C2330">
            <v>476000</v>
          </cell>
          <cell r="D2330">
            <v>41244</v>
          </cell>
          <cell r="E2330">
            <v>16628366</v>
          </cell>
          <cell r="F2330">
            <v>16628366</v>
          </cell>
          <cell r="G2330">
            <v>15937815</v>
          </cell>
          <cell r="H2330">
            <v>1385697</v>
          </cell>
          <cell r="I2330">
            <v>0</v>
          </cell>
        </row>
        <row r="2331">
          <cell r="A2331" t="str">
            <v>3440|476001</v>
          </cell>
          <cell r="B2331" t="str">
            <v>3440</v>
          </cell>
          <cell r="C2331">
            <v>476001</v>
          </cell>
          <cell r="D2331">
            <v>41244</v>
          </cell>
          <cell r="E2331">
            <v>80985000</v>
          </cell>
          <cell r="F2331">
            <v>80985000</v>
          </cell>
          <cell r="G2331">
            <v>87679069</v>
          </cell>
          <cell r="H2331">
            <v>6748750</v>
          </cell>
          <cell r="I2331">
            <v>887000</v>
          </cell>
        </row>
        <row r="2332">
          <cell r="A2332" t="str">
            <v>3440|476002</v>
          </cell>
          <cell r="B2332" t="str">
            <v>3440</v>
          </cell>
          <cell r="C2332">
            <v>476002</v>
          </cell>
          <cell r="D2332">
            <v>41244</v>
          </cell>
          <cell r="E2332">
            <v>1804806</v>
          </cell>
          <cell r="F2332">
            <v>1804806</v>
          </cell>
          <cell r="G2332">
            <v>0</v>
          </cell>
          <cell r="H2332">
            <v>150401</v>
          </cell>
          <cell r="I2332">
            <v>0</v>
          </cell>
        </row>
        <row r="2333">
          <cell r="A2333" t="str">
            <v>3440|476201</v>
          </cell>
          <cell r="B2333" t="str">
            <v>3440</v>
          </cell>
          <cell r="C2333">
            <v>476201</v>
          </cell>
          <cell r="D2333">
            <v>41244</v>
          </cell>
          <cell r="E2333">
            <v>135000000</v>
          </cell>
          <cell r="F2333">
            <v>135000000</v>
          </cell>
          <cell r="G2333">
            <v>130075000</v>
          </cell>
          <cell r="H2333">
            <v>11250000</v>
          </cell>
          <cell r="I2333">
            <v>0</v>
          </cell>
        </row>
        <row r="2334">
          <cell r="A2334" t="str">
            <v>3440|476220</v>
          </cell>
          <cell r="B2334" t="str">
            <v>3440</v>
          </cell>
          <cell r="C2334">
            <v>476220</v>
          </cell>
          <cell r="D2334">
            <v>41244</v>
          </cell>
          <cell r="E2334">
            <v>0</v>
          </cell>
          <cell r="F2334">
            <v>0</v>
          </cell>
          <cell r="G2334">
            <v>102762930</v>
          </cell>
          <cell r="H2334">
            <v>0</v>
          </cell>
          <cell r="I2334">
            <v>28747526</v>
          </cell>
        </row>
        <row r="2335">
          <cell r="A2335" t="str">
            <v>3440|476223</v>
          </cell>
          <cell r="B2335" t="str">
            <v>3440</v>
          </cell>
          <cell r="C2335">
            <v>476223</v>
          </cell>
          <cell r="D2335">
            <v>41244</v>
          </cell>
          <cell r="E2335">
            <v>222000000</v>
          </cell>
          <cell r="F2335">
            <v>222000000</v>
          </cell>
          <cell r="G2335">
            <v>0</v>
          </cell>
          <cell r="H2335">
            <v>18500000</v>
          </cell>
          <cell r="I2335">
            <v>0</v>
          </cell>
        </row>
        <row r="2336">
          <cell r="A2336" t="str">
            <v>3440|476900</v>
          </cell>
          <cell r="B2336" t="str">
            <v>3440</v>
          </cell>
          <cell r="C2336">
            <v>476900</v>
          </cell>
          <cell r="D2336">
            <v>41244</v>
          </cell>
          <cell r="E2336">
            <v>3020183</v>
          </cell>
          <cell r="F2336">
            <v>3020183</v>
          </cell>
          <cell r="G2336">
            <v>2309800</v>
          </cell>
          <cell r="H2336">
            <v>251682</v>
          </cell>
          <cell r="I2336">
            <v>0</v>
          </cell>
        </row>
        <row r="2337">
          <cell r="A2337" t="str">
            <v>3440|477100</v>
          </cell>
          <cell r="B2337" t="str">
            <v>3440</v>
          </cell>
          <cell r="C2337">
            <v>477100</v>
          </cell>
          <cell r="D2337">
            <v>41244</v>
          </cell>
          <cell r="E2337">
            <v>0</v>
          </cell>
          <cell r="F2337">
            <v>0</v>
          </cell>
          <cell r="G2337">
            <v>4492194</v>
          </cell>
          <cell r="H2337">
            <v>0</v>
          </cell>
          <cell r="I2337">
            <v>0</v>
          </cell>
        </row>
        <row r="2338">
          <cell r="A2338" t="str">
            <v>3440|477310</v>
          </cell>
          <cell r="B2338" t="str">
            <v>3440</v>
          </cell>
          <cell r="C2338">
            <v>477310</v>
          </cell>
          <cell r="D2338">
            <v>41244</v>
          </cell>
          <cell r="E2338">
            <v>0</v>
          </cell>
          <cell r="F2338">
            <v>0</v>
          </cell>
          <cell r="G2338">
            <v>10966122</v>
          </cell>
          <cell r="H2338">
            <v>0</v>
          </cell>
          <cell r="I2338">
            <v>8386875</v>
          </cell>
        </row>
        <row r="2339">
          <cell r="A2339" t="str">
            <v>3440|477500</v>
          </cell>
          <cell r="B2339" t="str">
            <v>3440</v>
          </cell>
          <cell r="C2339">
            <v>477500</v>
          </cell>
          <cell r="D2339">
            <v>41244</v>
          </cell>
          <cell r="E2339">
            <v>5820000</v>
          </cell>
          <cell r="F2339">
            <v>5820000</v>
          </cell>
          <cell r="G2339">
            <v>5324500</v>
          </cell>
          <cell r="H2339">
            <v>485000</v>
          </cell>
          <cell r="I2339">
            <v>506000</v>
          </cell>
        </row>
        <row r="2340">
          <cell r="A2340" t="str">
            <v>3440|477800</v>
          </cell>
          <cell r="B2340" t="str">
            <v>3440</v>
          </cell>
          <cell r="C2340">
            <v>477800</v>
          </cell>
          <cell r="D2340">
            <v>41244</v>
          </cell>
          <cell r="E2340">
            <v>130000000</v>
          </cell>
          <cell r="F2340">
            <v>130000000</v>
          </cell>
          <cell r="G2340">
            <v>52846656</v>
          </cell>
          <cell r="H2340">
            <v>10833333</v>
          </cell>
          <cell r="I2340">
            <v>0</v>
          </cell>
        </row>
        <row r="2341">
          <cell r="A2341" t="str">
            <v>3450|405200</v>
          </cell>
          <cell r="B2341" t="str">
            <v>3450</v>
          </cell>
          <cell r="C2341">
            <v>405200</v>
          </cell>
          <cell r="D2341">
            <v>41244</v>
          </cell>
          <cell r="E2341">
            <v>0</v>
          </cell>
          <cell r="F2341">
            <v>0</v>
          </cell>
          <cell r="G2341">
            <v>-170273</v>
          </cell>
          <cell r="H2341">
            <v>0</v>
          </cell>
          <cell r="I2341">
            <v>0</v>
          </cell>
        </row>
        <row r="2342">
          <cell r="A2342" t="str">
            <v>3450|405252</v>
          </cell>
          <cell r="B2342" t="str">
            <v>3450</v>
          </cell>
          <cell r="C2342">
            <v>405252</v>
          </cell>
          <cell r="D2342">
            <v>41244</v>
          </cell>
          <cell r="E2342">
            <v>13740000</v>
          </cell>
          <cell r="F2342">
            <v>13740000</v>
          </cell>
          <cell r="G2342">
            <v>0</v>
          </cell>
          <cell r="H2342">
            <v>1145000</v>
          </cell>
          <cell r="I2342">
            <v>0</v>
          </cell>
        </row>
        <row r="2343">
          <cell r="A2343" t="str">
            <v>3450|405254</v>
          </cell>
          <cell r="B2343" t="str">
            <v>3450</v>
          </cell>
          <cell r="C2343">
            <v>405254</v>
          </cell>
          <cell r="D2343">
            <v>41244</v>
          </cell>
          <cell r="E2343">
            <v>10000000</v>
          </cell>
          <cell r="F2343">
            <v>10000000</v>
          </cell>
          <cell r="G2343">
            <v>0</v>
          </cell>
          <cell r="H2343">
            <v>833333</v>
          </cell>
          <cell r="I2343">
            <v>0</v>
          </cell>
        </row>
        <row r="2344">
          <cell r="A2344" t="str">
            <v>3450|420002</v>
          </cell>
          <cell r="B2344" t="str">
            <v>3450</v>
          </cell>
          <cell r="C2344">
            <v>420002</v>
          </cell>
          <cell r="D2344">
            <v>41244</v>
          </cell>
          <cell r="E2344">
            <v>71303847</v>
          </cell>
          <cell r="F2344">
            <v>71303847</v>
          </cell>
          <cell r="G2344">
            <v>55406000</v>
          </cell>
          <cell r="H2344">
            <v>5941987</v>
          </cell>
          <cell r="I2344">
            <v>3951000</v>
          </cell>
        </row>
        <row r="2345">
          <cell r="A2345" t="str">
            <v>3450|420003</v>
          </cell>
          <cell r="B2345" t="str">
            <v>3450</v>
          </cell>
          <cell r="C2345">
            <v>420003</v>
          </cell>
          <cell r="D2345">
            <v>41244</v>
          </cell>
          <cell r="E2345">
            <v>368387499</v>
          </cell>
          <cell r="F2345">
            <v>368387499</v>
          </cell>
          <cell r="G2345">
            <v>366057075</v>
          </cell>
          <cell r="H2345">
            <v>30698958</v>
          </cell>
          <cell r="I2345">
            <v>30697831</v>
          </cell>
        </row>
        <row r="2346">
          <cell r="A2346" t="str">
            <v>3450|431002</v>
          </cell>
          <cell r="B2346" t="str">
            <v>3450</v>
          </cell>
          <cell r="C2346">
            <v>431002</v>
          </cell>
          <cell r="D2346">
            <v>41244</v>
          </cell>
          <cell r="E2346">
            <v>0</v>
          </cell>
          <cell r="F2346">
            <v>0</v>
          </cell>
          <cell r="G2346">
            <v>50200</v>
          </cell>
          <cell r="H2346">
            <v>0</v>
          </cell>
          <cell r="I2346">
            <v>0</v>
          </cell>
        </row>
        <row r="2347">
          <cell r="A2347" t="str">
            <v>3450|434012</v>
          </cell>
          <cell r="B2347" t="str">
            <v>3450</v>
          </cell>
          <cell r="C2347">
            <v>434012</v>
          </cell>
          <cell r="D2347">
            <v>41244</v>
          </cell>
          <cell r="E2347">
            <v>0</v>
          </cell>
          <cell r="F2347">
            <v>0</v>
          </cell>
          <cell r="G2347">
            <v>2799543</v>
          </cell>
          <cell r="H2347">
            <v>0</v>
          </cell>
          <cell r="I2347">
            <v>982145</v>
          </cell>
        </row>
        <row r="2348">
          <cell r="A2348" t="str">
            <v>3450|434013</v>
          </cell>
          <cell r="B2348" t="str">
            <v>3450</v>
          </cell>
          <cell r="C2348">
            <v>434013</v>
          </cell>
          <cell r="D2348">
            <v>41244</v>
          </cell>
          <cell r="E2348">
            <v>0</v>
          </cell>
          <cell r="F2348">
            <v>0</v>
          </cell>
          <cell r="G2348">
            <v>4244886</v>
          </cell>
          <cell r="H2348">
            <v>0</v>
          </cell>
          <cell r="I2348">
            <v>1366596</v>
          </cell>
        </row>
        <row r="2349">
          <cell r="A2349" t="str">
            <v>3450|435002</v>
          </cell>
          <cell r="B2349" t="str">
            <v>3450</v>
          </cell>
          <cell r="C2349">
            <v>435002</v>
          </cell>
          <cell r="D2349">
            <v>41244</v>
          </cell>
          <cell r="E2349">
            <v>5941987</v>
          </cell>
          <cell r="F2349">
            <v>5941987</v>
          </cell>
          <cell r="G2349">
            <v>5280833</v>
          </cell>
          <cell r="H2349">
            <v>495166</v>
          </cell>
          <cell r="I2349">
            <v>3951000</v>
          </cell>
        </row>
        <row r="2350">
          <cell r="A2350" t="str">
            <v>3450|435003</v>
          </cell>
          <cell r="B2350" t="str">
            <v>3450</v>
          </cell>
          <cell r="C2350">
            <v>435003</v>
          </cell>
          <cell r="D2350">
            <v>41244</v>
          </cell>
          <cell r="E2350">
            <v>46443377</v>
          </cell>
          <cell r="F2350">
            <v>46443377</v>
          </cell>
          <cell r="G2350">
            <v>50001885</v>
          </cell>
          <cell r="H2350">
            <v>3870281</v>
          </cell>
          <cell r="I2350">
            <v>0</v>
          </cell>
        </row>
        <row r="2351">
          <cell r="A2351" t="str">
            <v>3450|439003</v>
          </cell>
          <cell r="B2351" t="str">
            <v>3450</v>
          </cell>
          <cell r="C2351">
            <v>439003</v>
          </cell>
          <cell r="D2351">
            <v>41244</v>
          </cell>
          <cell r="E2351">
            <v>44055634</v>
          </cell>
          <cell r="F2351">
            <v>44055634</v>
          </cell>
          <cell r="G2351">
            <v>67228313</v>
          </cell>
          <cell r="H2351">
            <v>3671303</v>
          </cell>
          <cell r="I2351">
            <v>8296600</v>
          </cell>
        </row>
        <row r="2352">
          <cell r="A2352" t="str">
            <v>3450|439008</v>
          </cell>
          <cell r="B2352" t="str">
            <v>3450</v>
          </cell>
          <cell r="C2352">
            <v>439008</v>
          </cell>
          <cell r="D2352">
            <v>41244</v>
          </cell>
          <cell r="E2352">
            <v>16368905</v>
          </cell>
          <cell r="F2352">
            <v>16368905</v>
          </cell>
          <cell r="G2352">
            <v>20750402</v>
          </cell>
          <cell r="H2352">
            <v>1364075</v>
          </cell>
          <cell r="I2352">
            <v>0</v>
          </cell>
        </row>
        <row r="2353">
          <cell r="A2353" t="str">
            <v>3450|439202</v>
          </cell>
          <cell r="B2353" t="str">
            <v>3450</v>
          </cell>
          <cell r="C2353">
            <v>439202</v>
          </cell>
          <cell r="D2353">
            <v>41244</v>
          </cell>
          <cell r="E2353">
            <v>6000000</v>
          </cell>
          <cell r="F2353">
            <v>6000000</v>
          </cell>
          <cell r="G2353">
            <v>4650000</v>
          </cell>
          <cell r="H2353">
            <v>500000</v>
          </cell>
          <cell r="I2353">
            <v>525000</v>
          </cell>
        </row>
        <row r="2354">
          <cell r="A2354" t="str">
            <v>3450|439203</v>
          </cell>
          <cell r="B2354" t="str">
            <v>3450</v>
          </cell>
          <cell r="C2354">
            <v>439203</v>
          </cell>
          <cell r="D2354">
            <v>41244</v>
          </cell>
          <cell r="E2354">
            <v>6000000</v>
          </cell>
          <cell r="F2354">
            <v>6000000</v>
          </cell>
          <cell r="G2354">
            <v>4890000</v>
          </cell>
          <cell r="H2354">
            <v>500000</v>
          </cell>
          <cell r="I2354">
            <v>450000</v>
          </cell>
        </row>
        <row r="2355">
          <cell r="A2355" t="str">
            <v>3450|440002</v>
          </cell>
          <cell r="B2355" t="str">
            <v>3450</v>
          </cell>
          <cell r="C2355">
            <v>440002</v>
          </cell>
          <cell r="D2355">
            <v>41244</v>
          </cell>
          <cell r="E2355">
            <v>5941987</v>
          </cell>
          <cell r="F2355">
            <v>5941987</v>
          </cell>
          <cell r="G2355">
            <v>3642452</v>
          </cell>
          <cell r="H2355">
            <v>495166</v>
          </cell>
          <cell r="I2355">
            <v>558485</v>
          </cell>
        </row>
        <row r="2356">
          <cell r="A2356" t="str">
            <v>3450|440003</v>
          </cell>
          <cell r="B2356" t="str">
            <v>3450</v>
          </cell>
          <cell r="C2356">
            <v>440003</v>
          </cell>
          <cell r="D2356">
            <v>41244</v>
          </cell>
          <cell r="E2356">
            <v>30962251</v>
          </cell>
          <cell r="F2356">
            <v>30962251</v>
          </cell>
          <cell r="G2356">
            <v>27690239</v>
          </cell>
          <cell r="H2356">
            <v>2580188</v>
          </cell>
          <cell r="I2356">
            <v>2836175</v>
          </cell>
        </row>
        <row r="2357">
          <cell r="A2357" t="str">
            <v>3450|446002</v>
          </cell>
          <cell r="B2357" t="str">
            <v>3450</v>
          </cell>
          <cell r="C2357">
            <v>446002</v>
          </cell>
          <cell r="D2357">
            <v>41244</v>
          </cell>
          <cell r="E2357">
            <v>2970994</v>
          </cell>
          <cell r="F2357">
            <v>2970994</v>
          </cell>
          <cell r="G2357">
            <v>3147295</v>
          </cell>
          <cell r="H2357">
            <v>247583</v>
          </cell>
          <cell r="I2357">
            <v>150000</v>
          </cell>
        </row>
        <row r="2358">
          <cell r="A2358" t="str">
            <v>3450|447002</v>
          </cell>
          <cell r="B2358" t="str">
            <v>3450</v>
          </cell>
          <cell r="C2358">
            <v>447002</v>
          </cell>
          <cell r="D2358">
            <v>41244</v>
          </cell>
          <cell r="E2358">
            <v>2072652</v>
          </cell>
          <cell r="F2358">
            <v>2072652</v>
          </cell>
          <cell r="G2358">
            <v>301196</v>
          </cell>
          <cell r="H2358">
            <v>172721</v>
          </cell>
          <cell r="I2358">
            <v>21335</v>
          </cell>
        </row>
        <row r="2359">
          <cell r="A2359" t="str">
            <v>3450|447003</v>
          </cell>
          <cell r="B2359" t="str">
            <v>3450</v>
          </cell>
          <cell r="C2359">
            <v>447003</v>
          </cell>
          <cell r="D2359">
            <v>41244</v>
          </cell>
          <cell r="E2359">
            <v>3628300</v>
          </cell>
          <cell r="F2359">
            <v>3628300</v>
          </cell>
          <cell r="G2359">
            <v>1724382</v>
          </cell>
          <cell r="H2359">
            <v>302358</v>
          </cell>
          <cell r="I2359">
            <v>144974</v>
          </cell>
        </row>
        <row r="2360">
          <cell r="A2360" t="str">
            <v>3450|447012</v>
          </cell>
          <cell r="B2360" t="str">
            <v>3450</v>
          </cell>
          <cell r="C2360">
            <v>447012</v>
          </cell>
          <cell r="D2360">
            <v>41244</v>
          </cell>
          <cell r="E2360">
            <v>4884593</v>
          </cell>
          <cell r="F2360">
            <v>4884593</v>
          </cell>
          <cell r="G2360">
            <v>2063716</v>
          </cell>
          <cell r="H2360">
            <v>407049</v>
          </cell>
          <cell r="I2360">
            <v>146187</v>
          </cell>
        </row>
        <row r="2361">
          <cell r="A2361" t="str">
            <v>3450|447013</v>
          </cell>
          <cell r="B2361" t="str">
            <v>3450</v>
          </cell>
          <cell r="C2361">
            <v>447013</v>
          </cell>
          <cell r="D2361">
            <v>41244</v>
          </cell>
          <cell r="E2361">
            <v>11710284</v>
          </cell>
          <cell r="F2361">
            <v>11710284</v>
          </cell>
          <cell r="G2361">
            <v>11815176</v>
          </cell>
          <cell r="H2361">
            <v>975857</v>
          </cell>
          <cell r="I2361">
            <v>993339</v>
          </cell>
        </row>
        <row r="2362">
          <cell r="A2362" t="str">
            <v>3450|447022</v>
          </cell>
          <cell r="B2362" t="str">
            <v>3450</v>
          </cell>
          <cell r="C2362">
            <v>447022</v>
          </cell>
          <cell r="D2362">
            <v>41244</v>
          </cell>
          <cell r="E2362">
            <v>207265</v>
          </cell>
          <cell r="F2362">
            <v>207265</v>
          </cell>
          <cell r="G2362">
            <v>13793</v>
          </cell>
          <cell r="H2362">
            <v>17272</v>
          </cell>
          <cell r="I2362">
            <v>1050</v>
          </cell>
        </row>
        <row r="2363">
          <cell r="A2363" t="str">
            <v>3450|447023</v>
          </cell>
          <cell r="B2363" t="str">
            <v>3450</v>
          </cell>
          <cell r="C2363">
            <v>447023</v>
          </cell>
          <cell r="D2363">
            <v>41244</v>
          </cell>
          <cell r="E2363">
            <v>362830</v>
          </cell>
          <cell r="F2363">
            <v>362830</v>
          </cell>
          <cell r="G2363">
            <v>574604</v>
          </cell>
          <cell r="H2363">
            <v>30236</v>
          </cell>
          <cell r="I2363">
            <v>48500</v>
          </cell>
        </row>
        <row r="2364">
          <cell r="A2364" t="str">
            <v>3450|448002</v>
          </cell>
          <cell r="B2364" t="str">
            <v>3450</v>
          </cell>
          <cell r="C2364">
            <v>448002</v>
          </cell>
          <cell r="D2364">
            <v>41244</v>
          </cell>
          <cell r="E2364">
            <v>12314417</v>
          </cell>
          <cell r="F2364">
            <v>12314417</v>
          </cell>
          <cell r="G2364">
            <v>17139400</v>
          </cell>
          <cell r="H2364">
            <v>1026201</v>
          </cell>
          <cell r="I2364">
            <v>95000</v>
          </cell>
        </row>
        <row r="2365">
          <cell r="A2365" t="str">
            <v>3450|448003</v>
          </cell>
          <cell r="B2365" t="str">
            <v>3450</v>
          </cell>
          <cell r="C2365">
            <v>448003</v>
          </cell>
          <cell r="D2365">
            <v>41244</v>
          </cell>
          <cell r="E2365">
            <v>27014726</v>
          </cell>
          <cell r="F2365">
            <v>27014726</v>
          </cell>
          <cell r="G2365">
            <v>36490400</v>
          </cell>
          <cell r="H2365">
            <v>2251227</v>
          </cell>
          <cell r="I2365">
            <v>2685500</v>
          </cell>
        </row>
        <row r="2366">
          <cell r="A2366" t="str">
            <v>3450|449004</v>
          </cell>
          <cell r="B2366" t="str">
            <v>3450</v>
          </cell>
          <cell r="C2366">
            <v>449004</v>
          </cell>
          <cell r="D2366">
            <v>41244</v>
          </cell>
          <cell r="E2366">
            <v>1260000</v>
          </cell>
          <cell r="F2366">
            <v>1260000</v>
          </cell>
          <cell r="G2366">
            <v>1200000</v>
          </cell>
          <cell r="H2366">
            <v>105000</v>
          </cell>
          <cell r="I2366">
            <v>0</v>
          </cell>
        </row>
        <row r="2367">
          <cell r="A2367" t="str">
            <v>3450|449022</v>
          </cell>
          <cell r="B2367" t="str">
            <v>3450</v>
          </cell>
          <cell r="C2367">
            <v>449022</v>
          </cell>
          <cell r="D2367">
            <v>41244</v>
          </cell>
          <cell r="E2367">
            <v>3960000</v>
          </cell>
          <cell r="F2367">
            <v>3960000</v>
          </cell>
          <cell r="G2367">
            <v>3399000</v>
          </cell>
          <cell r="H2367">
            <v>330000</v>
          </cell>
          <cell r="I2367">
            <v>357000</v>
          </cell>
        </row>
        <row r="2368">
          <cell r="A2368" t="str">
            <v>3450|449032</v>
          </cell>
          <cell r="B2368" t="str">
            <v>3450</v>
          </cell>
          <cell r="C2368">
            <v>449032</v>
          </cell>
          <cell r="D2368">
            <v>41244</v>
          </cell>
          <cell r="E2368">
            <v>2046666</v>
          </cell>
          <cell r="F2368">
            <v>2046666</v>
          </cell>
          <cell r="G2368">
            <v>0</v>
          </cell>
          <cell r="H2368">
            <v>170556</v>
          </cell>
          <cell r="I2368">
            <v>0</v>
          </cell>
        </row>
        <row r="2369">
          <cell r="A2369" t="str">
            <v>3450|449040</v>
          </cell>
          <cell r="B2369" t="str">
            <v>3450</v>
          </cell>
          <cell r="C2369">
            <v>449040</v>
          </cell>
          <cell r="D2369">
            <v>41244</v>
          </cell>
          <cell r="E2369">
            <v>400000</v>
          </cell>
          <cell r="F2369">
            <v>400000</v>
          </cell>
          <cell r="G2369">
            <v>0</v>
          </cell>
          <cell r="H2369">
            <v>33333</v>
          </cell>
          <cell r="I2369">
            <v>0</v>
          </cell>
        </row>
        <row r="2370">
          <cell r="A2370" t="str">
            <v>3450|449050</v>
          </cell>
          <cell r="B2370" t="str">
            <v>3450</v>
          </cell>
          <cell r="C2370">
            <v>449050</v>
          </cell>
          <cell r="D2370">
            <v>41244</v>
          </cell>
          <cell r="E2370">
            <v>5000000</v>
          </cell>
          <cell r="F2370">
            <v>5000000</v>
          </cell>
          <cell r="G2370">
            <v>5000000</v>
          </cell>
          <cell r="H2370">
            <v>416667</v>
          </cell>
          <cell r="I2370">
            <v>0</v>
          </cell>
        </row>
        <row r="2371">
          <cell r="A2371" t="str">
            <v>3450|449061</v>
          </cell>
          <cell r="B2371" t="str">
            <v>3450</v>
          </cell>
          <cell r="C2371">
            <v>449061</v>
          </cell>
          <cell r="D2371">
            <v>41244</v>
          </cell>
          <cell r="E2371">
            <v>7463500</v>
          </cell>
          <cell r="F2371">
            <v>7463500</v>
          </cell>
          <cell r="G2371">
            <v>7116500</v>
          </cell>
          <cell r="H2371">
            <v>621957</v>
          </cell>
          <cell r="I2371">
            <v>276000</v>
          </cell>
        </row>
        <row r="2372">
          <cell r="A2372" t="str">
            <v>3450|459005</v>
          </cell>
          <cell r="B2372" t="str">
            <v>3450</v>
          </cell>
          <cell r="C2372">
            <v>459005</v>
          </cell>
          <cell r="D2372">
            <v>41244</v>
          </cell>
          <cell r="E2372">
            <v>1</v>
          </cell>
          <cell r="F2372">
            <v>1</v>
          </cell>
          <cell r="G2372">
            <v>0</v>
          </cell>
          <cell r="H2372">
            <v>0</v>
          </cell>
          <cell r="I2372">
            <v>0</v>
          </cell>
        </row>
        <row r="2373">
          <cell r="A2373" t="str">
            <v>3450|470102</v>
          </cell>
          <cell r="B2373" t="str">
            <v>3450</v>
          </cell>
          <cell r="C2373">
            <v>470102</v>
          </cell>
          <cell r="D2373">
            <v>41244</v>
          </cell>
          <cell r="E2373">
            <v>1796744</v>
          </cell>
          <cell r="F2373">
            <v>1796744</v>
          </cell>
          <cell r="G2373">
            <v>1702200</v>
          </cell>
          <cell r="H2373">
            <v>149728</v>
          </cell>
          <cell r="I2373">
            <v>280000</v>
          </cell>
        </row>
        <row r="2374">
          <cell r="A2374" t="str">
            <v>3450|472000</v>
          </cell>
          <cell r="B2374" t="str">
            <v>3450</v>
          </cell>
          <cell r="C2374">
            <v>472000</v>
          </cell>
          <cell r="D2374">
            <v>41244</v>
          </cell>
          <cell r="E2374">
            <v>8400000</v>
          </cell>
          <cell r="F2374">
            <v>8400000</v>
          </cell>
          <cell r="G2374">
            <v>8107249</v>
          </cell>
          <cell r="H2374">
            <v>699985</v>
          </cell>
          <cell r="I2374">
            <v>2092360</v>
          </cell>
        </row>
        <row r="2375">
          <cell r="A2375" t="str">
            <v>3450|473000</v>
          </cell>
          <cell r="B2375" t="str">
            <v>3450</v>
          </cell>
          <cell r="C2375">
            <v>473000</v>
          </cell>
          <cell r="D2375">
            <v>41244</v>
          </cell>
          <cell r="E2375">
            <v>200000</v>
          </cell>
          <cell r="F2375">
            <v>200000</v>
          </cell>
          <cell r="G2375">
            <v>54000</v>
          </cell>
          <cell r="H2375">
            <v>16667</v>
          </cell>
          <cell r="I2375">
            <v>6000</v>
          </cell>
        </row>
        <row r="2376">
          <cell r="A2376" t="str">
            <v>3450|473120</v>
          </cell>
          <cell r="B2376" t="str">
            <v>3450</v>
          </cell>
          <cell r="C2376">
            <v>473120</v>
          </cell>
          <cell r="D2376">
            <v>41244</v>
          </cell>
          <cell r="E2376">
            <v>5463115</v>
          </cell>
          <cell r="F2376">
            <v>5463115</v>
          </cell>
          <cell r="G2376">
            <v>8378277</v>
          </cell>
          <cell r="H2376">
            <v>455260</v>
          </cell>
          <cell r="I2376">
            <v>224897</v>
          </cell>
        </row>
        <row r="2377">
          <cell r="A2377" t="str">
            <v>3450|474100</v>
          </cell>
          <cell r="B2377" t="str">
            <v>3450</v>
          </cell>
          <cell r="C2377">
            <v>474100</v>
          </cell>
          <cell r="D2377">
            <v>41244</v>
          </cell>
          <cell r="E2377">
            <v>58790400</v>
          </cell>
          <cell r="F2377">
            <v>58790400</v>
          </cell>
          <cell r="G2377">
            <v>63787172</v>
          </cell>
          <cell r="H2377">
            <v>4899200</v>
          </cell>
          <cell r="I2377">
            <v>0</v>
          </cell>
        </row>
        <row r="2378">
          <cell r="A2378" t="str">
            <v>3450|474101</v>
          </cell>
          <cell r="B2378" t="str">
            <v>3450</v>
          </cell>
          <cell r="C2378">
            <v>474101</v>
          </cell>
          <cell r="D2378">
            <v>41244</v>
          </cell>
          <cell r="E2378">
            <v>24080000</v>
          </cell>
          <cell r="F2378">
            <v>24080000</v>
          </cell>
          <cell r="G2378">
            <v>23685507</v>
          </cell>
          <cell r="H2378">
            <v>2006638</v>
          </cell>
          <cell r="I2378">
            <v>8262500</v>
          </cell>
        </row>
        <row r="2379">
          <cell r="A2379" t="str">
            <v>3450|475004</v>
          </cell>
          <cell r="B2379" t="str">
            <v>3450</v>
          </cell>
          <cell r="C2379">
            <v>475004</v>
          </cell>
          <cell r="D2379">
            <v>41244</v>
          </cell>
          <cell r="E2379">
            <v>32100000</v>
          </cell>
          <cell r="F2379">
            <v>32100000</v>
          </cell>
          <cell r="G2379">
            <v>32034304</v>
          </cell>
          <cell r="H2379">
            <v>2675000</v>
          </cell>
          <cell r="I2379">
            <v>3443924</v>
          </cell>
        </row>
        <row r="2380">
          <cell r="A2380" t="str">
            <v>3450|475006</v>
          </cell>
          <cell r="B2380" t="str">
            <v>3450</v>
          </cell>
          <cell r="C2380">
            <v>475006</v>
          </cell>
          <cell r="D2380">
            <v>41244</v>
          </cell>
          <cell r="E2380">
            <v>2690300</v>
          </cell>
          <cell r="F2380">
            <v>2690300</v>
          </cell>
          <cell r="G2380">
            <v>5148756</v>
          </cell>
          <cell r="H2380">
            <v>224191</v>
          </cell>
          <cell r="I2380">
            <v>429063</v>
          </cell>
        </row>
        <row r="2381">
          <cell r="A2381" t="str">
            <v>3450|476000</v>
          </cell>
          <cell r="B2381" t="str">
            <v>3450</v>
          </cell>
          <cell r="C2381">
            <v>476000</v>
          </cell>
          <cell r="D2381">
            <v>41244</v>
          </cell>
          <cell r="E2381">
            <v>700000</v>
          </cell>
          <cell r="F2381">
            <v>700000</v>
          </cell>
          <cell r="G2381">
            <v>613869</v>
          </cell>
          <cell r="H2381">
            <v>58333</v>
          </cell>
          <cell r="I2381">
            <v>0</v>
          </cell>
        </row>
        <row r="2382">
          <cell r="A2382" t="str">
            <v>3450|476001</v>
          </cell>
          <cell r="B2382" t="str">
            <v>3450</v>
          </cell>
          <cell r="C2382">
            <v>476001</v>
          </cell>
          <cell r="D2382">
            <v>41244</v>
          </cell>
          <cell r="E2382">
            <v>14518000</v>
          </cell>
          <cell r="F2382">
            <v>14518000</v>
          </cell>
          <cell r="G2382">
            <v>14425749</v>
          </cell>
          <cell r="H2382">
            <v>1209833</v>
          </cell>
          <cell r="I2382">
            <v>0</v>
          </cell>
        </row>
        <row r="2383">
          <cell r="A2383" t="str">
            <v>3450|476002</v>
          </cell>
          <cell r="B2383" t="str">
            <v>3450</v>
          </cell>
          <cell r="C2383">
            <v>476002</v>
          </cell>
          <cell r="D2383">
            <v>41244</v>
          </cell>
          <cell r="E2383">
            <v>14712500</v>
          </cell>
          <cell r="F2383">
            <v>14712500</v>
          </cell>
          <cell r="G2383">
            <v>4406101</v>
          </cell>
          <cell r="H2383">
            <v>1226038</v>
          </cell>
          <cell r="I2383">
            <v>1559601</v>
          </cell>
        </row>
        <row r="2384">
          <cell r="A2384" t="str">
            <v>3450|476220</v>
          </cell>
          <cell r="B2384" t="str">
            <v>3450</v>
          </cell>
          <cell r="C2384">
            <v>476220</v>
          </cell>
          <cell r="D2384">
            <v>41244</v>
          </cell>
          <cell r="E2384">
            <v>0</v>
          </cell>
          <cell r="F2384">
            <v>0</v>
          </cell>
          <cell r="G2384">
            <v>50074911</v>
          </cell>
          <cell r="H2384">
            <v>0</v>
          </cell>
          <cell r="I2384">
            <v>0</v>
          </cell>
        </row>
        <row r="2385">
          <cell r="A2385" t="str">
            <v>3450|476900</v>
          </cell>
          <cell r="B2385" t="str">
            <v>3450</v>
          </cell>
          <cell r="C2385">
            <v>476900</v>
          </cell>
          <cell r="D2385">
            <v>41244</v>
          </cell>
          <cell r="E2385">
            <v>6207500</v>
          </cell>
          <cell r="F2385">
            <v>6207500</v>
          </cell>
          <cell r="G2385">
            <v>5905038</v>
          </cell>
          <cell r="H2385">
            <v>517302</v>
          </cell>
          <cell r="I2385">
            <v>1944443</v>
          </cell>
        </row>
        <row r="2386">
          <cell r="A2386" t="str">
            <v>3460|211100</v>
          </cell>
          <cell r="B2386" t="str">
            <v>3460</v>
          </cell>
          <cell r="C2386">
            <v>211100</v>
          </cell>
          <cell r="D2386">
            <v>41244</v>
          </cell>
          <cell r="E2386">
            <v>371840702</v>
          </cell>
          <cell r="F2386">
            <v>371840702</v>
          </cell>
          <cell r="G2386">
            <v>300174126</v>
          </cell>
          <cell r="H2386">
            <v>30986725</v>
          </cell>
          <cell r="I2386">
            <v>26171160</v>
          </cell>
        </row>
        <row r="2387">
          <cell r="A2387" t="str">
            <v>3460|246000</v>
          </cell>
          <cell r="B2387" t="str">
            <v>3460</v>
          </cell>
          <cell r="C2387">
            <v>246000</v>
          </cell>
          <cell r="D2387">
            <v>41244</v>
          </cell>
          <cell r="E2387">
            <v>0</v>
          </cell>
          <cell r="F2387">
            <v>0</v>
          </cell>
          <cell r="G2387">
            <v>33300000</v>
          </cell>
          <cell r="H2387">
            <v>0</v>
          </cell>
          <cell r="I2387">
            <v>0</v>
          </cell>
        </row>
        <row r="2388">
          <cell r="A2388" t="str">
            <v>3460|400040</v>
          </cell>
          <cell r="B2388" t="str">
            <v>3460</v>
          </cell>
          <cell r="C2388">
            <v>400040</v>
          </cell>
          <cell r="D2388">
            <v>41244</v>
          </cell>
          <cell r="E2388">
            <v>6003298</v>
          </cell>
          <cell r="F2388">
            <v>6003298</v>
          </cell>
          <cell r="G2388">
            <v>48311989</v>
          </cell>
          <cell r="H2388">
            <v>500275</v>
          </cell>
          <cell r="I2388">
            <v>0</v>
          </cell>
        </row>
        <row r="2389">
          <cell r="A2389" t="str">
            <v>3460|405200</v>
          </cell>
          <cell r="B2389" t="str">
            <v>3460</v>
          </cell>
          <cell r="C2389">
            <v>405200</v>
          </cell>
          <cell r="D2389">
            <v>41244</v>
          </cell>
          <cell r="E2389">
            <v>2215000</v>
          </cell>
          <cell r="F2389">
            <v>2215000</v>
          </cell>
          <cell r="G2389">
            <v>724696700</v>
          </cell>
          <cell r="H2389">
            <v>184583</v>
          </cell>
          <cell r="I2389">
            <v>367848000</v>
          </cell>
        </row>
        <row r="2390">
          <cell r="A2390" t="str">
            <v>3460|405252</v>
          </cell>
          <cell r="B2390" t="str">
            <v>3460</v>
          </cell>
          <cell r="C2390">
            <v>405252</v>
          </cell>
          <cell r="D2390">
            <v>41244</v>
          </cell>
          <cell r="E2390">
            <v>3268147600</v>
          </cell>
          <cell r="F2390">
            <v>3268147600</v>
          </cell>
          <cell r="G2390">
            <v>132678759</v>
          </cell>
          <cell r="H2390">
            <v>272345633</v>
          </cell>
          <cell r="I2390">
            <v>0</v>
          </cell>
        </row>
        <row r="2391">
          <cell r="A2391" t="str">
            <v>3460|420001</v>
          </cell>
          <cell r="B2391" t="str">
            <v>3460</v>
          </cell>
          <cell r="C2391">
            <v>420001</v>
          </cell>
          <cell r="D2391">
            <v>41244</v>
          </cell>
          <cell r="E2391">
            <v>0</v>
          </cell>
          <cell r="F2391">
            <v>0</v>
          </cell>
          <cell r="G2391">
            <v>96197578</v>
          </cell>
          <cell r="H2391">
            <v>0</v>
          </cell>
          <cell r="I2391">
            <v>5991329</v>
          </cell>
        </row>
        <row r="2392">
          <cell r="A2392" t="str">
            <v>3460|420002</v>
          </cell>
          <cell r="B2392" t="str">
            <v>3460</v>
          </cell>
          <cell r="C2392">
            <v>420002</v>
          </cell>
          <cell r="D2392">
            <v>41244</v>
          </cell>
          <cell r="E2392">
            <v>855646169</v>
          </cell>
          <cell r="F2392">
            <v>855646169</v>
          </cell>
          <cell r="G2392">
            <v>619230700</v>
          </cell>
          <cell r="H2392">
            <v>71303847</v>
          </cell>
          <cell r="I2392">
            <v>48402500</v>
          </cell>
        </row>
        <row r="2393">
          <cell r="A2393" t="str">
            <v>3460|420003</v>
          </cell>
          <cell r="B2393" t="str">
            <v>3460</v>
          </cell>
          <cell r="C2393">
            <v>420003</v>
          </cell>
          <cell r="D2393">
            <v>41244</v>
          </cell>
          <cell r="E2393">
            <v>1839388008</v>
          </cell>
          <cell r="F2393">
            <v>1839388008</v>
          </cell>
          <cell r="G2393">
            <v>1541525193</v>
          </cell>
          <cell r="H2393">
            <v>153282334</v>
          </cell>
          <cell r="I2393">
            <v>128694375</v>
          </cell>
        </row>
        <row r="2394">
          <cell r="A2394" t="str">
            <v>3460|422001</v>
          </cell>
          <cell r="B2394" t="str">
            <v>3460</v>
          </cell>
          <cell r="C2394">
            <v>422001</v>
          </cell>
          <cell r="D2394">
            <v>41244</v>
          </cell>
          <cell r="E2394">
            <v>172075</v>
          </cell>
          <cell r="F2394">
            <v>172075</v>
          </cell>
          <cell r="G2394">
            <v>71850</v>
          </cell>
          <cell r="H2394">
            <v>14340</v>
          </cell>
          <cell r="I2394">
            <v>0</v>
          </cell>
        </row>
        <row r="2395">
          <cell r="A2395" t="str">
            <v>3460|422002</v>
          </cell>
          <cell r="B2395" t="str">
            <v>3460</v>
          </cell>
          <cell r="C2395">
            <v>422002</v>
          </cell>
          <cell r="D2395">
            <v>41244</v>
          </cell>
          <cell r="E2395">
            <v>1866245</v>
          </cell>
          <cell r="F2395">
            <v>1866245</v>
          </cell>
          <cell r="G2395">
            <v>893700</v>
          </cell>
          <cell r="H2395">
            <v>155520</v>
          </cell>
          <cell r="I2395">
            <v>0</v>
          </cell>
        </row>
        <row r="2396">
          <cell r="A2396" t="str">
            <v>3460|422003</v>
          </cell>
          <cell r="B2396" t="str">
            <v>3460</v>
          </cell>
          <cell r="C2396">
            <v>422003</v>
          </cell>
          <cell r="D2396">
            <v>41244</v>
          </cell>
          <cell r="E2396">
            <v>804388482</v>
          </cell>
          <cell r="F2396">
            <v>804388482</v>
          </cell>
          <cell r="G2396">
            <v>1053247824</v>
          </cell>
          <cell r="H2396">
            <v>67032373</v>
          </cell>
          <cell r="I2396">
            <v>84707190</v>
          </cell>
        </row>
        <row r="2397">
          <cell r="A2397" t="str">
            <v>3460|431001</v>
          </cell>
          <cell r="B2397" t="str">
            <v>3460</v>
          </cell>
          <cell r="C2397">
            <v>431001</v>
          </cell>
          <cell r="D2397">
            <v>41244</v>
          </cell>
          <cell r="E2397">
            <v>0</v>
          </cell>
          <cell r="F2397">
            <v>0</v>
          </cell>
          <cell r="G2397">
            <v>19838658</v>
          </cell>
          <cell r="H2397">
            <v>0</v>
          </cell>
          <cell r="I2397">
            <v>536240</v>
          </cell>
        </row>
        <row r="2398">
          <cell r="A2398" t="str">
            <v>3460|431002</v>
          </cell>
          <cell r="B2398" t="str">
            <v>3460</v>
          </cell>
          <cell r="C2398">
            <v>431002</v>
          </cell>
          <cell r="D2398">
            <v>41244</v>
          </cell>
          <cell r="E2398">
            <v>122203144</v>
          </cell>
          <cell r="F2398">
            <v>122203144</v>
          </cell>
          <cell r="G2398">
            <v>146577899</v>
          </cell>
          <cell r="H2398">
            <v>10183595</v>
          </cell>
          <cell r="I2398">
            <v>3288527</v>
          </cell>
        </row>
        <row r="2399">
          <cell r="A2399" t="str">
            <v>3460|433002</v>
          </cell>
          <cell r="B2399" t="str">
            <v>3460</v>
          </cell>
          <cell r="C2399">
            <v>433002</v>
          </cell>
          <cell r="D2399">
            <v>41244</v>
          </cell>
          <cell r="E2399">
            <v>5998116</v>
          </cell>
          <cell r="F2399">
            <v>5998116</v>
          </cell>
          <cell r="G2399">
            <v>6590700</v>
          </cell>
          <cell r="H2399">
            <v>499843</v>
          </cell>
          <cell r="I2399">
            <v>554100</v>
          </cell>
        </row>
        <row r="2400">
          <cell r="A2400" t="str">
            <v>3460|433003</v>
          </cell>
          <cell r="B2400" t="str">
            <v>3460</v>
          </cell>
          <cell r="C2400">
            <v>433003</v>
          </cell>
          <cell r="D2400">
            <v>41244</v>
          </cell>
          <cell r="E2400">
            <v>25963564</v>
          </cell>
          <cell r="F2400">
            <v>25963564</v>
          </cell>
          <cell r="G2400">
            <v>27928950</v>
          </cell>
          <cell r="H2400">
            <v>2163630</v>
          </cell>
          <cell r="I2400">
            <v>2348075</v>
          </cell>
        </row>
        <row r="2401">
          <cell r="A2401" t="str">
            <v>3460|434011</v>
          </cell>
          <cell r="B2401" t="str">
            <v>3460</v>
          </cell>
          <cell r="C2401">
            <v>434011</v>
          </cell>
          <cell r="D2401">
            <v>41244</v>
          </cell>
          <cell r="E2401">
            <v>0</v>
          </cell>
          <cell r="F2401">
            <v>0</v>
          </cell>
          <cell r="G2401">
            <v>3321743</v>
          </cell>
          <cell r="H2401">
            <v>0</v>
          </cell>
          <cell r="I2401">
            <v>673207</v>
          </cell>
        </row>
        <row r="2402">
          <cell r="A2402" t="str">
            <v>3460|434012</v>
          </cell>
          <cell r="B2402" t="str">
            <v>3460</v>
          </cell>
          <cell r="C2402">
            <v>434012</v>
          </cell>
          <cell r="D2402">
            <v>41244</v>
          </cell>
          <cell r="E2402">
            <v>114566500</v>
          </cell>
          <cell r="F2402">
            <v>114566500</v>
          </cell>
          <cell r="G2402">
            <v>41009155</v>
          </cell>
          <cell r="H2402">
            <v>9547208</v>
          </cell>
          <cell r="I2402">
            <v>8839309</v>
          </cell>
        </row>
        <row r="2403">
          <cell r="A2403" t="str">
            <v>3460|434013</v>
          </cell>
          <cell r="B2403" t="str">
            <v>3460</v>
          </cell>
          <cell r="C2403">
            <v>434013</v>
          </cell>
          <cell r="D2403">
            <v>41244</v>
          </cell>
          <cell r="E2403">
            <v>17739750</v>
          </cell>
          <cell r="F2403">
            <v>17739750</v>
          </cell>
          <cell r="G2403">
            <v>27870663</v>
          </cell>
          <cell r="H2403">
            <v>1478312</v>
          </cell>
          <cell r="I2403">
            <v>5466384</v>
          </cell>
        </row>
        <row r="2404">
          <cell r="A2404" t="str">
            <v>3460|435001</v>
          </cell>
          <cell r="B2404" t="str">
            <v>3460</v>
          </cell>
          <cell r="C2404">
            <v>435001</v>
          </cell>
          <cell r="D2404">
            <v>41244</v>
          </cell>
          <cell r="E2404">
            <v>0</v>
          </cell>
          <cell r="F2404">
            <v>0</v>
          </cell>
          <cell r="G2404">
            <v>6201012</v>
          </cell>
          <cell r="H2404">
            <v>0</v>
          </cell>
          <cell r="I2404">
            <v>6201012</v>
          </cell>
        </row>
        <row r="2405">
          <cell r="A2405" t="str">
            <v>3460|435002</v>
          </cell>
          <cell r="B2405" t="str">
            <v>3460</v>
          </cell>
          <cell r="C2405">
            <v>435002</v>
          </cell>
          <cell r="D2405">
            <v>41244</v>
          </cell>
          <cell r="E2405">
            <v>71303847</v>
          </cell>
          <cell r="F2405">
            <v>71303847</v>
          </cell>
          <cell r="G2405">
            <v>52272917</v>
          </cell>
          <cell r="H2405">
            <v>5941987</v>
          </cell>
          <cell r="I2405">
            <v>48402500</v>
          </cell>
        </row>
        <row r="2406">
          <cell r="A2406" t="str">
            <v>3460|435003</v>
          </cell>
          <cell r="B2406" t="str">
            <v>3460</v>
          </cell>
          <cell r="C2406">
            <v>435003</v>
          </cell>
          <cell r="D2406">
            <v>41244</v>
          </cell>
          <cell r="E2406">
            <v>77506661</v>
          </cell>
          <cell r="F2406">
            <v>77506661</v>
          </cell>
          <cell r="G2406">
            <v>85846275</v>
          </cell>
          <cell r="H2406">
            <v>6458888</v>
          </cell>
          <cell r="I2406">
            <v>0</v>
          </cell>
        </row>
        <row r="2407">
          <cell r="A2407" t="str">
            <v>3460|439001</v>
          </cell>
          <cell r="B2407" t="str">
            <v>3460</v>
          </cell>
          <cell r="C2407">
            <v>439001</v>
          </cell>
          <cell r="D2407">
            <v>41244</v>
          </cell>
          <cell r="E2407">
            <v>0</v>
          </cell>
          <cell r="F2407">
            <v>0</v>
          </cell>
          <cell r="G2407">
            <v>31546304</v>
          </cell>
          <cell r="H2407">
            <v>0</v>
          </cell>
          <cell r="I2407">
            <v>0</v>
          </cell>
        </row>
        <row r="2408">
          <cell r="A2408" t="str">
            <v>3460|439003</v>
          </cell>
          <cell r="B2408" t="str">
            <v>3460</v>
          </cell>
          <cell r="C2408">
            <v>439003</v>
          </cell>
          <cell r="D2408">
            <v>41244</v>
          </cell>
          <cell r="E2408">
            <v>176222535</v>
          </cell>
          <cell r="F2408">
            <v>176222535</v>
          </cell>
          <cell r="G2408">
            <v>268913246</v>
          </cell>
          <cell r="H2408">
            <v>14685211</v>
          </cell>
          <cell r="I2408">
            <v>33186399</v>
          </cell>
        </row>
        <row r="2409">
          <cell r="A2409" t="str">
            <v>3460|439006</v>
          </cell>
          <cell r="B2409" t="str">
            <v>3460</v>
          </cell>
          <cell r="C2409">
            <v>439006</v>
          </cell>
          <cell r="D2409">
            <v>41244</v>
          </cell>
          <cell r="E2409">
            <v>149501030</v>
          </cell>
          <cell r="F2409">
            <v>149501030</v>
          </cell>
          <cell r="G2409">
            <v>45128239</v>
          </cell>
          <cell r="H2409">
            <v>12458419</v>
          </cell>
          <cell r="I2409">
            <v>0</v>
          </cell>
        </row>
        <row r="2410">
          <cell r="A2410" t="str">
            <v>3460|439008</v>
          </cell>
          <cell r="B2410" t="str">
            <v>3460</v>
          </cell>
          <cell r="C2410">
            <v>439008</v>
          </cell>
          <cell r="D2410">
            <v>41244</v>
          </cell>
          <cell r="E2410">
            <v>196426861</v>
          </cell>
          <cell r="F2410">
            <v>196426861</v>
          </cell>
          <cell r="G2410">
            <v>207289520</v>
          </cell>
          <cell r="H2410">
            <v>16368905</v>
          </cell>
          <cell r="I2410">
            <v>0</v>
          </cell>
        </row>
        <row r="2411">
          <cell r="A2411" t="str">
            <v>3460|439201</v>
          </cell>
          <cell r="B2411" t="str">
            <v>3460</v>
          </cell>
          <cell r="C2411">
            <v>439201</v>
          </cell>
          <cell r="D2411">
            <v>41244</v>
          </cell>
          <cell r="E2411">
            <v>18000000</v>
          </cell>
          <cell r="F2411">
            <v>18000000</v>
          </cell>
          <cell r="G2411">
            <v>12850000</v>
          </cell>
          <cell r="H2411">
            <v>1500000</v>
          </cell>
          <cell r="I2411">
            <v>1000000</v>
          </cell>
        </row>
        <row r="2412">
          <cell r="A2412" t="str">
            <v>3460|439202</v>
          </cell>
          <cell r="B2412" t="str">
            <v>3460</v>
          </cell>
          <cell r="C2412">
            <v>439202</v>
          </cell>
          <cell r="D2412">
            <v>41244</v>
          </cell>
          <cell r="E2412">
            <v>66000000</v>
          </cell>
          <cell r="F2412">
            <v>66000000</v>
          </cell>
          <cell r="G2412">
            <v>45600000</v>
          </cell>
          <cell r="H2412">
            <v>5500000</v>
          </cell>
          <cell r="I2412">
            <v>4400000</v>
          </cell>
        </row>
        <row r="2413">
          <cell r="A2413" t="str">
            <v>3460|439203</v>
          </cell>
          <cell r="B2413" t="str">
            <v>3460</v>
          </cell>
          <cell r="C2413">
            <v>439203</v>
          </cell>
          <cell r="D2413">
            <v>41244</v>
          </cell>
          <cell r="E2413">
            <v>24000000</v>
          </cell>
          <cell r="F2413">
            <v>24000000</v>
          </cell>
          <cell r="G2413">
            <v>19505000</v>
          </cell>
          <cell r="H2413">
            <v>2000000</v>
          </cell>
          <cell r="I2413">
            <v>2000000</v>
          </cell>
        </row>
        <row r="2414">
          <cell r="A2414" t="str">
            <v>3460|440001</v>
          </cell>
          <cell r="B2414" t="str">
            <v>3460</v>
          </cell>
          <cell r="C2414">
            <v>440001</v>
          </cell>
          <cell r="D2414">
            <v>41244</v>
          </cell>
          <cell r="E2414">
            <v>0</v>
          </cell>
          <cell r="F2414">
            <v>0</v>
          </cell>
          <cell r="G2414">
            <v>5835292</v>
          </cell>
          <cell r="H2414">
            <v>0</v>
          </cell>
          <cell r="I2414">
            <v>713563</v>
          </cell>
        </row>
        <row r="2415">
          <cell r="A2415" t="str">
            <v>3460|440002</v>
          </cell>
          <cell r="B2415" t="str">
            <v>3460</v>
          </cell>
          <cell r="C2415">
            <v>440002</v>
          </cell>
          <cell r="D2415">
            <v>41244</v>
          </cell>
          <cell r="E2415">
            <v>71303847</v>
          </cell>
          <cell r="F2415">
            <v>71303847</v>
          </cell>
          <cell r="G2415">
            <v>59863180</v>
          </cell>
          <cell r="H2415">
            <v>5941987</v>
          </cell>
          <cell r="I2415">
            <v>5026361</v>
          </cell>
        </row>
        <row r="2416">
          <cell r="A2416" t="str">
            <v>3460|440003</v>
          </cell>
          <cell r="B2416" t="str">
            <v>3460</v>
          </cell>
          <cell r="C2416">
            <v>440003</v>
          </cell>
          <cell r="D2416">
            <v>41244</v>
          </cell>
          <cell r="E2416">
            <v>67877415</v>
          </cell>
          <cell r="F2416">
            <v>67877415</v>
          </cell>
          <cell r="G2416">
            <v>55006735</v>
          </cell>
          <cell r="H2416">
            <v>5656451</v>
          </cell>
          <cell r="I2416">
            <v>4733128</v>
          </cell>
        </row>
        <row r="2417">
          <cell r="A2417" t="str">
            <v>3460|446001</v>
          </cell>
          <cell r="B2417" t="str">
            <v>3460</v>
          </cell>
          <cell r="C2417">
            <v>446001</v>
          </cell>
          <cell r="D2417">
            <v>41244</v>
          </cell>
          <cell r="E2417">
            <v>0</v>
          </cell>
          <cell r="F2417">
            <v>0</v>
          </cell>
          <cell r="G2417">
            <v>9922449</v>
          </cell>
          <cell r="H2417">
            <v>0</v>
          </cell>
          <cell r="I2417">
            <v>100000</v>
          </cell>
        </row>
        <row r="2418">
          <cell r="A2418" t="str">
            <v>3460|446002</v>
          </cell>
          <cell r="B2418" t="str">
            <v>3460</v>
          </cell>
          <cell r="C2418">
            <v>446002</v>
          </cell>
          <cell r="D2418">
            <v>41244</v>
          </cell>
          <cell r="E2418">
            <v>54406624</v>
          </cell>
          <cell r="F2418">
            <v>54406624</v>
          </cell>
          <cell r="G2418">
            <v>20220337</v>
          </cell>
          <cell r="H2418">
            <v>4533885</v>
          </cell>
          <cell r="I2418">
            <v>1300000</v>
          </cell>
        </row>
        <row r="2419">
          <cell r="A2419" t="str">
            <v>3460|447001</v>
          </cell>
          <cell r="B2419" t="str">
            <v>3460</v>
          </cell>
          <cell r="C2419">
            <v>447001</v>
          </cell>
          <cell r="D2419">
            <v>41244</v>
          </cell>
          <cell r="E2419">
            <v>0</v>
          </cell>
          <cell r="F2419">
            <v>0</v>
          </cell>
          <cell r="G2419">
            <v>507456</v>
          </cell>
          <cell r="H2419">
            <v>0</v>
          </cell>
          <cell r="I2419">
            <v>33485</v>
          </cell>
        </row>
        <row r="2420">
          <cell r="A2420" t="str">
            <v>3460|447002</v>
          </cell>
          <cell r="B2420" t="str">
            <v>3460</v>
          </cell>
          <cell r="C2420">
            <v>447002</v>
          </cell>
          <cell r="D2420">
            <v>41244</v>
          </cell>
          <cell r="E2420">
            <v>24871820</v>
          </cell>
          <cell r="F2420">
            <v>24871820</v>
          </cell>
          <cell r="G2420">
            <v>4427798</v>
          </cell>
          <cell r="H2420">
            <v>2072652</v>
          </cell>
          <cell r="I2420">
            <v>357767</v>
          </cell>
        </row>
        <row r="2421">
          <cell r="A2421" t="str">
            <v>3460|447003</v>
          </cell>
          <cell r="B2421" t="str">
            <v>3460</v>
          </cell>
          <cell r="C2421">
            <v>447003</v>
          </cell>
          <cell r="D2421">
            <v>41244</v>
          </cell>
          <cell r="E2421">
            <v>4522783</v>
          </cell>
          <cell r="F2421">
            <v>4522783</v>
          </cell>
          <cell r="G2421">
            <v>3442686</v>
          </cell>
          <cell r="H2421">
            <v>376899</v>
          </cell>
          <cell r="I2421">
            <v>289438</v>
          </cell>
        </row>
        <row r="2422">
          <cell r="A2422" t="str">
            <v>3460|447011</v>
          </cell>
          <cell r="B2422" t="str">
            <v>3460</v>
          </cell>
          <cell r="C2422">
            <v>447011</v>
          </cell>
          <cell r="D2422">
            <v>41244</v>
          </cell>
          <cell r="E2422">
            <v>0</v>
          </cell>
          <cell r="F2422">
            <v>0</v>
          </cell>
          <cell r="G2422">
            <v>3477048</v>
          </cell>
          <cell r="H2422">
            <v>0</v>
          </cell>
          <cell r="I2422">
            <v>229437</v>
          </cell>
        </row>
        <row r="2423">
          <cell r="A2423" t="str">
            <v>3460|447012</v>
          </cell>
          <cell r="B2423" t="str">
            <v>3460</v>
          </cell>
          <cell r="C2423">
            <v>447012</v>
          </cell>
          <cell r="D2423">
            <v>41244</v>
          </cell>
          <cell r="E2423">
            <v>58615117</v>
          </cell>
          <cell r="F2423">
            <v>58615117</v>
          </cell>
          <cell r="G2423">
            <v>22779583</v>
          </cell>
          <cell r="H2423">
            <v>4884593</v>
          </cell>
          <cell r="I2423">
            <v>1790895</v>
          </cell>
        </row>
        <row r="2424">
          <cell r="A2424" t="str">
            <v>3460|447013</v>
          </cell>
          <cell r="B2424" t="str">
            <v>3460</v>
          </cell>
          <cell r="C2424">
            <v>447013</v>
          </cell>
          <cell r="D2424">
            <v>41244</v>
          </cell>
          <cell r="E2424">
            <v>23379276</v>
          </cell>
          <cell r="F2424">
            <v>23379276</v>
          </cell>
          <cell r="G2424">
            <v>23588730</v>
          </cell>
          <cell r="H2424">
            <v>1948272</v>
          </cell>
          <cell r="I2424">
            <v>1983182</v>
          </cell>
        </row>
        <row r="2425">
          <cell r="A2425" t="str">
            <v>3460|447021</v>
          </cell>
          <cell r="B2425" t="str">
            <v>3460</v>
          </cell>
          <cell r="C2425">
            <v>447021</v>
          </cell>
          <cell r="D2425">
            <v>41244</v>
          </cell>
          <cell r="E2425">
            <v>0</v>
          </cell>
          <cell r="F2425">
            <v>0</v>
          </cell>
          <cell r="G2425">
            <v>25275</v>
          </cell>
          <cell r="H2425">
            <v>0</v>
          </cell>
          <cell r="I2425">
            <v>1650</v>
          </cell>
        </row>
        <row r="2426">
          <cell r="A2426" t="str">
            <v>3460|447022</v>
          </cell>
          <cell r="B2426" t="str">
            <v>3460</v>
          </cell>
          <cell r="C2426">
            <v>447022</v>
          </cell>
          <cell r="D2426">
            <v>41244</v>
          </cell>
          <cell r="E2426">
            <v>2487182</v>
          </cell>
          <cell r="F2426">
            <v>2487182</v>
          </cell>
          <cell r="G2426">
            <v>590048</v>
          </cell>
          <cell r="H2426">
            <v>207265</v>
          </cell>
          <cell r="I2426">
            <v>45050</v>
          </cell>
        </row>
        <row r="2427">
          <cell r="A2427" t="str">
            <v>3460|447023</v>
          </cell>
          <cell r="B2427" t="str">
            <v>3460</v>
          </cell>
          <cell r="C2427">
            <v>447023</v>
          </cell>
          <cell r="D2427">
            <v>41244</v>
          </cell>
          <cell r="E2427">
            <v>452278</v>
          </cell>
          <cell r="F2427">
            <v>452278</v>
          </cell>
          <cell r="G2427">
            <v>726117</v>
          </cell>
          <cell r="H2427">
            <v>37690</v>
          </cell>
          <cell r="I2427">
            <v>24450</v>
          </cell>
        </row>
        <row r="2428">
          <cell r="A2428" t="str">
            <v>3460|448001</v>
          </cell>
          <cell r="B2428" t="str">
            <v>3460</v>
          </cell>
          <cell r="C2428">
            <v>448001</v>
          </cell>
          <cell r="D2428">
            <v>41244</v>
          </cell>
          <cell r="E2428">
            <v>0</v>
          </cell>
          <cell r="F2428">
            <v>0</v>
          </cell>
          <cell r="G2428">
            <v>28556700</v>
          </cell>
          <cell r="H2428">
            <v>0</v>
          </cell>
          <cell r="I2428">
            <v>62000</v>
          </cell>
        </row>
        <row r="2429">
          <cell r="A2429" t="str">
            <v>3460|448002</v>
          </cell>
          <cell r="B2429" t="str">
            <v>3460</v>
          </cell>
          <cell r="C2429">
            <v>448002</v>
          </cell>
          <cell r="D2429">
            <v>41244</v>
          </cell>
          <cell r="E2429">
            <v>147773001</v>
          </cell>
          <cell r="F2429">
            <v>147773001</v>
          </cell>
          <cell r="G2429">
            <v>20989969</v>
          </cell>
          <cell r="H2429">
            <v>12314417</v>
          </cell>
          <cell r="I2429">
            <v>180000</v>
          </cell>
        </row>
        <row r="2430">
          <cell r="A2430" t="str">
            <v>3460|448003</v>
          </cell>
          <cell r="B2430" t="str">
            <v>3460</v>
          </cell>
          <cell r="C2430">
            <v>448003</v>
          </cell>
          <cell r="D2430">
            <v>41244</v>
          </cell>
          <cell r="E2430">
            <v>65756843</v>
          </cell>
          <cell r="F2430">
            <v>65756843</v>
          </cell>
          <cell r="G2430">
            <v>48128290</v>
          </cell>
          <cell r="H2430">
            <v>5479737</v>
          </cell>
          <cell r="I2430">
            <v>4220000</v>
          </cell>
        </row>
        <row r="2431">
          <cell r="A2431" t="str">
            <v>3460|449004</v>
          </cell>
          <cell r="B2431" t="str">
            <v>3460</v>
          </cell>
          <cell r="C2431">
            <v>449004</v>
          </cell>
          <cell r="D2431">
            <v>41244</v>
          </cell>
          <cell r="E2431">
            <v>13500000</v>
          </cell>
          <cell r="F2431">
            <v>13500000</v>
          </cell>
          <cell r="G2431">
            <v>12000000</v>
          </cell>
          <cell r="H2431">
            <v>1125001</v>
          </cell>
          <cell r="I2431">
            <v>0</v>
          </cell>
        </row>
        <row r="2432">
          <cell r="A2432" t="str">
            <v>3460|449022</v>
          </cell>
          <cell r="B2432" t="str">
            <v>3460</v>
          </cell>
          <cell r="C2432">
            <v>449022</v>
          </cell>
          <cell r="D2432">
            <v>41244</v>
          </cell>
          <cell r="E2432">
            <v>47520000</v>
          </cell>
          <cell r="F2432">
            <v>47520000</v>
          </cell>
          <cell r="G2432">
            <v>39234500</v>
          </cell>
          <cell r="H2432">
            <v>3960000</v>
          </cell>
          <cell r="I2432">
            <v>3513500</v>
          </cell>
        </row>
        <row r="2433">
          <cell r="A2433" t="str">
            <v>3460|449023</v>
          </cell>
          <cell r="B2433" t="str">
            <v>3460</v>
          </cell>
          <cell r="C2433">
            <v>449023</v>
          </cell>
          <cell r="D2433">
            <v>41244</v>
          </cell>
          <cell r="E2433">
            <v>45330000</v>
          </cell>
          <cell r="F2433">
            <v>45330000</v>
          </cell>
          <cell r="G2433">
            <v>46970302</v>
          </cell>
          <cell r="H2433">
            <v>3777500</v>
          </cell>
          <cell r="I2433">
            <v>3439500</v>
          </cell>
        </row>
        <row r="2434">
          <cell r="A2434" t="str">
            <v>3460|449025</v>
          </cell>
          <cell r="B2434" t="str">
            <v>3460</v>
          </cell>
          <cell r="C2434">
            <v>449025</v>
          </cell>
          <cell r="D2434">
            <v>41244</v>
          </cell>
          <cell r="E2434">
            <v>0</v>
          </cell>
          <cell r="F2434">
            <v>0</v>
          </cell>
          <cell r="G2434">
            <v>10147000</v>
          </cell>
          <cell r="H2434">
            <v>0</v>
          </cell>
          <cell r="I2434">
            <v>720000</v>
          </cell>
        </row>
        <row r="2435">
          <cell r="A2435" t="str">
            <v>3460|449032</v>
          </cell>
          <cell r="B2435" t="str">
            <v>3460</v>
          </cell>
          <cell r="C2435">
            <v>449032</v>
          </cell>
          <cell r="D2435">
            <v>41244</v>
          </cell>
          <cell r="E2435">
            <v>21572200</v>
          </cell>
          <cell r="F2435">
            <v>21572200</v>
          </cell>
          <cell r="G2435">
            <v>18577329</v>
          </cell>
          <cell r="H2435">
            <v>1797684</v>
          </cell>
          <cell r="I2435">
            <v>0</v>
          </cell>
        </row>
        <row r="2436">
          <cell r="A2436" t="str">
            <v>3460|449040</v>
          </cell>
          <cell r="B2436" t="str">
            <v>3460</v>
          </cell>
          <cell r="C2436">
            <v>449040</v>
          </cell>
          <cell r="D2436">
            <v>41244</v>
          </cell>
          <cell r="E2436">
            <v>53137936</v>
          </cell>
          <cell r="F2436">
            <v>53137936</v>
          </cell>
          <cell r="G2436">
            <v>35532500</v>
          </cell>
          <cell r="H2436">
            <v>4428161</v>
          </cell>
          <cell r="I2436">
            <v>1000000</v>
          </cell>
        </row>
        <row r="2437">
          <cell r="A2437" t="str">
            <v>3460|449050</v>
          </cell>
          <cell r="B2437" t="str">
            <v>3460</v>
          </cell>
          <cell r="C2437">
            <v>449050</v>
          </cell>
          <cell r="D2437">
            <v>41244</v>
          </cell>
          <cell r="E2437">
            <v>35500004</v>
          </cell>
          <cell r="F2437">
            <v>35500004</v>
          </cell>
          <cell r="G2437">
            <v>209098866</v>
          </cell>
          <cell r="H2437">
            <v>2958334</v>
          </cell>
          <cell r="I2437">
            <v>62170280</v>
          </cell>
        </row>
        <row r="2438">
          <cell r="A2438" t="str">
            <v>3460|449060</v>
          </cell>
          <cell r="B2438" t="str">
            <v>3460</v>
          </cell>
          <cell r="C2438">
            <v>449060</v>
          </cell>
          <cell r="D2438">
            <v>41244</v>
          </cell>
          <cell r="E2438">
            <v>0</v>
          </cell>
          <cell r="F2438">
            <v>0</v>
          </cell>
          <cell r="G2438">
            <v>334741</v>
          </cell>
          <cell r="H2438">
            <v>0</v>
          </cell>
          <cell r="I2438">
            <v>105830</v>
          </cell>
        </row>
        <row r="2439">
          <cell r="A2439" t="str">
            <v>3460|449061</v>
          </cell>
          <cell r="B2439" t="str">
            <v>3460</v>
          </cell>
          <cell r="C2439">
            <v>449061</v>
          </cell>
          <cell r="D2439">
            <v>41244</v>
          </cell>
          <cell r="E2439">
            <v>51518200</v>
          </cell>
          <cell r="F2439">
            <v>51518200</v>
          </cell>
          <cell r="G2439">
            <v>46619200</v>
          </cell>
          <cell r="H2439">
            <v>4293183</v>
          </cell>
          <cell r="I2439">
            <v>4650100</v>
          </cell>
        </row>
        <row r="2440">
          <cell r="A2440" t="str">
            <v>3460|451000</v>
          </cell>
          <cell r="B2440" t="str">
            <v>3460</v>
          </cell>
          <cell r="C2440">
            <v>451000</v>
          </cell>
          <cell r="D2440">
            <v>41244</v>
          </cell>
          <cell r="E2440">
            <v>1221825</v>
          </cell>
          <cell r="F2440">
            <v>1221825</v>
          </cell>
          <cell r="G2440">
            <v>200000</v>
          </cell>
          <cell r="H2440">
            <v>101819</v>
          </cell>
          <cell r="I2440">
            <v>0</v>
          </cell>
        </row>
        <row r="2441">
          <cell r="A2441" t="str">
            <v>3460|452000</v>
          </cell>
          <cell r="B2441" t="str">
            <v>3460</v>
          </cell>
          <cell r="C2441">
            <v>452000</v>
          </cell>
          <cell r="D2441">
            <v>41244</v>
          </cell>
          <cell r="E2441">
            <v>1050000</v>
          </cell>
          <cell r="F2441">
            <v>1050000</v>
          </cell>
          <cell r="G2441">
            <v>0</v>
          </cell>
          <cell r="H2441">
            <v>87500</v>
          </cell>
          <cell r="I2441">
            <v>0</v>
          </cell>
        </row>
        <row r="2442">
          <cell r="A2442" t="str">
            <v>3460|452001</v>
          </cell>
          <cell r="B2442" t="str">
            <v>3460</v>
          </cell>
          <cell r="C2442">
            <v>452001</v>
          </cell>
          <cell r="D2442">
            <v>41244</v>
          </cell>
          <cell r="E2442">
            <v>16750000</v>
          </cell>
          <cell r="F2442">
            <v>16750000</v>
          </cell>
          <cell r="G2442">
            <v>16396650</v>
          </cell>
          <cell r="H2442">
            <v>1395834</v>
          </cell>
          <cell r="I2442">
            <v>200000</v>
          </cell>
        </row>
        <row r="2443">
          <cell r="A2443" t="str">
            <v>3460|455000</v>
          </cell>
          <cell r="B2443" t="str">
            <v>3460</v>
          </cell>
          <cell r="C2443">
            <v>455000</v>
          </cell>
          <cell r="D2443">
            <v>41244</v>
          </cell>
          <cell r="E2443">
            <v>235025</v>
          </cell>
          <cell r="F2443">
            <v>235025</v>
          </cell>
          <cell r="G2443">
            <v>0</v>
          </cell>
          <cell r="H2443">
            <v>19585</v>
          </cell>
          <cell r="I2443">
            <v>0</v>
          </cell>
        </row>
        <row r="2444">
          <cell r="A2444" t="str">
            <v>3460|455002</v>
          </cell>
          <cell r="B2444" t="str">
            <v>3460</v>
          </cell>
          <cell r="C2444">
            <v>455002</v>
          </cell>
          <cell r="D2444">
            <v>41244</v>
          </cell>
          <cell r="E2444">
            <v>34612514</v>
          </cell>
          <cell r="F2444">
            <v>34612514</v>
          </cell>
          <cell r="G2444">
            <v>35523285</v>
          </cell>
          <cell r="H2444">
            <v>2884376</v>
          </cell>
          <cell r="I2444">
            <v>0</v>
          </cell>
        </row>
        <row r="2445">
          <cell r="A2445" t="str">
            <v>3460|459000</v>
          </cell>
          <cell r="B2445" t="str">
            <v>3460</v>
          </cell>
          <cell r="C2445">
            <v>459000</v>
          </cell>
          <cell r="D2445">
            <v>41244</v>
          </cell>
          <cell r="E2445">
            <v>158000</v>
          </cell>
          <cell r="F2445">
            <v>158000</v>
          </cell>
          <cell r="G2445">
            <v>0</v>
          </cell>
          <cell r="H2445">
            <v>13167</v>
          </cell>
          <cell r="I2445">
            <v>0</v>
          </cell>
        </row>
        <row r="2446">
          <cell r="A2446" t="str">
            <v>3460|459005</v>
          </cell>
          <cell r="B2446" t="str">
            <v>3460</v>
          </cell>
          <cell r="C2446">
            <v>459005</v>
          </cell>
          <cell r="D2446">
            <v>41244</v>
          </cell>
          <cell r="E2446">
            <v>0</v>
          </cell>
          <cell r="F2446">
            <v>0</v>
          </cell>
          <cell r="G2446">
            <v>21500</v>
          </cell>
          <cell r="H2446">
            <v>0</v>
          </cell>
          <cell r="I2446">
            <v>0</v>
          </cell>
        </row>
        <row r="2447">
          <cell r="A2447" t="str">
            <v>3460|470001</v>
          </cell>
          <cell r="B2447" t="str">
            <v>3460</v>
          </cell>
          <cell r="C2447">
            <v>470001</v>
          </cell>
          <cell r="D2447">
            <v>41244</v>
          </cell>
          <cell r="E2447">
            <v>348000000</v>
          </cell>
          <cell r="F2447">
            <v>348000000</v>
          </cell>
          <cell r="G2447">
            <v>474942500</v>
          </cell>
          <cell r="H2447">
            <v>29000000</v>
          </cell>
          <cell r="I2447">
            <v>27750000</v>
          </cell>
        </row>
        <row r="2448">
          <cell r="A2448" t="str">
            <v>3460|471000</v>
          </cell>
          <cell r="B2448" t="str">
            <v>3460</v>
          </cell>
          <cell r="C2448">
            <v>471000</v>
          </cell>
          <cell r="D2448">
            <v>41244</v>
          </cell>
          <cell r="E2448">
            <v>13412100</v>
          </cell>
          <cell r="F2448">
            <v>13412100</v>
          </cell>
          <cell r="G2448">
            <v>13447460</v>
          </cell>
          <cell r="H2448">
            <v>1117675</v>
          </cell>
          <cell r="I2448">
            <v>191923</v>
          </cell>
        </row>
        <row r="2449">
          <cell r="A2449" t="str">
            <v>3460|472000</v>
          </cell>
          <cell r="B2449" t="str">
            <v>3460</v>
          </cell>
          <cell r="C2449">
            <v>472000</v>
          </cell>
          <cell r="D2449">
            <v>41244</v>
          </cell>
          <cell r="E2449">
            <v>10000000</v>
          </cell>
          <cell r="F2449">
            <v>10000000</v>
          </cell>
          <cell r="G2449">
            <v>7741519</v>
          </cell>
          <cell r="H2449">
            <v>833333</v>
          </cell>
          <cell r="I2449">
            <v>246160</v>
          </cell>
        </row>
        <row r="2450">
          <cell r="A2450" t="str">
            <v>3460|473000</v>
          </cell>
          <cell r="B2450" t="str">
            <v>3460</v>
          </cell>
          <cell r="C2450">
            <v>473000</v>
          </cell>
          <cell r="D2450">
            <v>41244</v>
          </cell>
          <cell r="E2450">
            <v>500000</v>
          </cell>
          <cell r="F2450">
            <v>500000</v>
          </cell>
          <cell r="G2450">
            <v>131520</v>
          </cell>
          <cell r="H2450">
            <v>41667</v>
          </cell>
          <cell r="I2450">
            <v>0</v>
          </cell>
        </row>
        <row r="2451">
          <cell r="A2451" t="str">
            <v>3460|473120</v>
          </cell>
          <cell r="B2451" t="str">
            <v>3460</v>
          </cell>
          <cell r="C2451">
            <v>473120</v>
          </cell>
          <cell r="D2451">
            <v>41244</v>
          </cell>
          <cell r="E2451">
            <v>10648300</v>
          </cell>
          <cell r="F2451">
            <v>10648300</v>
          </cell>
          <cell r="G2451">
            <v>11049684</v>
          </cell>
          <cell r="H2451">
            <v>887359</v>
          </cell>
          <cell r="I2451">
            <v>1721101</v>
          </cell>
        </row>
        <row r="2452">
          <cell r="A2452" t="str">
            <v>3460|474100</v>
          </cell>
          <cell r="B2452" t="str">
            <v>3460</v>
          </cell>
          <cell r="C2452">
            <v>474100</v>
          </cell>
          <cell r="D2452">
            <v>41244</v>
          </cell>
          <cell r="E2452">
            <v>86455900</v>
          </cell>
          <cell r="F2452">
            <v>86455900</v>
          </cell>
          <cell r="G2452">
            <v>79582326</v>
          </cell>
          <cell r="H2452">
            <v>7204659</v>
          </cell>
          <cell r="I2452">
            <v>18669496</v>
          </cell>
        </row>
        <row r="2453">
          <cell r="A2453" t="str">
            <v>3460|474101</v>
          </cell>
          <cell r="B2453" t="str">
            <v>3460</v>
          </cell>
          <cell r="C2453">
            <v>474101</v>
          </cell>
          <cell r="D2453">
            <v>41244</v>
          </cell>
          <cell r="E2453">
            <v>147669900</v>
          </cell>
          <cell r="F2453">
            <v>147669900</v>
          </cell>
          <cell r="G2453">
            <v>124463114</v>
          </cell>
          <cell r="H2453">
            <v>12305824</v>
          </cell>
          <cell r="I2453">
            <v>60437800</v>
          </cell>
        </row>
        <row r="2454">
          <cell r="A2454" t="str">
            <v>3460|475000</v>
          </cell>
          <cell r="B2454" t="str">
            <v>3460</v>
          </cell>
          <cell r="C2454">
            <v>475000</v>
          </cell>
          <cell r="D2454">
            <v>41244</v>
          </cell>
          <cell r="E2454">
            <v>154921509</v>
          </cell>
          <cell r="F2454">
            <v>154921509</v>
          </cell>
          <cell r="G2454">
            <v>82920228</v>
          </cell>
          <cell r="H2454">
            <v>12910126</v>
          </cell>
          <cell r="I2454">
            <v>51578849</v>
          </cell>
        </row>
        <row r="2455">
          <cell r="A2455" t="str">
            <v>3460|475001</v>
          </cell>
          <cell r="B2455" t="str">
            <v>3460</v>
          </cell>
          <cell r="C2455">
            <v>475001</v>
          </cell>
          <cell r="D2455">
            <v>41244</v>
          </cell>
          <cell r="E2455">
            <v>22233610</v>
          </cell>
          <cell r="F2455">
            <v>22233610</v>
          </cell>
          <cell r="G2455">
            <v>12681100</v>
          </cell>
          <cell r="H2455">
            <v>1852801</v>
          </cell>
          <cell r="I2455">
            <v>0</v>
          </cell>
        </row>
        <row r="2456">
          <cell r="A2456" t="str">
            <v>3460|475002</v>
          </cell>
          <cell r="B2456" t="str">
            <v>3460</v>
          </cell>
          <cell r="C2456">
            <v>475002</v>
          </cell>
          <cell r="D2456">
            <v>41244</v>
          </cell>
          <cell r="E2456">
            <v>2408850</v>
          </cell>
          <cell r="F2456">
            <v>2408850</v>
          </cell>
          <cell r="G2456">
            <v>2334197</v>
          </cell>
          <cell r="H2456">
            <v>200737</v>
          </cell>
          <cell r="I2456">
            <v>209376</v>
          </cell>
        </row>
        <row r="2457">
          <cell r="A2457" t="str">
            <v>3460|475003</v>
          </cell>
          <cell r="B2457" t="str">
            <v>3460</v>
          </cell>
          <cell r="C2457">
            <v>475003</v>
          </cell>
          <cell r="D2457">
            <v>41244</v>
          </cell>
          <cell r="E2457">
            <v>48099929</v>
          </cell>
          <cell r="F2457">
            <v>48099929</v>
          </cell>
          <cell r="G2457">
            <v>3356482</v>
          </cell>
          <cell r="H2457">
            <v>4008327</v>
          </cell>
          <cell r="I2457">
            <v>2350000</v>
          </cell>
        </row>
        <row r="2458">
          <cell r="A2458" t="str">
            <v>3460|475006</v>
          </cell>
          <cell r="B2458" t="str">
            <v>3460</v>
          </cell>
          <cell r="C2458">
            <v>475006</v>
          </cell>
          <cell r="D2458">
            <v>41244</v>
          </cell>
          <cell r="E2458">
            <v>15153112</v>
          </cell>
          <cell r="F2458">
            <v>15153112</v>
          </cell>
          <cell r="G2458">
            <v>16588164</v>
          </cell>
          <cell r="H2458">
            <v>1262759</v>
          </cell>
          <cell r="I2458">
            <v>1382347</v>
          </cell>
        </row>
        <row r="2459">
          <cell r="A2459" t="str">
            <v>3460|476000</v>
          </cell>
          <cell r="B2459" t="str">
            <v>3460</v>
          </cell>
          <cell r="C2459">
            <v>476000</v>
          </cell>
          <cell r="D2459">
            <v>41244</v>
          </cell>
          <cell r="E2459">
            <v>18425351</v>
          </cell>
          <cell r="F2459">
            <v>18425351</v>
          </cell>
          <cell r="G2459">
            <v>8916282</v>
          </cell>
          <cell r="H2459">
            <v>1535446</v>
          </cell>
          <cell r="I2459">
            <v>0</v>
          </cell>
        </row>
        <row r="2460">
          <cell r="A2460" t="str">
            <v>3460|476001</v>
          </cell>
          <cell r="B2460" t="str">
            <v>3460</v>
          </cell>
          <cell r="C2460">
            <v>476001</v>
          </cell>
          <cell r="D2460">
            <v>41244</v>
          </cell>
          <cell r="E2460">
            <v>3179402</v>
          </cell>
          <cell r="F2460">
            <v>3179402</v>
          </cell>
          <cell r="G2460">
            <v>1688893</v>
          </cell>
          <cell r="H2460">
            <v>264950</v>
          </cell>
          <cell r="I2460">
            <v>0</v>
          </cell>
        </row>
        <row r="2461">
          <cell r="A2461" t="str">
            <v>3460|476002</v>
          </cell>
          <cell r="B2461" t="str">
            <v>3460</v>
          </cell>
          <cell r="C2461">
            <v>476002</v>
          </cell>
          <cell r="D2461">
            <v>41244</v>
          </cell>
          <cell r="E2461">
            <v>1399554</v>
          </cell>
          <cell r="F2461">
            <v>1399554</v>
          </cell>
          <cell r="G2461">
            <v>88173</v>
          </cell>
          <cell r="H2461">
            <v>116629</v>
          </cell>
          <cell r="I2461">
            <v>88173</v>
          </cell>
        </row>
        <row r="2462">
          <cell r="A2462" t="str">
            <v>3460|476220</v>
          </cell>
          <cell r="B2462" t="str">
            <v>3460</v>
          </cell>
          <cell r="C2462">
            <v>476220</v>
          </cell>
          <cell r="D2462">
            <v>41244</v>
          </cell>
          <cell r="E2462">
            <v>285000</v>
          </cell>
          <cell r="F2462">
            <v>285000</v>
          </cell>
          <cell r="G2462">
            <v>0</v>
          </cell>
          <cell r="H2462">
            <v>23750</v>
          </cell>
          <cell r="I2462">
            <v>0</v>
          </cell>
        </row>
        <row r="2463">
          <cell r="A2463" t="str">
            <v>3460|476900</v>
          </cell>
          <cell r="B2463" t="str">
            <v>3460</v>
          </cell>
          <cell r="C2463">
            <v>476900</v>
          </cell>
          <cell r="D2463">
            <v>41244</v>
          </cell>
          <cell r="E2463">
            <v>2000000</v>
          </cell>
          <cell r="F2463">
            <v>2000000</v>
          </cell>
          <cell r="G2463">
            <v>1836447</v>
          </cell>
          <cell r="H2463">
            <v>166667</v>
          </cell>
          <cell r="I2463">
            <v>767467</v>
          </cell>
        </row>
        <row r="2464">
          <cell r="A2464" t="str">
            <v>3460|476910</v>
          </cell>
          <cell r="B2464" t="str">
            <v>3460</v>
          </cell>
          <cell r="C2464">
            <v>476910</v>
          </cell>
          <cell r="D2464">
            <v>41244</v>
          </cell>
          <cell r="E2464">
            <v>612296</v>
          </cell>
          <cell r="F2464">
            <v>612296</v>
          </cell>
          <cell r="G2464">
            <v>130725</v>
          </cell>
          <cell r="H2464">
            <v>51025</v>
          </cell>
          <cell r="I2464">
            <v>0</v>
          </cell>
        </row>
        <row r="2465">
          <cell r="A2465" t="str">
            <v>3460|477310</v>
          </cell>
          <cell r="B2465" t="str">
            <v>3460</v>
          </cell>
          <cell r="C2465">
            <v>477310</v>
          </cell>
          <cell r="D2465">
            <v>41244</v>
          </cell>
          <cell r="E2465">
            <v>4498033</v>
          </cell>
          <cell r="F2465">
            <v>4498033</v>
          </cell>
          <cell r="G2465">
            <v>10642678</v>
          </cell>
          <cell r="H2465">
            <v>374836</v>
          </cell>
          <cell r="I2465">
            <v>8386875</v>
          </cell>
        </row>
        <row r="2466">
          <cell r="A2466" t="str">
            <v>3460|477500</v>
          </cell>
          <cell r="B2466" t="str">
            <v>3460</v>
          </cell>
          <cell r="C2466">
            <v>477500</v>
          </cell>
          <cell r="D2466">
            <v>41244</v>
          </cell>
          <cell r="E2466">
            <v>0</v>
          </cell>
          <cell r="F2466">
            <v>0</v>
          </cell>
          <cell r="G2466">
            <v>1345500</v>
          </cell>
          <cell r="H2466">
            <v>0</v>
          </cell>
          <cell r="I2466">
            <v>0</v>
          </cell>
        </row>
        <row r="2467">
          <cell r="A2467" t="str">
            <v>3460|477800</v>
          </cell>
          <cell r="B2467" t="str">
            <v>3460</v>
          </cell>
          <cell r="C2467">
            <v>477800</v>
          </cell>
          <cell r="D2467">
            <v>41244</v>
          </cell>
          <cell r="E2467">
            <v>327003085</v>
          </cell>
          <cell r="F2467">
            <v>327003085</v>
          </cell>
          <cell r="G2467">
            <v>286178251</v>
          </cell>
          <cell r="H2467">
            <v>27250257</v>
          </cell>
          <cell r="I2467">
            <v>-94447386</v>
          </cell>
        </row>
        <row r="2468">
          <cell r="A2468" t="str">
            <v>3470|211100</v>
          </cell>
          <cell r="B2468" t="str">
            <v>3470</v>
          </cell>
          <cell r="C2468">
            <v>211100</v>
          </cell>
          <cell r="D2468">
            <v>41244</v>
          </cell>
          <cell r="E2468">
            <v>1012857</v>
          </cell>
          <cell r="F2468">
            <v>1012857</v>
          </cell>
          <cell r="G2468">
            <v>2485172</v>
          </cell>
          <cell r="H2468">
            <v>84405</v>
          </cell>
          <cell r="I2468">
            <v>207100</v>
          </cell>
        </row>
        <row r="2469">
          <cell r="A2469" t="str">
            <v>3470|400040</v>
          </cell>
          <cell r="B2469" t="str">
            <v>3470</v>
          </cell>
          <cell r="C2469">
            <v>400040</v>
          </cell>
          <cell r="D2469">
            <v>41244</v>
          </cell>
          <cell r="E2469">
            <v>1000000</v>
          </cell>
          <cell r="F2469">
            <v>1000000</v>
          </cell>
          <cell r="G2469">
            <v>1360400</v>
          </cell>
          <cell r="H2469">
            <v>83333</v>
          </cell>
          <cell r="I2469">
            <v>0</v>
          </cell>
        </row>
        <row r="2470">
          <cell r="A2470" t="str">
            <v>3470|420002</v>
          </cell>
          <cell r="B2470" t="str">
            <v>3470</v>
          </cell>
          <cell r="C2470">
            <v>420002</v>
          </cell>
          <cell r="D2470">
            <v>41244</v>
          </cell>
          <cell r="E2470">
            <v>427823085</v>
          </cell>
          <cell r="F2470">
            <v>427823085</v>
          </cell>
          <cell r="G2470">
            <v>479489931</v>
          </cell>
          <cell r="H2470">
            <v>35651924</v>
          </cell>
          <cell r="I2470">
            <v>40287500</v>
          </cell>
        </row>
        <row r="2471">
          <cell r="A2471" t="str">
            <v>3470|420003</v>
          </cell>
          <cell r="B2471" t="str">
            <v>3470</v>
          </cell>
          <cell r="C2471">
            <v>420003</v>
          </cell>
          <cell r="D2471">
            <v>41244</v>
          </cell>
          <cell r="E2471">
            <v>125733988</v>
          </cell>
          <cell r="F2471">
            <v>125733988</v>
          </cell>
          <cell r="G2471">
            <v>127734765</v>
          </cell>
          <cell r="H2471">
            <v>10477832</v>
          </cell>
          <cell r="I2471">
            <v>10711937</v>
          </cell>
        </row>
        <row r="2472">
          <cell r="A2472" t="str">
            <v>3470|422002</v>
          </cell>
          <cell r="B2472" t="str">
            <v>3470</v>
          </cell>
          <cell r="C2472">
            <v>422002</v>
          </cell>
          <cell r="D2472">
            <v>41244</v>
          </cell>
          <cell r="E2472">
            <v>2141115</v>
          </cell>
          <cell r="F2472">
            <v>2141115</v>
          </cell>
          <cell r="G2472">
            <v>713400</v>
          </cell>
          <cell r="H2472">
            <v>178426</v>
          </cell>
          <cell r="I2472">
            <v>0</v>
          </cell>
        </row>
        <row r="2473">
          <cell r="A2473" t="str">
            <v>3470|422003</v>
          </cell>
          <cell r="B2473" t="str">
            <v>3470</v>
          </cell>
          <cell r="C2473">
            <v>422003</v>
          </cell>
          <cell r="D2473">
            <v>41244</v>
          </cell>
          <cell r="E2473">
            <v>615495</v>
          </cell>
          <cell r="F2473">
            <v>615495</v>
          </cell>
          <cell r="G2473">
            <v>96150</v>
          </cell>
          <cell r="H2473">
            <v>51291</v>
          </cell>
          <cell r="I2473">
            <v>0</v>
          </cell>
        </row>
        <row r="2474">
          <cell r="A2474" t="str">
            <v>3470|431002</v>
          </cell>
          <cell r="B2474" t="str">
            <v>3470</v>
          </cell>
          <cell r="C2474">
            <v>431002</v>
          </cell>
          <cell r="D2474">
            <v>41244</v>
          </cell>
          <cell r="E2474">
            <v>33122811</v>
          </cell>
          <cell r="F2474">
            <v>33122811</v>
          </cell>
          <cell r="G2474">
            <v>617638</v>
          </cell>
          <cell r="H2474">
            <v>2760234</v>
          </cell>
          <cell r="I2474">
            <v>0</v>
          </cell>
        </row>
        <row r="2475">
          <cell r="A2475" t="str">
            <v>3470|433002</v>
          </cell>
          <cell r="B2475" t="str">
            <v>3470</v>
          </cell>
          <cell r="C2475">
            <v>433002</v>
          </cell>
          <cell r="D2475">
            <v>41244</v>
          </cell>
          <cell r="E2475">
            <v>2260844</v>
          </cell>
          <cell r="F2475">
            <v>2260844</v>
          </cell>
          <cell r="G2475">
            <v>0</v>
          </cell>
          <cell r="H2475">
            <v>188404</v>
          </cell>
          <cell r="I2475">
            <v>0</v>
          </cell>
        </row>
        <row r="2476">
          <cell r="A2476" t="str">
            <v>3470|433003</v>
          </cell>
          <cell r="B2476" t="str">
            <v>3470</v>
          </cell>
          <cell r="C2476">
            <v>433003</v>
          </cell>
          <cell r="D2476">
            <v>41244</v>
          </cell>
          <cell r="E2476">
            <v>7625776</v>
          </cell>
          <cell r="F2476">
            <v>7625776</v>
          </cell>
          <cell r="G2476">
            <v>8010625</v>
          </cell>
          <cell r="H2476">
            <v>635481</v>
          </cell>
          <cell r="I2476">
            <v>674025</v>
          </cell>
        </row>
        <row r="2477">
          <cell r="A2477" t="str">
            <v>3470|434012</v>
          </cell>
          <cell r="B2477" t="str">
            <v>3470</v>
          </cell>
          <cell r="C2477">
            <v>434012</v>
          </cell>
          <cell r="D2477">
            <v>41244</v>
          </cell>
          <cell r="E2477">
            <v>23354250</v>
          </cell>
          <cell r="F2477">
            <v>23354250</v>
          </cell>
          <cell r="G2477">
            <v>51947853</v>
          </cell>
          <cell r="H2477">
            <v>1946187</v>
          </cell>
          <cell r="I2477">
            <v>6875018</v>
          </cell>
        </row>
        <row r="2478">
          <cell r="A2478" t="str">
            <v>3470|434013</v>
          </cell>
          <cell r="B2478" t="str">
            <v>3470</v>
          </cell>
          <cell r="C2478">
            <v>434013</v>
          </cell>
          <cell r="D2478">
            <v>41244</v>
          </cell>
          <cell r="E2478">
            <v>0</v>
          </cell>
          <cell r="F2478">
            <v>0</v>
          </cell>
          <cell r="G2478">
            <v>4244886</v>
          </cell>
          <cell r="H2478">
            <v>0</v>
          </cell>
          <cell r="I2478">
            <v>1366596</v>
          </cell>
        </row>
        <row r="2479">
          <cell r="A2479" t="str">
            <v>3470|435002</v>
          </cell>
          <cell r="B2479" t="str">
            <v>3470</v>
          </cell>
          <cell r="C2479">
            <v>435002</v>
          </cell>
          <cell r="D2479">
            <v>41244</v>
          </cell>
          <cell r="E2479">
            <v>35651924</v>
          </cell>
          <cell r="F2479">
            <v>35651924</v>
          </cell>
          <cell r="G2479">
            <v>38989625</v>
          </cell>
          <cell r="H2479">
            <v>2970994</v>
          </cell>
          <cell r="I2479">
            <v>38989625</v>
          </cell>
        </row>
        <row r="2480">
          <cell r="A2480" t="str">
            <v>3470|435003</v>
          </cell>
          <cell r="B2480" t="str">
            <v>3470</v>
          </cell>
          <cell r="C2480">
            <v>435003</v>
          </cell>
          <cell r="D2480">
            <v>41244</v>
          </cell>
          <cell r="E2480">
            <v>16206308</v>
          </cell>
          <cell r="F2480">
            <v>16206308</v>
          </cell>
          <cell r="G2480">
            <v>20514341</v>
          </cell>
          <cell r="H2480">
            <v>1350526</v>
          </cell>
          <cell r="I2480">
            <v>0</v>
          </cell>
        </row>
        <row r="2481">
          <cell r="A2481" t="str">
            <v>3470|439003</v>
          </cell>
          <cell r="B2481" t="str">
            <v>3470</v>
          </cell>
          <cell r="C2481">
            <v>439003</v>
          </cell>
          <cell r="D2481">
            <v>41244</v>
          </cell>
          <cell r="E2481">
            <v>44055634</v>
          </cell>
          <cell r="F2481">
            <v>44055634</v>
          </cell>
          <cell r="G2481">
            <v>67228313</v>
          </cell>
          <cell r="H2481">
            <v>3671303</v>
          </cell>
          <cell r="I2481">
            <v>8296600</v>
          </cell>
        </row>
        <row r="2482">
          <cell r="A2482" t="str">
            <v>3470|439008</v>
          </cell>
          <cell r="B2482" t="str">
            <v>3470</v>
          </cell>
          <cell r="C2482">
            <v>439008</v>
          </cell>
          <cell r="D2482">
            <v>41244</v>
          </cell>
          <cell r="E2482">
            <v>98213430</v>
          </cell>
          <cell r="F2482">
            <v>98213430</v>
          </cell>
          <cell r="G2482">
            <v>156426348</v>
          </cell>
          <cell r="H2482">
            <v>8184452</v>
          </cell>
          <cell r="I2482">
            <v>0</v>
          </cell>
        </row>
        <row r="2483">
          <cell r="A2483" t="str">
            <v>3470|439202</v>
          </cell>
          <cell r="B2483" t="str">
            <v>3470</v>
          </cell>
          <cell r="C2483">
            <v>439202</v>
          </cell>
          <cell r="D2483">
            <v>41244</v>
          </cell>
          <cell r="E2483">
            <v>42000000</v>
          </cell>
          <cell r="F2483">
            <v>42000000</v>
          </cell>
          <cell r="G2483">
            <v>34780000</v>
          </cell>
          <cell r="H2483">
            <v>3500000</v>
          </cell>
          <cell r="I2483">
            <v>3525000</v>
          </cell>
        </row>
        <row r="2484">
          <cell r="A2484" t="str">
            <v>3470|439203</v>
          </cell>
          <cell r="B2484" t="str">
            <v>3470</v>
          </cell>
          <cell r="C2484">
            <v>439203</v>
          </cell>
          <cell r="D2484">
            <v>41244</v>
          </cell>
          <cell r="E2484">
            <v>6000000</v>
          </cell>
          <cell r="F2484">
            <v>6000000</v>
          </cell>
          <cell r="G2484">
            <v>5115000</v>
          </cell>
          <cell r="H2484">
            <v>500000</v>
          </cell>
          <cell r="I2484">
            <v>525000</v>
          </cell>
        </row>
        <row r="2485">
          <cell r="A2485" t="str">
            <v>3470|440002</v>
          </cell>
          <cell r="B2485" t="str">
            <v>3470</v>
          </cell>
          <cell r="C2485">
            <v>440002</v>
          </cell>
          <cell r="D2485">
            <v>41244</v>
          </cell>
          <cell r="E2485">
            <v>35651924</v>
          </cell>
          <cell r="F2485">
            <v>35651924</v>
          </cell>
          <cell r="G2485">
            <v>42411117</v>
          </cell>
          <cell r="H2485">
            <v>2970994</v>
          </cell>
          <cell r="I2485">
            <v>3909392</v>
          </cell>
        </row>
        <row r="2486">
          <cell r="A2486" t="str">
            <v>3470|440003</v>
          </cell>
          <cell r="B2486" t="str">
            <v>3470</v>
          </cell>
          <cell r="C2486">
            <v>440003</v>
          </cell>
          <cell r="D2486">
            <v>41244</v>
          </cell>
          <cell r="E2486">
            <v>16206308</v>
          </cell>
          <cell r="F2486">
            <v>16206308</v>
          </cell>
          <cell r="G2486">
            <v>13774746</v>
          </cell>
          <cell r="H2486">
            <v>1350526</v>
          </cell>
          <cell r="I2486">
            <v>989677</v>
          </cell>
        </row>
        <row r="2487">
          <cell r="A2487" t="str">
            <v>3470|446002</v>
          </cell>
          <cell r="B2487" t="str">
            <v>3470</v>
          </cell>
          <cell r="C2487">
            <v>446002</v>
          </cell>
          <cell r="D2487">
            <v>41244</v>
          </cell>
          <cell r="E2487">
            <v>31499762</v>
          </cell>
          <cell r="F2487">
            <v>31499762</v>
          </cell>
          <cell r="G2487">
            <v>14363549</v>
          </cell>
          <cell r="H2487">
            <v>2624980</v>
          </cell>
          <cell r="I2487">
            <v>750000</v>
          </cell>
        </row>
        <row r="2488">
          <cell r="A2488" t="str">
            <v>3470|447002</v>
          </cell>
          <cell r="B2488" t="str">
            <v>3470</v>
          </cell>
          <cell r="C2488">
            <v>447002</v>
          </cell>
          <cell r="D2488">
            <v>41244</v>
          </cell>
          <cell r="E2488">
            <v>12435910</v>
          </cell>
          <cell r="F2488">
            <v>12435910</v>
          </cell>
          <cell r="G2488">
            <v>5283785</v>
          </cell>
          <cell r="H2488">
            <v>1036326</v>
          </cell>
          <cell r="I2488">
            <v>443691</v>
          </cell>
        </row>
        <row r="2489">
          <cell r="A2489" t="str">
            <v>3470|447003</v>
          </cell>
          <cell r="B2489" t="str">
            <v>3470</v>
          </cell>
          <cell r="C2489">
            <v>447003</v>
          </cell>
          <cell r="D2489">
            <v>41244</v>
          </cell>
          <cell r="E2489">
            <v>829090</v>
          </cell>
          <cell r="F2489">
            <v>829090</v>
          </cell>
          <cell r="G2489">
            <v>865149</v>
          </cell>
          <cell r="H2489">
            <v>69091</v>
          </cell>
          <cell r="I2489">
            <v>72795</v>
          </cell>
        </row>
        <row r="2490">
          <cell r="A2490" t="str">
            <v>3470|447012</v>
          </cell>
          <cell r="B2490" t="str">
            <v>3470</v>
          </cell>
          <cell r="C2490">
            <v>447012</v>
          </cell>
          <cell r="D2490">
            <v>41244</v>
          </cell>
          <cell r="E2490">
            <v>29307559</v>
          </cell>
          <cell r="F2490">
            <v>29307559</v>
          </cell>
          <cell r="G2490">
            <v>17776933</v>
          </cell>
          <cell r="H2490">
            <v>2442297</v>
          </cell>
          <cell r="I2490">
            <v>1490640</v>
          </cell>
        </row>
        <row r="2491">
          <cell r="A2491" t="str">
            <v>3470|447013</v>
          </cell>
          <cell r="B2491" t="str">
            <v>3470</v>
          </cell>
          <cell r="C2491">
            <v>447013</v>
          </cell>
          <cell r="D2491">
            <v>41244</v>
          </cell>
          <cell r="E2491">
            <v>5870384</v>
          </cell>
          <cell r="F2491">
            <v>5870384</v>
          </cell>
          <cell r="G2491">
            <v>5927866</v>
          </cell>
          <cell r="H2491">
            <v>489200</v>
          </cell>
          <cell r="I2491">
            <v>498779</v>
          </cell>
        </row>
        <row r="2492">
          <cell r="A2492" t="str">
            <v>3470|447022</v>
          </cell>
          <cell r="B2492" t="str">
            <v>3470</v>
          </cell>
          <cell r="C2492">
            <v>447022</v>
          </cell>
          <cell r="D2492">
            <v>41244</v>
          </cell>
          <cell r="E2492">
            <v>1243591</v>
          </cell>
          <cell r="F2492">
            <v>1243591</v>
          </cell>
          <cell r="G2492">
            <v>656644</v>
          </cell>
          <cell r="H2492">
            <v>103633</v>
          </cell>
          <cell r="I2492">
            <v>55900</v>
          </cell>
        </row>
        <row r="2493">
          <cell r="A2493" t="str">
            <v>3470|447023</v>
          </cell>
          <cell r="B2493" t="str">
            <v>3470</v>
          </cell>
          <cell r="C2493">
            <v>447023</v>
          </cell>
          <cell r="D2493">
            <v>41244</v>
          </cell>
          <cell r="E2493">
            <v>82909</v>
          </cell>
          <cell r="F2493">
            <v>82909</v>
          </cell>
          <cell r="G2493">
            <v>152524</v>
          </cell>
          <cell r="H2493">
            <v>6909</v>
          </cell>
          <cell r="I2493">
            <v>12750</v>
          </cell>
        </row>
        <row r="2494">
          <cell r="A2494" t="str">
            <v>3470|448002</v>
          </cell>
          <cell r="B2494" t="str">
            <v>3470</v>
          </cell>
          <cell r="C2494">
            <v>448002</v>
          </cell>
          <cell r="D2494">
            <v>41244</v>
          </cell>
          <cell r="E2494">
            <v>73886501</v>
          </cell>
          <cell r="F2494">
            <v>73886501</v>
          </cell>
          <cell r="G2494">
            <v>35543648</v>
          </cell>
          <cell r="H2494">
            <v>6157208</v>
          </cell>
          <cell r="I2494">
            <v>4056162</v>
          </cell>
        </row>
        <row r="2495">
          <cell r="A2495" t="str">
            <v>3470|448003</v>
          </cell>
          <cell r="B2495" t="str">
            <v>3470</v>
          </cell>
          <cell r="C2495">
            <v>448003</v>
          </cell>
          <cell r="D2495">
            <v>41244</v>
          </cell>
          <cell r="E2495">
            <v>15382279</v>
          </cell>
          <cell r="F2495">
            <v>15382279</v>
          </cell>
          <cell r="G2495">
            <v>1803140</v>
          </cell>
          <cell r="H2495">
            <v>1281857</v>
          </cell>
          <cell r="I2495">
            <v>0</v>
          </cell>
        </row>
        <row r="2496">
          <cell r="A2496" t="str">
            <v>3470|449022</v>
          </cell>
          <cell r="B2496" t="str">
            <v>3470</v>
          </cell>
          <cell r="C2496">
            <v>449022</v>
          </cell>
          <cell r="D2496">
            <v>41244</v>
          </cell>
          <cell r="E2496">
            <v>23760000</v>
          </cell>
          <cell r="F2496">
            <v>23760000</v>
          </cell>
          <cell r="G2496">
            <v>27275000</v>
          </cell>
          <cell r="H2496">
            <v>1980000</v>
          </cell>
          <cell r="I2496">
            <v>2526500</v>
          </cell>
        </row>
        <row r="2497">
          <cell r="A2497" t="str">
            <v>3470|449023</v>
          </cell>
          <cell r="B2497" t="str">
            <v>3470</v>
          </cell>
          <cell r="C2497">
            <v>449023</v>
          </cell>
          <cell r="D2497">
            <v>41244</v>
          </cell>
          <cell r="E2497">
            <v>3960000</v>
          </cell>
          <cell r="F2497">
            <v>3960000</v>
          </cell>
          <cell r="G2497">
            <v>4618500</v>
          </cell>
          <cell r="H2497">
            <v>330000</v>
          </cell>
          <cell r="I2497">
            <v>430500</v>
          </cell>
        </row>
        <row r="2498">
          <cell r="A2498" t="str">
            <v>3470|449032</v>
          </cell>
          <cell r="B2498" t="str">
            <v>3470</v>
          </cell>
          <cell r="C2498">
            <v>449032</v>
          </cell>
          <cell r="D2498">
            <v>41244</v>
          </cell>
          <cell r="E2498">
            <v>1753847</v>
          </cell>
          <cell r="F2498">
            <v>1753847</v>
          </cell>
          <cell r="G2498">
            <v>0</v>
          </cell>
          <cell r="H2498">
            <v>146154</v>
          </cell>
          <cell r="I2498">
            <v>0</v>
          </cell>
        </row>
        <row r="2499">
          <cell r="A2499" t="str">
            <v>3470|449040</v>
          </cell>
          <cell r="B2499" t="str">
            <v>3470</v>
          </cell>
          <cell r="C2499">
            <v>449040</v>
          </cell>
          <cell r="D2499">
            <v>41244</v>
          </cell>
          <cell r="E2499">
            <v>1000000</v>
          </cell>
          <cell r="F2499">
            <v>1000000</v>
          </cell>
          <cell r="G2499">
            <v>1382500</v>
          </cell>
          <cell r="H2499">
            <v>83333</v>
          </cell>
          <cell r="I2499">
            <v>0</v>
          </cell>
        </row>
        <row r="2500">
          <cell r="A2500" t="str">
            <v>3470|449061</v>
          </cell>
          <cell r="B2500" t="str">
            <v>3470</v>
          </cell>
          <cell r="C2500">
            <v>449061</v>
          </cell>
          <cell r="D2500">
            <v>41244</v>
          </cell>
          <cell r="E2500">
            <v>23593500</v>
          </cell>
          <cell r="F2500">
            <v>23593500</v>
          </cell>
          <cell r="G2500">
            <v>9264200</v>
          </cell>
          <cell r="H2500">
            <v>1966125</v>
          </cell>
          <cell r="I2500">
            <v>363000</v>
          </cell>
        </row>
        <row r="2501">
          <cell r="A2501" t="str">
            <v>3470|459003</v>
          </cell>
          <cell r="B2501" t="str">
            <v>3470</v>
          </cell>
          <cell r="C2501">
            <v>459003</v>
          </cell>
          <cell r="D2501">
            <v>41244</v>
          </cell>
          <cell r="E2501">
            <v>1306000</v>
          </cell>
          <cell r="F2501">
            <v>1306000</v>
          </cell>
          <cell r="G2501">
            <v>0</v>
          </cell>
          <cell r="H2501">
            <v>108833</v>
          </cell>
          <cell r="I2501">
            <v>0</v>
          </cell>
        </row>
        <row r="2502">
          <cell r="A2502" t="str">
            <v>3470|472000</v>
          </cell>
          <cell r="B2502" t="str">
            <v>3470</v>
          </cell>
          <cell r="C2502">
            <v>472000</v>
          </cell>
          <cell r="D2502">
            <v>41244</v>
          </cell>
          <cell r="E2502">
            <v>1000000</v>
          </cell>
          <cell r="F2502">
            <v>1000000</v>
          </cell>
          <cell r="G2502">
            <v>0</v>
          </cell>
          <cell r="H2502">
            <v>83333</v>
          </cell>
          <cell r="I2502">
            <v>0</v>
          </cell>
        </row>
        <row r="2503">
          <cell r="A2503" t="str">
            <v>3470|474100</v>
          </cell>
          <cell r="B2503" t="str">
            <v>3470</v>
          </cell>
          <cell r="C2503">
            <v>474100</v>
          </cell>
          <cell r="D2503">
            <v>41244</v>
          </cell>
          <cell r="E2503">
            <v>53262300</v>
          </cell>
          <cell r="F2503">
            <v>53262300</v>
          </cell>
          <cell r="G2503">
            <v>49160257</v>
          </cell>
          <cell r="H2503">
            <v>4438524</v>
          </cell>
          <cell r="I2503">
            <v>15000000</v>
          </cell>
        </row>
        <row r="2504">
          <cell r="A2504" t="str">
            <v>3470|474101</v>
          </cell>
          <cell r="B2504" t="str">
            <v>3470</v>
          </cell>
          <cell r="C2504">
            <v>474101</v>
          </cell>
          <cell r="D2504">
            <v>41244</v>
          </cell>
          <cell r="E2504">
            <v>39686000</v>
          </cell>
          <cell r="F2504">
            <v>39686000</v>
          </cell>
          <cell r="G2504">
            <v>36657322</v>
          </cell>
          <cell r="H2504">
            <v>3307166</v>
          </cell>
          <cell r="I2504">
            <v>0</v>
          </cell>
        </row>
        <row r="2505">
          <cell r="A2505" t="str">
            <v>3470|476000</v>
          </cell>
          <cell r="B2505" t="str">
            <v>3470</v>
          </cell>
          <cell r="C2505">
            <v>476000</v>
          </cell>
          <cell r="D2505">
            <v>41244</v>
          </cell>
          <cell r="E2505">
            <v>1621050</v>
          </cell>
          <cell r="F2505">
            <v>1621050</v>
          </cell>
          <cell r="G2505">
            <v>0</v>
          </cell>
          <cell r="H2505">
            <v>135087</v>
          </cell>
          <cell r="I2505">
            <v>0</v>
          </cell>
        </row>
        <row r="2506">
          <cell r="A2506" t="str">
            <v>3470|476220</v>
          </cell>
          <cell r="B2506" t="str">
            <v>3470</v>
          </cell>
          <cell r="C2506">
            <v>476220</v>
          </cell>
          <cell r="D2506">
            <v>41244</v>
          </cell>
          <cell r="E2506">
            <v>27482955</v>
          </cell>
          <cell r="F2506">
            <v>27482955</v>
          </cell>
          <cell r="G2506">
            <v>123603199</v>
          </cell>
          <cell r="H2506">
            <v>2290246</v>
          </cell>
          <cell r="I2506">
            <v>13121966</v>
          </cell>
        </row>
        <row r="2507">
          <cell r="A2507" t="str">
            <v>3480|211100</v>
          </cell>
          <cell r="B2507" t="str">
            <v>3480</v>
          </cell>
          <cell r="C2507">
            <v>211100</v>
          </cell>
          <cell r="D2507">
            <v>41244</v>
          </cell>
          <cell r="E2507">
            <v>357571</v>
          </cell>
          <cell r="F2507">
            <v>357571</v>
          </cell>
          <cell r="G2507">
            <v>357571</v>
          </cell>
          <cell r="H2507">
            <v>29798</v>
          </cell>
          <cell r="I2507">
            <v>29798</v>
          </cell>
        </row>
        <row r="2508">
          <cell r="A2508" t="str">
            <v>3480|449034</v>
          </cell>
          <cell r="B2508" t="str">
            <v>3480</v>
          </cell>
          <cell r="C2508">
            <v>449034</v>
          </cell>
          <cell r="D2508">
            <v>41244</v>
          </cell>
          <cell r="E2508">
            <v>2704000</v>
          </cell>
          <cell r="F2508">
            <v>2704000</v>
          </cell>
          <cell r="G2508">
            <v>0</v>
          </cell>
          <cell r="H2508">
            <v>225333</v>
          </cell>
          <cell r="I2508">
            <v>0</v>
          </cell>
        </row>
        <row r="2509">
          <cell r="A2509" t="str">
            <v>3480|459004</v>
          </cell>
          <cell r="B2509" t="str">
            <v>3480</v>
          </cell>
          <cell r="C2509">
            <v>459004</v>
          </cell>
          <cell r="D2509">
            <v>41244</v>
          </cell>
          <cell r="E2509">
            <v>65532000</v>
          </cell>
          <cell r="F2509">
            <v>65532000</v>
          </cell>
          <cell r="G2509">
            <v>0</v>
          </cell>
          <cell r="H2509">
            <v>5461001</v>
          </cell>
          <cell r="I2509">
            <v>0</v>
          </cell>
        </row>
        <row r="2510">
          <cell r="A2510" t="str">
            <v>3480|476001</v>
          </cell>
          <cell r="B2510" t="str">
            <v>3480</v>
          </cell>
          <cell r="C2510">
            <v>476001</v>
          </cell>
          <cell r="D2510">
            <v>41244</v>
          </cell>
          <cell r="E2510">
            <v>78500000</v>
          </cell>
          <cell r="F2510">
            <v>78500000</v>
          </cell>
          <cell r="G2510">
            <v>25300000</v>
          </cell>
          <cell r="H2510">
            <v>6541667</v>
          </cell>
          <cell r="I2510">
            <v>6000000</v>
          </cell>
        </row>
        <row r="2511">
          <cell r="A2511" t="str">
            <v>3480|477860</v>
          </cell>
          <cell r="B2511" t="str">
            <v>3480</v>
          </cell>
          <cell r="C2511">
            <v>477860</v>
          </cell>
          <cell r="D2511">
            <v>41244</v>
          </cell>
          <cell r="E2511">
            <v>0</v>
          </cell>
          <cell r="F2511">
            <v>0</v>
          </cell>
          <cell r="G2511">
            <v>114591670</v>
          </cell>
          <cell r="H2511">
            <v>0</v>
          </cell>
          <cell r="I2511">
            <v>0</v>
          </cell>
        </row>
        <row r="2512">
          <cell r="A2512" t="str">
            <v>3490|400040</v>
          </cell>
          <cell r="B2512" t="str">
            <v>3490</v>
          </cell>
          <cell r="C2512">
            <v>400040</v>
          </cell>
          <cell r="D2512">
            <v>41244</v>
          </cell>
          <cell r="E2512">
            <v>0</v>
          </cell>
          <cell r="F2512">
            <v>0</v>
          </cell>
          <cell r="G2512">
            <v>-1492000</v>
          </cell>
          <cell r="H2512">
            <v>0</v>
          </cell>
          <cell r="I2512">
            <v>0</v>
          </cell>
        </row>
        <row r="2513">
          <cell r="A2513" t="str">
            <v>3490|405200</v>
          </cell>
          <cell r="B2513" t="str">
            <v>3490</v>
          </cell>
          <cell r="C2513">
            <v>405200</v>
          </cell>
          <cell r="D2513">
            <v>41244</v>
          </cell>
          <cell r="E2513">
            <v>48809342</v>
          </cell>
          <cell r="F2513">
            <v>48809342</v>
          </cell>
          <cell r="G2513">
            <v>3848400</v>
          </cell>
          <cell r="H2513">
            <v>4067445</v>
          </cell>
          <cell r="I2513">
            <v>3848400</v>
          </cell>
        </row>
        <row r="2514">
          <cell r="A2514" t="str">
            <v>3490|420002</v>
          </cell>
          <cell r="B2514" t="str">
            <v>3490</v>
          </cell>
          <cell r="C2514">
            <v>420002</v>
          </cell>
          <cell r="D2514">
            <v>41244</v>
          </cell>
          <cell r="E2514">
            <v>71303847</v>
          </cell>
          <cell r="F2514">
            <v>71303847</v>
          </cell>
          <cell r="G2514">
            <v>69432000</v>
          </cell>
          <cell r="H2514">
            <v>5941987</v>
          </cell>
          <cell r="I2514">
            <v>5837500</v>
          </cell>
        </row>
        <row r="2515">
          <cell r="A2515" t="str">
            <v>3490|420003</v>
          </cell>
          <cell r="B2515" t="str">
            <v>3490</v>
          </cell>
          <cell r="C2515">
            <v>420003</v>
          </cell>
          <cell r="D2515">
            <v>41244</v>
          </cell>
          <cell r="E2515">
            <v>366220563</v>
          </cell>
          <cell r="F2515">
            <v>366220563</v>
          </cell>
          <cell r="G2515">
            <v>366057075</v>
          </cell>
          <cell r="H2515">
            <v>30518380</v>
          </cell>
          <cell r="I2515">
            <v>30697831</v>
          </cell>
        </row>
        <row r="2516">
          <cell r="A2516" t="str">
            <v>3490|422002</v>
          </cell>
          <cell r="B2516" t="str">
            <v>3490</v>
          </cell>
          <cell r="C2516">
            <v>422002</v>
          </cell>
          <cell r="D2516">
            <v>41244</v>
          </cell>
          <cell r="E2516">
            <v>0</v>
          </cell>
          <cell r="F2516">
            <v>0</v>
          </cell>
          <cell r="G2516">
            <v>286350</v>
          </cell>
          <cell r="H2516">
            <v>0</v>
          </cell>
          <cell r="I2516">
            <v>0</v>
          </cell>
        </row>
        <row r="2517">
          <cell r="A2517" t="str">
            <v>3490|431002</v>
          </cell>
          <cell r="B2517" t="str">
            <v>3490</v>
          </cell>
          <cell r="C2517">
            <v>431002</v>
          </cell>
          <cell r="D2517">
            <v>41244</v>
          </cell>
          <cell r="E2517">
            <v>20000</v>
          </cell>
          <cell r="F2517">
            <v>20000</v>
          </cell>
          <cell r="G2517">
            <v>25000</v>
          </cell>
          <cell r="H2517">
            <v>1667</v>
          </cell>
          <cell r="I2517">
            <v>25000</v>
          </cell>
        </row>
        <row r="2518">
          <cell r="A2518" t="str">
            <v>3490|434012</v>
          </cell>
          <cell r="B2518" t="str">
            <v>3490</v>
          </cell>
          <cell r="C2518">
            <v>434012</v>
          </cell>
          <cell r="D2518">
            <v>41244</v>
          </cell>
          <cell r="E2518">
            <v>0</v>
          </cell>
          <cell r="F2518">
            <v>0</v>
          </cell>
          <cell r="G2518">
            <v>2799543</v>
          </cell>
          <cell r="H2518">
            <v>0</v>
          </cell>
          <cell r="I2518">
            <v>982145</v>
          </cell>
        </row>
        <row r="2519">
          <cell r="A2519" t="str">
            <v>3490|434013</v>
          </cell>
          <cell r="B2519" t="str">
            <v>3490</v>
          </cell>
          <cell r="C2519">
            <v>434013</v>
          </cell>
          <cell r="D2519">
            <v>41244</v>
          </cell>
          <cell r="E2519">
            <v>42634500</v>
          </cell>
          <cell r="F2519">
            <v>42634500</v>
          </cell>
          <cell r="G2519">
            <v>30419840</v>
          </cell>
          <cell r="H2519">
            <v>3552875</v>
          </cell>
          <cell r="I2519">
            <v>1366596</v>
          </cell>
        </row>
        <row r="2520">
          <cell r="A2520" t="str">
            <v>3490|435002</v>
          </cell>
          <cell r="B2520" t="str">
            <v>3490</v>
          </cell>
          <cell r="C2520">
            <v>435002</v>
          </cell>
          <cell r="D2520">
            <v>41244</v>
          </cell>
          <cell r="E2520">
            <v>5941987</v>
          </cell>
          <cell r="F2520">
            <v>5941987</v>
          </cell>
          <cell r="G2520">
            <v>5837500</v>
          </cell>
          <cell r="H2520">
            <v>495166</v>
          </cell>
          <cell r="I2520">
            <v>5837500</v>
          </cell>
        </row>
        <row r="2521">
          <cell r="A2521" t="str">
            <v>3490|435003</v>
          </cell>
          <cell r="B2521" t="str">
            <v>3490</v>
          </cell>
          <cell r="C2521">
            <v>435003</v>
          </cell>
          <cell r="D2521">
            <v>41244</v>
          </cell>
          <cell r="E2521">
            <v>46443377</v>
          </cell>
          <cell r="F2521">
            <v>46443377</v>
          </cell>
          <cell r="G2521">
            <v>60466284</v>
          </cell>
          <cell r="H2521">
            <v>3870281</v>
          </cell>
          <cell r="I2521">
            <v>0</v>
          </cell>
        </row>
        <row r="2522">
          <cell r="A2522" t="str">
            <v>3490|439003</v>
          </cell>
          <cell r="B2522" t="str">
            <v>3490</v>
          </cell>
          <cell r="C2522">
            <v>439003</v>
          </cell>
          <cell r="D2522">
            <v>41244</v>
          </cell>
          <cell r="E2522">
            <v>44055634</v>
          </cell>
          <cell r="F2522">
            <v>44055634</v>
          </cell>
          <cell r="G2522">
            <v>67228313</v>
          </cell>
          <cell r="H2522">
            <v>3671303</v>
          </cell>
          <cell r="I2522">
            <v>8296600</v>
          </cell>
        </row>
        <row r="2523">
          <cell r="A2523" t="str">
            <v>3490|439008</v>
          </cell>
          <cell r="B2523" t="str">
            <v>3490</v>
          </cell>
          <cell r="C2523">
            <v>439008</v>
          </cell>
          <cell r="D2523">
            <v>41244</v>
          </cell>
          <cell r="E2523">
            <v>16368905</v>
          </cell>
          <cell r="F2523">
            <v>16368905</v>
          </cell>
          <cell r="G2523">
            <v>22346622</v>
          </cell>
          <cell r="H2523">
            <v>1364075</v>
          </cell>
          <cell r="I2523">
            <v>0</v>
          </cell>
        </row>
        <row r="2524">
          <cell r="A2524" t="str">
            <v>3490|439202</v>
          </cell>
          <cell r="B2524" t="str">
            <v>3490</v>
          </cell>
          <cell r="C2524">
            <v>439202</v>
          </cell>
          <cell r="D2524">
            <v>41244</v>
          </cell>
          <cell r="E2524">
            <v>6000000</v>
          </cell>
          <cell r="F2524">
            <v>6000000</v>
          </cell>
          <cell r="G2524">
            <v>4975000</v>
          </cell>
          <cell r="H2524">
            <v>500000</v>
          </cell>
          <cell r="I2524">
            <v>525000</v>
          </cell>
        </row>
        <row r="2525">
          <cell r="A2525" t="str">
            <v>3490|439203</v>
          </cell>
          <cell r="B2525" t="str">
            <v>3490</v>
          </cell>
          <cell r="C2525">
            <v>439203</v>
          </cell>
          <cell r="D2525">
            <v>41244</v>
          </cell>
          <cell r="E2525">
            <v>6000000</v>
          </cell>
          <cell r="F2525">
            <v>6000000</v>
          </cell>
          <cell r="G2525">
            <v>4905000</v>
          </cell>
          <cell r="H2525">
            <v>500000</v>
          </cell>
          <cell r="I2525">
            <v>500000</v>
          </cell>
        </row>
        <row r="2526">
          <cell r="A2526" t="str">
            <v>3490|440002</v>
          </cell>
          <cell r="B2526" t="str">
            <v>3490</v>
          </cell>
          <cell r="C2526">
            <v>440002</v>
          </cell>
          <cell r="D2526">
            <v>41244</v>
          </cell>
          <cell r="E2526">
            <v>5941987</v>
          </cell>
          <cell r="F2526">
            <v>5941987</v>
          </cell>
          <cell r="G2526">
            <v>6140873</v>
          </cell>
          <cell r="H2526">
            <v>495166</v>
          </cell>
          <cell r="I2526">
            <v>558485</v>
          </cell>
        </row>
        <row r="2527">
          <cell r="A2527" t="str">
            <v>3490|440003</v>
          </cell>
          <cell r="B2527" t="str">
            <v>3490</v>
          </cell>
          <cell r="C2527">
            <v>440003</v>
          </cell>
          <cell r="D2527">
            <v>41244</v>
          </cell>
          <cell r="E2527">
            <v>30962251</v>
          </cell>
          <cell r="F2527">
            <v>30962251</v>
          </cell>
          <cell r="G2527">
            <v>32657739</v>
          </cell>
          <cell r="H2527">
            <v>2580188</v>
          </cell>
          <cell r="I2527">
            <v>2836175</v>
          </cell>
        </row>
        <row r="2528">
          <cell r="A2528" t="str">
            <v>3490|446002</v>
          </cell>
          <cell r="B2528" t="str">
            <v>3490</v>
          </cell>
          <cell r="C2528">
            <v>446002</v>
          </cell>
          <cell r="D2528">
            <v>41244</v>
          </cell>
          <cell r="E2528">
            <v>2970994</v>
          </cell>
          <cell r="F2528">
            <v>2970994</v>
          </cell>
          <cell r="G2528">
            <v>2114400</v>
          </cell>
          <cell r="H2528">
            <v>247583</v>
          </cell>
          <cell r="I2528">
            <v>150000</v>
          </cell>
        </row>
        <row r="2529">
          <cell r="A2529" t="str">
            <v>3490|447002</v>
          </cell>
          <cell r="B2529" t="str">
            <v>3490</v>
          </cell>
          <cell r="C2529">
            <v>447002</v>
          </cell>
          <cell r="D2529">
            <v>41244</v>
          </cell>
          <cell r="E2529">
            <v>2072652</v>
          </cell>
          <cell r="F2529">
            <v>2072652</v>
          </cell>
          <cell r="G2529">
            <v>374940</v>
          </cell>
          <cell r="H2529">
            <v>172721</v>
          </cell>
          <cell r="I2529">
            <v>31523</v>
          </cell>
        </row>
        <row r="2530">
          <cell r="A2530" t="str">
            <v>3490|447003</v>
          </cell>
          <cell r="B2530" t="str">
            <v>3490</v>
          </cell>
          <cell r="C2530">
            <v>447003</v>
          </cell>
          <cell r="D2530">
            <v>41244</v>
          </cell>
          <cell r="E2530">
            <v>3628300</v>
          </cell>
          <cell r="F2530">
            <v>3628300</v>
          </cell>
          <cell r="G2530">
            <v>5941152</v>
          </cell>
          <cell r="H2530">
            <v>302358</v>
          </cell>
          <cell r="I2530">
            <v>499488</v>
          </cell>
        </row>
        <row r="2531">
          <cell r="A2531" t="str">
            <v>3490|447012</v>
          </cell>
          <cell r="B2531" t="str">
            <v>3490</v>
          </cell>
          <cell r="C2531">
            <v>447012</v>
          </cell>
          <cell r="D2531">
            <v>41244</v>
          </cell>
          <cell r="E2531">
            <v>4884593</v>
          </cell>
          <cell r="F2531">
            <v>4884593</v>
          </cell>
          <cell r="G2531">
            <v>2568990</v>
          </cell>
          <cell r="H2531">
            <v>407049</v>
          </cell>
          <cell r="I2531">
            <v>215988</v>
          </cell>
        </row>
        <row r="2532">
          <cell r="A2532" t="str">
            <v>3490|447013</v>
          </cell>
          <cell r="B2532" t="str">
            <v>3490</v>
          </cell>
          <cell r="C2532">
            <v>447013</v>
          </cell>
          <cell r="D2532">
            <v>41244</v>
          </cell>
          <cell r="E2532">
            <v>13877220</v>
          </cell>
          <cell r="F2532">
            <v>13877220</v>
          </cell>
          <cell r="G2532">
            <v>14001432</v>
          </cell>
          <cell r="H2532">
            <v>1156435</v>
          </cell>
          <cell r="I2532">
            <v>1177137</v>
          </cell>
        </row>
        <row r="2533">
          <cell r="A2533" t="str">
            <v>3490|447022</v>
          </cell>
          <cell r="B2533" t="str">
            <v>3490</v>
          </cell>
          <cell r="C2533">
            <v>447022</v>
          </cell>
          <cell r="D2533">
            <v>41244</v>
          </cell>
          <cell r="E2533">
            <v>207265</v>
          </cell>
          <cell r="F2533">
            <v>207265</v>
          </cell>
          <cell r="G2533">
            <v>59104</v>
          </cell>
          <cell r="H2533">
            <v>17272</v>
          </cell>
          <cell r="I2533">
            <v>5250</v>
          </cell>
        </row>
        <row r="2534">
          <cell r="A2534" t="str">
            <v>3490|447023</v>
          </cell>
          <cell r="B2534" t="str">
            <v>3490</v>
          </cell>
          <cell r="C2534">
            <v>447023</v>
          </cell>
          <cell r="D2534">
            <v>41244</v>
          </cell>
          <cell r="E2534">
            <v>362830</v>
          </cell>
          <cell r="F2534">
            <v>362830</v>
          </cell>
          <cell r="G2534">
            <v>1979978</v>
          </cell>
          <cell r="H2534">
            <v>30236</v>
          </cell>
          <cell r="I2534">
            <v>166250</v>
          </cell>
        </row>
        <row r="2535">
          <cell r="A2535" t="str">
            <v>3490|448002</v>
          </cell>
          <cell r="B2535" t="str">
            <v>3490</v>
          </cell>
          <cell r="C2535">
            <v>448002</v>
          </cell>
          <cell r="D2535">
            <v>41244</v>
          </cell>
          <cell r="E2535">
            <v>12314417</v>
          </cell>
          <cell r="F2535">
            <v>12314417</v>
          </cell>
          <cell r="G2535">
            <v>4307032</v>
          </cell>
          <cell r="H2535">
            <v>1026201</v>
          </cell>
          <cell r="I2535">
            <v>0</v>
          </cell>
        </row>
        <row r="2536">
          <cell r="A2536" t="str">
            <v>3490|448003</v>
          </cell>
          <cell r="B2536" t="str">
            <v>3490</v>
          </cell>
          <cell r="C2536">
            <v>448003</v>
          </cell>
          <cell r="D2536">
            <v>41244</v>
          </cell>
          <cell r="E2536">
            <v>27014726</v>
          </cell>
          <cell r="F2536">
            <v>27014726</v>
          </cell>
          <cell r="G2536">
            <v>9756768</v>
          </cell>
          <cell r="H2536">
            <v>2251227</v>
          </cell>
          <cell r="I2536">
            <v>238500</v>
          </cell>
        </row>
        <row r="2537">
          <cell r="A2537" t="str">
            <v>3490|449004</v>
          </cell>
          <cell r="B2537" t="str">
            <v>3490</v>
          </cell>
          <cell r="C2537">
            <v>449004</v>
          </cell>
          <cell r="D2537">
            <v>41244</v>
          </cell>
          <cell r="E2537">
            <v>1300000</v>
          </cell>
          <cell r="F2537">
            <v>1300000</v>
          </cell>
          <cell r="G2537">
            <v>1200000</v>
          </cell>
          <cell r="H2537">
            <v>108333</v>
          </cell>
          <cell r="I2537">
            <v>0</v>
          </cell>
        </row>
        <row r="2538">
          <cell r="A2538" t="str">
            <v>3490|449022</v>
          </cell>
          <cell r="B2538" t="str">
            <v>3490</v>
          </cell>
          <cell r="C2538">
            <v>449022</v>
          </cell>
          <cell r="D2538">
            <v>41244</v>
          </cell>
          <cell r="E2538">
            <v>3960000</v>
          </cell>
          <cell r="F2538">
            <v>3960000</v>
          </cell>
          <cell r="G2538">
            <v>0</v>
          </cell>
          <cell r="H2538">
            <v>330000</v>
          </cell>
          <cell r="I2538">
            <v>0</v>
          </cell>
        </row>
        <row r="2539">
          <cell r="A2539" t="str">
            <v>3490|449032</v>
          </cell>
          <cell r="B2539" t="str">
            <v>3490</v>
          </cell>
          <cell r="C2539">
            <v>449032</v>
          </cell>
          <cell r="D2539">
            <v>41244</v>
          </cell>
          <cell r="E2539">
            <v>5156700</v>
          </cell>
          <cell r="F2539">
            <v>5156700</v>
          </cell>
          <cell r="G2539">
            <v>1350000</v>
          </cell>
          <cell r="H2539">
            <v>429725</v>
          </cell>
          <cell r="I2539">
            <v>0</v>
          </cell>
        </row>
        <row r="2540">
          <cell r="A2540" t="str">
            <v>3490|449040</v>
          </cell>
          <cell r="B2540" t="str">
            <v>3490</v>
          </cell>
          <cell r="C2540">
            <v>449040</v>
          </cell>
          <cell r="D2540">
            <v>41244</v>
          </cell>
          <cell r="E2540">
            <v>2428000</v>
          </cell>
          <cell r="F2540">
            <v>2428000</v>
          </cell>
          <cell r="G2540">
            <v>1982500</v>
          </cell>
          <cell r="H2540">
            <v>202333</v>
          </cell>
          <cell r="I2540">
            <v>0</v>
          </cell>
        </row>
        <row r="2541">
          <cell r="A2541" t="str">
            <v>3490|449061</v>
          </cell>
          <cell r="B2541" t="str">
            <v>3490</v>
          </cell>
          <cell r="C2541">
            <v>449061</v>
          </cell>
          <cell r="D2541">
            <v>41244</v>
          </cell>
          <cell r="E2541">
            <v>11454800</v>
          </cell>
          <cell r="F2541">
            <v>11454800</v>
          </cell>
          <cell r="G2541">
            <v>11383000</v>
          </cell>
          <cell r="H2541">
            <v>954567</v>
          </cell>
          <cell r="I2541">
            <v>590000</v>
          </cell>
        </row>
        <row r="2542">
          <cell r="A2542" t="str">
            <v>3490|459005</v>
          </cell>
          <cell r="B2542" t="str">
            <v>3490</v>
          </cell>
          <cell r="C2542">
            <v>459005</v>
          </cell>
          <cell r="D2542">
            <v>41244</v>
          </cell>
          <cell r="E2542">
            <v>1</v>
          </cell>
          <cell r="F2542">
            <v>1</v>
          </cell>
          <cell r="G2542">
            <v>0</v>
          </cell>
          <cell r="H2542">
            <v>0</v>
          </cell>
          <cell r="I2542">
            <v>0</v>
          </cell>
        </row>
        <row r="2543">
          <cell r="A2543" t="str">
            <v>3490|470102</v>
          </cell>
          <cell r="B2543" t="str">
            <v>3490</v>
          </cell>
          <cell r="C2543">
            <v>470102</v>
          </cell>
          <cell r="D2543">
            <v>41244</v>
          </cell>
          <cell r="E2543">
            <v>119532</v>
          </cell>
          <cell r="F2543">
            <v>119532</v>
          </cell>
          <cell r="G2543">
            <v>375000</v>
          </cell>
          <cell r="H2543">
            <v>9961</v>
          </cell>
          <cell r="I2543">
            <v>0</v>
          </cell>
        </row>
        <row r="2544">
          <cell r="A2544" t="str">
            <v>3490|473000</v>
          </cell>
          <cell r="B2544" t="str">
            <v>3490</v>
          </cell>
          <cell r="C2544">
            <v>473000</v>
          </cell>
          <cell r="D2544">
            <v>41244</v>
          </cell>
          <cell r="E2544">
            <v>30000</v>
          </cell>
          <cell r="F2544">
            <v>30000</v>
          </cell>
          <cell r="G2544">
            <v>48000</v>
          </cell>
          <cell r="H2544">
            <v>2500</v>
          </cell>
          <cell r="I2544">
            <v>6000</v>
          </cell>
        </row>
        <row r="2545">
          <cell r="A2545" t="str">
            <v>3490|473120</v>
          </cell>
          <cell r="B2545" t="str">
            <v>3490</v>
          </cell>
          <cell r="C2545">
            <v>473120</v>
          </cell>
          <cell r="D2545">
            <v>41244</v>
          </cell>
          <cell r="E2545">
            <v>10546417</v>
          </cell>
          <cell r="F2545">
            <v>10546417</v>
          </cell>
          <cell r="G2545">
            <v>13956034</v>
          </cell>
          <cell r="H2545">
            <v>878868</v>
          </cell>
          <cell r="I2545">
            <v>437800</v>
          </cell>
        </row>
        <row r="2546">
          <cell r="A2546" t="str">
            <v>3490|474100</v>
          </cell>
          <cell r="B2546" t="str">
            <v>3490</v>
          </cell>
          <cell r="C2546">
            <v>474100</v>
          </cell>
          <cell r="D2546">
            <v>41244</v>
          </cell>
          <cell r="E2546">
            <v>98531500</v>
          </cell>
          <cell r="F2546">
            <v>98531500</v>
          </cell>
          <cell r="G2546">
            <v>98111866</v>
          </cell>
          <cell r="H2546">
            <v>8210957</v>
          </cell>
          <cell r="I2546">
            <v>0</v>
          </cell>
        </row>
        <row r="2547">
          <cell r="A2547" t="str">
            <v>3490|474101</v>
          </cell>
          <cell r="B2547" t="str">
            <v>3490</v>
          </cell>
          <cell r="C2547">
            <v>474101</v>
          </cell>
          <cell r="D2547">
            <v>41244</v>
          </cell>
          <cell r="E2547">
            <v>15585000</v>
          </cell>
          <cell r="F2547">
            <v>15585000</v>
          </cell>
          <cell r="G2547">
            <v>18556251</v>
          </cell>
          <cell r="H2547">
            <v>1298750</v>
          </cell>
          <cell r="I2547">
            <v>10425000</v>
          </cell>
        </row>
        <row r="2548">
          <cell r="A2548" t="str">
            <v>3490|475004</v>
          </cell>
          <cell r="B2548" t="str">
            <v>3490</v>
          </cell>
          <cell r="C2548">
            <v>475004</v>
          </cell>
          <cell r="D2548">
            <v>41244</v>
          </cell>
          <cell r="E2548">
            <v>36726700</v>
          </cell>
          <cell r="F2548">
            <v>36726700</v>
          </cell>
          <cell r="G2548">
            <v>36131988</v>
          </cell>
          <cell r="H2548">
            <v>3060558</v>
          </cell>
          <cell r="I2548">
            <v>2017000</v>
          </cell>
        </row>
        <row r="2549">
          <cell r="A2549" t="str">
            <v>3490|475006</v>
          </cell>
          <cell r="B2549" t="str">
            <v>3490</v>
          </cell>
          <cell r="C2549">
            <v>475006</v>
          </cell>
          <cell r="D2549">
            <v>41244</v>
          </cell>
          <cell r="E2549">
            <v>7837670</v>
          </cell>
          <cell r="F2549">
            <v>7837670</v>
          </cell>
          <cell r="G2549">
            <v>5540071</v>
          </cell>
          <cell r="H2549">
            <v>653139</v>
          </cell>
          <cell r="I2549">
            <v>429063</v>
          </cell>
        </row>
        <row r="2550">
          <cell r="A2550" t="str">
            <v>3490|476000</v>
          </cell>
          <cell r="B2550" t="str">
            <v>3490</v>
          </cell>
          <cell r="C2550">
            <v>476000</v>
          </cell>
          <cell r="D2550">
            <v>41244</v>
          </cell>
          <cell r="E2550">
            <v>1300000</v>
          </cell>
          <cell r="F2550">
            <v>1300000</v>
          </cell>
          <cell r="G2550">
            <v>612585</v>
          </cell>
          <cell r="H2550">
            <v>108334</v>
          </cell>
          <cell r="I2550">
            <v>0</v>
          </cell>
        </row>
        <row r="2551">
          <cell r="A2551" t="str">
            <v>3490|476001</v>
          </cell>
          <cell r="B2551" t="str">
            <v>3490</v>
          </cell>
          <cell r="C2551">
            <v>476001</v>
          </cell>
          <cell r="D2551">
            <v>41244</v>
          </cell>
          <cell r="E2551">
            <v>270000</v>
          </cell>
          <cell r="F2551">
            <v>270000</v>
          </cell>
          <cell r="G2551">
            <v>245000</v>
          </cell>
          <cell r="H2551">
            <v>22501</v>
          </cell>
          <cell r="I2551">
            <v>0</v>
          </cell>
        </row>
        <row r="2552">
          <cell r="A2552" t="str">
            <v>3490|476900</v>
          </cell>
          <cell r="B2552" t="str">
            <v>3490</v>
          </cell>
          <cell r="C2552">
            <v>476900</v>
          </cell>
          <cell r="D2552">
            <v>41244</v>
          </cell>
          <cell r="E2552">
            <v>2703200</v>
          </cell>
          <cell r="F2552">
            <v>2703200</v>
          </cell>
          <cell r="G2552">
            <v>2619123</v>
          </cell>
          <cell r="H2552">
            <v>225266</v>
          </cell>
          <cell r="I2552">
            <v>0</v>
          </cell>
        </row>
        <row r="2553">
          <cell r="A2553" t="str">
            <v>3490|477800</v>
          </cell>
          <cell r="B2553" t="str">
            <v>3490</v>
          </cell>
          <cell r="C2553">
            <v>477800</v>
          </cell>
          <cell r="D2553">
            <v>41244</v>
          </cell>
          <cell r="E2553">
            <v>311465993</v>
          </cell>
          <cell r="F2553">
            <v>311465993</v>
          </cell>
          <cell r="G2553">
            <v>115751300</v>
          </cell>
          <cell r="H2553">
            <v>25955499</v>
          </cell>
          <cell r="I2553">
            <v>-11961622</v>
          </cell>
        </row>
        <row r="2554">
          <cell r="A2554" t="str">
            <v>3500|211100</v>
          </cell>
          <cell r="B2554" t="str">
            <v>3500</v>
          </cell>
          <cell r="C2554">
            <v>211100</v>
          </cell>
          <cell r="D2554">
            <v>41244</v>
          </cell>
          <cell r="E2554">
            <v>1081033</v>
          </cell>
          <cell r="F2554">
            <v>1081033</v>
          </cell>
          <cell r="G2554">
            <v>9342552</v>
          </cell>
          <cell r="H2554">
            <v>90086</v>
          </cell>
          <cell r="I2554">
            <v>511943</v>
          </cell>
        </row>
        <row r="2555">
          <cell r="A2555" t="str">
            <v>3500|405200</v>
          </cell>
          <cell r="B2555" t="str">
            <v>3500</v>
          </cell>
          <cell r="C2555">
            <v>405200</v>
          </cell>
          <cell r="D2555">
            <v>41244</v>
          </cell>
          <cell r="E2555">
            <v>0</v>
          </cell>
          <cell r="F2555">
            <v>0</v>
          </cell>
          <cell r="G2555">
            <v>36801774</v>
          </cell>
          <cell r="H2555">
            <v>0</v>
          </cell>
          <cell r="I2555">
            <v>0</v>
          </cell>
        </row>
        <row r="2556">
          <cell r="A2556" t="str">
            <v>3500|420002</v>
          </cell>
          <cell r="B2556" t="str">
            <v>3500</v>
          </cell>
          <cell r="C2556">
            <v>420002</v>
          </cell>
          <cell r="D2556">
            <v>41244</v>
          </cell>
          <cell r="E2556">
            <v>142607695</v>
          </cell>
          <cell r="F2556">
            <v>142607695</v>
          </cell>
          <cell r="G2556">
            <v>105209879</v>
          </cell>
          <cell r="H2556">
            <v>11883975</v>
          </cell>
          <cell r="I2556">
            <v>8860000</v>
          </cell>
        </row>
        <row r="2557">
          <cell r="A2557" t="str">
            <v>3500|420003</v>
          </cell>
          <cell r="B2557" t="str">
            <v>3500</v>
          </cell>
          <cell r="C2557">
            <v>420003</v>
          </cell>
          <cell r="D2557">
            <v>41244</v>
          </cell>
          <cell r="E2557">
            <v>129650465</v>
          </cell>
          <cell r="F2557">
            <v>129650465</v>
          </cell>
          <cell r="G2557">
            <v>127734765</v>
          </cell>
          <cell r="H2557">
            <v>10804205</v>
          </cell>
          <cell r="I2557">
            <v>10711937</v>
          </cell>
        </row>
        <row r="2558">
          <cell r="A2558" t="str">
            <v>3500|422003</v>
          </cell>
          <cell r="B2558" t="str">
            <v>3500</v>
          </cell>
          <cell r="C2558">
            <v>422003</v>
          </cell>
          <cell r="D2558">
            <v>41244</v>
          </cell>
          <cell r="E2558">
            <v>262211</v>
          </cell>
          <cell r="F2558">
            <v>262211</v>
          </cell>
          <cell r="G2558">
            <v>115800</v>
          </cell>
          <cell r="H2558">
            <v>21851</v>
          </cell>
          <cell r="I2558">
            <v>0</v>
          </cell>
        </row>
        <row r="2559">
          <cell r="A2559" t="str">
            <v>3500|431001</v>
          </cell>
          <cell r="B2559" t="str">
            <v>3500</v>
          </cell>
          <cell r="C2559">
            <v>431001</v>
          </cell>
          <cell r="D2559">
            <v>41244</v>
          </cell>
          <cell r="E2559">
            <v>0</v>
          </cell>
          <cell r="F2559">
            <v>0</v>
          </cell>
          <cell r="G2559">
            <v>102643</v>
          </cell>
          <cell r="H2559">
            <v>0</v>
          </cell>
          <cell r="I2559">
            <v>0</v>
          </cell>
        </row>
        <row r="2560">
          <cell r="A2560" t="str">
            <v>3500|431002</v>
          </cell>
          <cell r="B2560" t="str">
            <v>3500</v>
          </cell>
          <cell r="C2560">
            <v>431002</v>
          </cell>
          <cell r="D2560">
            <v>41244</v>
          </cell>
          <cell r="E2560">
            <v>60000</v>
          </cell>
          <cell r="F2560">
            <v>60000</v>
          </cell>
          <cell r="G2560">
            <v>4525632</v>
          </cell>
          <cell r="H2560">
            <v>5000</v>
          </cell>
          <cell r="I2560">
            <v>0</v>
          </cell>
        </row>
        <row r="2561">
          <cell r="A2561" t="str">
            <v>3500|434012</v>
          </cell>
          <cell r="B2561" t="str">
            <v>3500</v>
          </cell>
          <cell r="C2561">
            <v>434012</v>
          </cell>
          <cell r="D2561">
            <v>41244</v>
          </cell>
          <cell r="E2561">
            <v>0</v>
          </cell>
          <cell r="F2561">
            <v>0</v>
          </cell>
          <cell r="G2561">
            <v>5599085</v>
          </cell>
          <cell r="H2561">
            <v>0</v>
          </cell>
          <cell r="I2561">
            <v>1964291</v>
          </cell>
        </row>
        <row r="2562">
          <cell r="A2562" t="str">
            <v>3500|434013</v>
          </cell>
          <cell r="B2562" t="str">
            <v>3500</v>
          </cell>
          <cell r="C2562">
            <v>434013</v>
          </cell>
          <cell r="D2562">
            <v>41244</v>
          </cell>
          <cell r="E2562">
            <v>0</v>
          </cell>
          <cell r="F2562">
            <v>0</v>
          </cell>
          <cell r="G2562">
            <v>4244886</v>
          </cell>
          <cell r="H2562">
            <v>0</v>
          </cell>
          <cell r="I2562">
            <v>1366596</v>
          </cell>
        </row>
        <row r="2563">
          <cell r="A2563" t="str">
            <v>3500|435002</v>
          </cell>
          <cell r="B2563" t="str">
            <v>3500</v>
          </cell>
          <cell r="C2563">
            <v>435002</v>
          </cell>
          <cell r="D2563">
            <v>41244</v>
          </cell>
          <cell r="E2563">
            <v>11883975</v>
          </cell>
          <cell r="F2563">
            <v>11883975</v>
          </cell>
          <cell r="G2563">
            <v>8860000</v>
          </cell>
          <cell r="H2563">
            <v>990331</v>
          </cell>
          <cell r="I2563">
            <v>8860000</v>
          </cell>
        </row>
        <row r="2564">
          <cell r="A2564" t="str">
            <v>3500|435003</v>
          </cell>
          <cell r="B2564" t="str">
            <v>3500</v>
          </cell>
          <cell r="C2564">
            <v>435003</v>
          </cell>
          <cell r="D2564">
            <v>41244</v>
          </cell>
          <cell r="E2564">
            <v>16206308</v>
          </cell>
          <cell r="F2564">
            <v>16206308</v>
          </cell>
          <cell r="G2564">
            <v>13709610</v>
          </cell>
          <cell r="H2564">
            <v>1350526</v>
          </cell>
          <cell r="I2564">
            <v>0</v>
          </cell>
        </row>
        <row r="2565">
          <cell r="A2565" t="str">
            <v>3500|439003</v>
          </cell>
          <cell r="B2565" t="str">
            <v>3500</v>
          </cell>
          <cell r="C2565">
            <v>439003</v>
          </cell>
          <cell r="D2565">
            <v>41244</v>
          </cell>
          <cell r="E2565">
            <v>44055634</v>
          </cell>
          <cell r="F2565">
            <v>44055634</v>
          </cell>
          <cell r="G2565">
            <v>67228313</v>
          </cell>
          <cell r="H2565">
            <v>3671303</v>
          </cell>
          <cell r="I2565">
            <v>8296600</v>
          </cell>
        </row>
        <row r="2566">
          <cell r="A2566" t="str">
            <v>3500|439008</v>
          </cell>
          <cell r="B2566" t="str">
            <v>3500</v>
          </cell>
          <cell r="C2566">
            <v>439008</v>
          </cell>
          <cell r="D2566">
            <v>41244</v>
          </cell>
          <cell r="E2566">
            <v>32737810</v>
          </cell>
          <cell r="F2566">
            <v>32737810</v>
          </cell>
          <cell r="G2566">
            <v>44693241</v>
          </cell>
          <cell r="H2566">
            <v>2728151</v>
          </cell>
          <cell r="I2566">
            <v>0</v>
          </cell>
        </row>
        <row r="2567">
          <cell r="A2567" t="str">
            <v>3500|439202</v>
          </cell>
          <cell r="B2567" t="str">
            <v>3500</v>
          </cell>
          <cell r="C2567">
            <v>439202</v>
          </cell>
          <cell r="D2567">
            <v>41244</v>
          </cell>
          <cell r="E2567">
            <v>12000000</v>
          </cell>
          <cell r="F2567">
            <v>12000000</v>
          </cell>
          <cell r="G2567">
            <v>9545000</v>
          </cell>
          <cell r="H2567">
            <v>1000000</v>
          </cell>
          <cell r="I2567">
            <v>1025000</v>
          </cell>
        </row>
        <row r="2568">
          <cell r="A2568" t="str">
            <v>3500|439203</v>
          </cell>
          <cell r="B2568" t="str">
            <v>3500</v>
          </cell>
          <cell r="C2568">
            <v>439203</v>
          </cell>
          <cell r="D2568">
            <v>41244</v>
          </cell>
          <cell r="E2568">
            <v>6000000</v>
          </cell>
          <cell r="F2568">
            <v>6000000</v>
          </cell>
          <cell r="G2568">
            <v>4855000</v>
          </cell>
          <cell r="H2568">
            <v>500000</v>
          </cell>
          <cell r="I2568">
            <v>500000</v>
          </cell>
        </row>
        <row r="2569">
          <cell r="A2569" t="str">
            <v>3500|440002</v>
          </cell>
          <cell r="B2569" t="str">
            <v>3500</v>
          </cell>
          <cell r="C2569">
            <v>440002</v>
          </cell>
          <cell r="D2569">
            <v>41244</v>
          </cell>
          <cell r="E2569">
            <v>11883975</v>
          </cell>
          <cell r="F2569">
            <v>11883975</v>
          </cell>
          <cell r="G2569">
            <v>9466748</v>
          </cell>
          <cell r="H2569">
            <v>990331</v>
          </cell>
          <cell r="I2569">
            <v>1116969</v>
          </cell>
        </row>
        <row r="2570">
          <cell r="A2570" t="str">
            <v>3500|440003</v>
          </cell>
          <cell r="B2570" t="str">
            <v>3500</v>
          </cell>
          <cell r="C2570">
            <v>440003</v>
          </cell>
          <cell r="D2570">
            <v>41244</v>
          </cell>
          <cell r="E2570">
            <v>16206308</v>
          </cell>
          <cell r="F2570">
            <v>16206308</v>
          </cell>
          <cell r="G2570">
            <v>9487746</v>
          </cell>
          <cell r="H2570">
            <v>1350526</v>
          </cell>
          <cell r="I2570">
            <v>989677</v>
          </cell>
        </row>
        <row r="2571">
          <cell r="A2571" t="str">
            <v>3500|446002</v>
          </cell>
          <cell r="B2571" t="str">
            <v>3500</v>
          </cell>
          <cell r="C2571">
            <v>446002</v>
          </cell>
          <cell r="D2571">
            <v>41244</v>
          </cell>
          <cell r="E2571">
            <v>5941987</v>
          </cell>
          <cell r="F2571">
            <v>5941987</v>
          </cell>
          <cell r="G2571">
            <v>2851301</v>
          </cell>
          <cell r="H2571">
            <v>495166</v>
          </cell>
          <cell r="I2571">
            <v>0</v>
          </cell>
        </row>
        <row r="2572">
          <cell r="A2572" t="str">
            <v>3500|447002</v>
          </cell>
          <cell r="B2572" t="str">
            <v>3500</v>
          </cell>
          <cell r="C2572">
            <v>447002</v>
          </cell>
          <cell r="D2572">
            <v>41244</v>
          </cell>
          <cell r="E2572">
            <v>4145303</v>
          </cell>
          <cell r="F2572">
            <v>4145303</v>
          </cell>
          <cell r="G2572">
            <v>569058</v>
          </cell>
          <cell r="H2572">
            <v>345442</v>
          </cell>
          <cell r="I2572">
            <v>47844</v>
          </cell>
        </row>
        <row r="2573">
          <cell r="A2573" t="str">
            <v>3500|447003</v>
          </cell>
          <cell r="B2573" t="str">
            <v>3500</v>
          </cell>
          <cell r="C2573">
            <v>447003</v>
          </cell>
          <cell r="D2573">
            <v>41244</v>
          </cell>
          <cell r="E2573">
            <v>829090</v>
          </cell>
          <cell r="F2573">
            <v>829090</v>
          </cell>
          <cell r="G2573">
            <v>590496</v>
          </cell>
          <cell r="H2573">
            <v>69091</v>
          </cell>
          <cell r="I2573">
            <v>49645</v>
          </cell>
        </row>
        <row r="2574">
          <cell r="A2574" t="str">
            <v>3500|447012</v>
          </cell>
          <cell r="B2574" t="str">
            <v>3500</v>
          </cell>
          <cell r="C2574">
            <v>447012</v>
          </cell>
          <cell r="D2574">
            <v>41244</v>
          </cell>
          <cell r="E2574">
            <v>9769186</v>
          </cell>
          <cell r="F2574">
            <v>9769186</v>
          </cell>
          <cell r="G2574">
            <v>3899100</v>
          </cell>
          <cell r="H2574">
            <v>814099</v>
          </cell>
          <cell r="I2574">
            <v>327820</v>
          </cell>
        </row>
        <row r="2575">
          <cell r="A2575" t="str">
            <v>3500|447013</v>
          </cell>
          <cell r="B2575" t="str">
            <v>3500</v>
          </cell>
          <cell r="C2575">
            <v>447013</v>
          </cell>
          <cell r="D2575">
            <v>41244</v>
          </cell>
          <cell r="E2575">
            <v>1953907</v>
          </cell>
          <cell r="F2575">
            <v>1953907</v>
          </cell>
          <cell r="G2575">
            <v>4045956</v>
          </cell>
          <cell r="H2575">
            <v>162826</v>
          </cell>
          <cell r="I2575">
            <v>340160</v>
          </cell>
        </row>
        <row r="2576">
          <cell r="A2576" t="str">
            <v>3500|447022</v>
          </cell>
          <cell r="B2576" t="str">
            <v>3500</v>
          </cell>
          <cell r="C2576">
            <v>447022</v>
          </cell>
          <cell r="D2576">
            <v>41244</v>
          </cell>
          <cell r="E2576">
            <v>414530</v>
          </cell>
          <cell r="F2576">
            <v>414530</v>
          </cell>
          <cell r="G2576">
            <v>37995</v>
          </cell>
          <cell r="H2576">
            <v>34544</v>
          </cell>
          <cell r="I2576">
            <v>5550</v>
          </cell>
        </row>
        <row r="2577">
          <cell r="A2577" t="str">
            <v>3500|447023</v>
          </cell>
          <cell r="B2577" t="str">
            <v>3500</v>
          </cell>
          <cell r="C2577">
            <v>447023</v>
          </cell>
          <cell r="D2577">
            <v>41244</v>
          </cell>
          <cell r="E2577">
            <v>82909</v>
          </cell>
          <cell r="F2577">
            <v>82909</v>
          </cell>
          <cell r="G2577">
            <v>91237</v>
          </cell>
          <cell r="H2577">
            <v>6909</v>
          </cell>
          <cell r="I2577">
            <v>0</v>
          </cell>
        </row>
        <row r="2578">
          <cell r="A2578" t="str">
            <v>3500|448002</v>
          </cell>
          <cell r="B2578" t="str">
            <v>3500</v>
          </cell>
          <cell r="C2578">
            <v>448002</v>
          </cell>
          <cell r="D2578">
            <v>41244</v>
          </cell>
          <cell r="E2578">
            <v>24628834</v>
          </cell>
          <cell r="F2578">
            <v>24628834</v>
          </cell>
          <cell r="G2578">
            <v>19485297</v>
          </cell>
          <cell r="H2578">
            <v>2052403</v>
          </cell>
          <cell r="I2578">
            <v>876000</v>
          </cell>
        </row>
        <row r="2579">
          <cell r="A2579" t="str">
            <v>3500|448003</v>
          </cell>
          <cell r="B2579" t="str">
            <v>3500</v>
          </cell>
          <cell r="C2579">
            <v>448003</v>
          </cell>
          <cell r="D2579">
            <v>41244</v>
          </cell>
          <cell r="E2579">
            <v>15382279</v>
          </cell>
          <cell r="F2579">
            <v>15382279</v>
          </cell>
          <cell r="G2579">
            <v>3186240</v>
          </cell>
          <cell r="H2579">
            <v>1281857</v>
          </cell>
          <cell r="I2579">
            <v>1356900</v>
          </cell>
        </row>
        <row r="2580">
          <cell r="A2580" t="str">
            <v>3500|449022</v>
          </cell>
          <cell r="B2580" t="str">
            <v>3500</v>
          </cell>
          <cell r="C2580">
            <v>449022</v>
          </cell>
          <cell r="D2580">
            <v>41244</v>
          </cell>
          <cell r="E2580">
            <v>7920000</v>
          </cell>
          <cell r="F2580">
            <v>7920000</v>
          </cell>
          <cell r="G2580">
            <v>7010000</v>
          </cell>
          <cell r="H2580">
            <v>660000</v>
          </cell>
          <cell r="I2580">
            <v>697000</v>
          </cell>
        </row>
        <row r="2581">
          <cell r="A2581" t="str">
            <v>3500|449023</v>
          </cell>
          <cell r="B2581" t="str">
            <v>3500</v>
          </cell>
          <cell r="C2581">
            <v>449023</v>
          </cell>
          <cell r="D2581">
            <v>41244</v>
          </cell>
          <cell r="E2581">
            <v>3960000</v>
          </cell>
          <cell r="F2581">
            <v>3960000</v>
          </cell>
          <cell r="G2581">
            <v>3573000</v>
          </cell>
          <cell r="H2581">
            <v>330000</v>
          </cell>
          <cell r="I2581">
            <v>340000</v>
          </cell>
        </row>
        <row r="2582">
          <cell r="A2582" t="str">
            <v>3500|449032</v>
          </cell>
          <cell r="B2582" t="str">
            <v>3500</v>
          </cell>
          <cell r="C2582">
            <v>449032</v>
          </cell>
          <cell r="D2582">
            <v>41244</v>
          </cell>
          <cell r="E2582">
            <v>12105000</v>
          </cell>
          <cell r="F2582">
            <v>12105000</v>
          </cell>
          <cell r="G2582">
            <v>355700</v>
          </cell>
          <cell r="H2582">
            <v>1008750</v>
          </cell>
          <cell r="I2582">
            <v>0</v>
          </cell>
        </row>
        <row r="2583">
          <cell r="A2583" t="str">
            <v>3500|449040</v>
          </cell>
          <cell r="B2583" t="str">
            <v>3500</v>
          </cell>
          <cell r="C2583">
            <v>449040</v>
          </cell>
          <cell r="D2583">
            <v>41244</v>
          </cell>
          <cell r="E2583">
            <v>750000</v>
          </cell>
          <cell r="F2583">
            <v>750000</v>
          </cell>
          <cell r="G2583">
            <v>9825000</v>
          </cell>
          <cell r="H2583">
            <v>62500</v>
          </cell>
          <cell r="I2583">
            <v>1825000</v>
          </cell>
        </row>
        <row r="2584">
          <cell r="A2584" t="str">
            <v>3500|449061</v>
          </cell>
          <cell r="B2584" t="str">
            <v>3500</v>
          </cell>
          <cell r="C2584">
            <v>449061</v>
          </cell>
          <cell r="D2584">
            <v>41244</v>
          </cell>
          <cell r="E2584">
            <v>15397500</v>
          </cell>
          <cell r="F2584">
            <v>15397500</v>
          </cell>
          <cell r="G2584">
            <v>28756350</v>
          </cell>
          <cell r="H2584">
            <v>1283125</v>
          </cell>
          <cell r="I2584">
            <v>3817700</v>
          </cell>
        </row>
        <row r="2585">
          <cell r="A2585" t="str">
            <v>3500|470102</v>
          </cell>
          <cell r="B2585" t="str">
            <v>3500</v>
          </cell>
          <cell r="C2585">
            <v>470102</v>
          </cell>
          <cell r="D2585">
            <v>41244</v>
          </cell>
          <cell r="E2585">
            <v>2845646</v>
          </cell>
          <cell r="F2585">
            <v>2845646</v>
          </cell>
          <cell r="G2585">
            <v>819000</v>
          </cell>
          <cell r="H2585">
            <v>237137</v>
          </cell>
          <cell r="I2585">
            <v>0</v>
          </cell>
        </row>
        <row r="2586">
          <cell r="A2586" t="str">
            <v>3500|472000</v>
          </cell>
          <cell r="B2586" t="str">
            <v>3500</v>
          </cell>
          <cell r="C2586">
            <v>472000</v>
          </cell>
          <cell r="D2586">
            <v>41244</v>
          </cell>
          <cell r="E2586">
            <v>500000</v>
          </cell>
          <cell r="F2586">
            <v>500000</v>
          </cell>
          <cell r="G2586">
            <v>933726</v>
          </cell>
          <cell r="H2586">
            <v>41667</v>
          </cell>
          <cell r="I2586">
            <v>0</v>
          </cell>
        </row>
        <row r="2587">
          <cell r="A2587" t="str">
            <v>3500|473120</v>
          </cell>
          <cell r="B2587" t="str">
            <v>3500</v>
          </cell>
          <cell r="C2587">
            <v>473120</v>
          </cell>
          <cell r="D2587">
            <v>41244</v>
          </cell>
          <cell r="E2587">
            <v>8641238</v>
          </cell>
          <cell r="F2587">
            <v>8641238</v>
          </cell>
          <cell r="G2587">
            <v>12719758</v>
          </cell>
          <cell r="H2587">
            <v>720103</v>
          </cell>
          <cell r="I2587">
            <v>1883665</v>
          </cell>
        </row>
        <row r="2588">
          <cell r="A2588" t="str">
            <v>3500|474100</v>
          </cell>
          <cell r="B2588" t="str">
            <v>3500</v>
          </cell>
          <cell r="C2588">
            <v>474100</v>
          </cell>
          <cell r="D2588">
            <v>41244</v>
          </cell>
          <cell r="E2588">
            <v>32985897</v>
          </cell>
          <cell r="F2588">
            <v>32985897</v>
          </cell>
          <cell r="G2588">
            <v>9979405</v>
          </cell>
          <cell r="H2588">
            <v>2748825</v>
          </cell>
          <cell r="I2588">
            <v>7593812</v>
          </cell>
        </row>
        <row r="2589">
          <cell r="A2589" t="str">
            <v>3500|475006</v>
          </cell>
          <cell r="B2589" t="str">
            <v>3500</v>
          </cell>
          <cell r="C2589">
            <v>475006</v>
          </cell>
          <cell r="D2589">
            <v>41244</v>
          </cell>
          <cell r="E2589">
            <v>3279793</v>
          </cell>
          <cell r="F2589">
            <v>3279793</v>
          </cell>
          <cell r="G2589">
            <v>782630</v>
          </cell>
          <cell r="H2589">
            <v>273316</v>
          </cell>
          <cell r="I2589">
            <v>0</v>
          </cell>
        </row>
        <row r="2590">
          <cell r="A2590" t="str">
            <v>3500|476220</v>
          </cell>
          <cell r="B2590" t="str">
            <v>3500</v>
          </cell>
          <cell r="C2590">
            <v>476220</v>
          </cell>
          <cell r="D2590">
            <v>41244</v>
          </cell>
          <cell r="E2590">
            <v>1110786</v>
          </cell>
          <cell r="F2590">
            <v>1110786</v>
          </cell>
          <cell r="G2590">
            <v>0</v>
          </cell>
          <cell r="H2590">
            <v>92565</v>
          </cell>
          <cell r="I2590">
            <v>0</v>
          </cell>
        </row>
        <row r="2591">
          <cell r="A2591" t="str">
            <v>3500|477100</v>
          </cell>
          <cell r="B2591" t="str">
            <v>3500</v>
          </cell>
          <cell r="C2591">
            <v>477100</v>
          </cell>
          <cell r="D2591">
            <v>41244</v>
          </cell>
          <cell r="E2591">
            <v>0</v>
          </cell>
          <cell r="F2591">
            <v>0</v>
          </cell>
          <cell r="G2591">
            <v>531656</v>
          </cell>
          <cell r="H2591">
            <v>0</v>
          </cell>
          <cell r="I2591">
            <v>0</v>
          </cell>
        </row>
        <row r="2592">
          <cell r="A2592" t="str">
            <v>3500|477310</v>
          </cell>
          <cell r="B2592" t="str">
            <v>3500</v>
          </cell>
          <cell r="C2592">
            <v>477310</v>
          </cell>
          <cell r="D2592">
            <v>41244</v>
          </cell>
          <cell r="E2592">
            <v>0</v>
          </cell>
          <cell r="F2592">
            <v>0</v>
          </cell>
          <cell r="G2592">
            <v>2845960</v>
          </cell>
          <cell r="H2592">
            <v>0</v>
          </cell>
          <cell r="I2592">
            <v>0</v>
          </cell>
        </row>
        <row r="2593">
          <cell r="A2593" t="str">
            <v>3600|211100</v>
          </cell>
          <cell r="B2593" t="str">
            <v>3600</v>
          </cell>
          <cell r="C2593">
            <v>211100</v>
          </cell>
          <cell r="D2593">
            <v>41244</v>
          </cell>
          <cell r="E2593">
            <v>3573333</v>
          </cell>
          <cell r="F2593">
            <v>3573333</v>
          </cell>
          <cell r="G2593">
            <v>3573333</v>
          </cell>
          <cell r="H2593">
            <v>297778</v>
          </cell>
          <cell r="I2593">
            <v>297778</v>
          </cell>
        </row>
        <row r="2594">
          <cell r="A2594" t="str">
            <v>3600|405200</v>
          </cell>
          <cell r="B2594" t="str">
            <v>3600</v>
          </cell>
          <cell r="C2594">
            <v>405200</v>
          </cell>
          <cell r="D2594">
            <v>41244</v>
          </cell>
          <cell r="E2594">
            <v>0</v>
          </cell>
          <cell r="F2594">
            <v>0</v>
          </cell>
          <cell r="G2594">
            <v>-362545</v>
          </cell>
          <cell r="H2594">
            <v>0</v>
          </cell>
          <cell r="I2594">
            <v>0</v>
          </cell>
        </row>
        <row r="2595">
          <cell r="A2595" t="str">
            <v>3600|420003</v>
          </cell>
          <cell r="B2595" t="str">
            <v>3600</v>
          </cell>
          <cell r="C2595">
            <v>420003</v>
          </cell>
          <cell r="D2595">
            <v>41244</v>
          </cell>
          <cell r="E2595">
            <v>371547013</v>
          </cell>
          <cell r="F2595">
            <v>371547013</v>
          </cell>
          <cell r="G2595">
            <v>306311210</v>
          </cell>
          <cell r="H2595">
            <v>30962251</v>
          </cell>
          <cell r="I2595">
            <v>30697831</v>
          </cell>
        </row>
        <row r="2596">
          <cell r="A2596" t="str">
            <v>3600|431001</v>
          </cell>
          <cell r="B2596" t="str">
            <v>3600</v>
          </cell>
          <cell r="C2596">
            <v>431001</v>
          </cell>
          <cell r="D2596">
            <v>41244</v>
          </cell>
          <cell r="E2596">
            <v>0</v>
          </cell>
          <cell r="F2596">
            <v>0</v>
          </cell>
          <cell r="G2596">
            <v>763211</v>
          </cell>
          <cell r="H2596">
            <v>0</v>
          </cell>
          <cell r="I2596">
            <v>0</v>
          </cell>
        </row>
        <row r="2597">
          <cell r="A2597" t="str">
            <v>3600|434013</v>
          </cell>
          <cell r="B2597" t="str">
            <v>3600</v>
          </cell>
          <cell r="C2597">
            <v>434013</v>
          </cell>
          <cell r="D2597">
            <v>41244</v>
          </cell>
          <cell r="E2597">
            <v>0</v>
          </cell>
          <cell r="F2597">
            <v>0</v>
          </cell>
          <cell r="G2597">
            <v>3264378</v>
          </cell>
          <cell r="H2597">
            <v>0</v>
          </cell>
          <cell r="I2597">
            <v>1366596</v>
          </cell>
        </row>
        <row r="2598">
          <cell r="A2598" t="str">
            <v>3600|435003</v>
          </cell>
          <cell r="B2598" t="str">
            <v>3600</v>
          </cell>
          <cell r="C2598">
            <v>435003</v>
          </cell>
          <cell r="D2598">
            <v>41244</v>
          </cell>
          <cell r="E2598">
            <v>46443377</v>
          </cell>
          <cell r="F2598">
            <v>46443377</v>
          </cell>
          <cell r="G2598">
            <v>72266060</v>
          </cell>
          <cell r="H2598">
            <v>3870281</v>
          </cell>
          <cell r="I2598">
            <v>0</v>
          </cell>
        </row>
        <row r="2599">
          <cell r="A2599" t="str">
            <v>3600|439003</v>
          </cell>
          <cell r="B2599" t="str">
            <v>3600</v>
          </cell>
          <cell r="C2599">
            <v>439003</v>
          </cell>
          <cell r="D2599">
            <v>41244</v>
          </cell>
          <cell r="E2599">
            <v>44055634</v>
          </cell>
          <cell r="F2599">
            <v>44055634</v>
          </cell>
          <cell r="G2599">
            <v>58802859</v>
          </cell>
          <cell r="H2599">
            <v>3671303</v>
          </cell>
          <cell r="I2599">
            <v>8296600</v>
          </cell>
        </row>
        <row r="2600">
          <cell r="A2600" t="str">
            <v>3600|439203</v>
          </cell>
          <cell r="B2600" t="str">
            <v>3600</v>
          </cell>
          <cell r="C2600">
            <v>439203</v>
          </cell>
          <cell r="D2600">
            <v>41244</v>
          </cell>
          <cell r="E2600">
            <v>6000000</v>
          </cell>
          <cell r="F2600">
            <v>6000000</v>
          </cell>
          <cell r="G2600">
            <v>4275000</v>
          </cell>
          <cell r="H2600">
            <v>500000</v>
          </cell>
          <cell r="I2600">
            <v>525000</v>
          </cell>
        </row>
        <row r="2601">
          <cell r="A2601" t="str">
            <v>3600|440003</v>
          </cell>
          <cell r="B2601" t="str">
            <v>3600</v>
          </cell>
          <cell r="C2601">
            <v>440003</v>
          </cell>
          <cell r="D2601">
            <v>41244</v>
          </cell>
          <cell r="E2601">
            <v>30962251</v>
          </cell>
          <cell r="F2601">
            <v>30962251</v>
          </cell>
          <cell r="G2601">
            <v>56893551</v>
          </cell>
          <cell r="H2601">
            <v>2580188</v>
          </cell>
          <cell r="I2601">
            <v>2836175</v>
          </cell>
        </row>
        <row r="2602">
          <cell r="A2602" t="str">
            <v>3600|447003</v>
          </cell>
          <cell r="B2602" t="str">
            <v>3600</v>
          </cell>
          <cell r="C2602">
            <v>447003</v>
          </cell>
          <cell r="D2602">
            <v>41244</v>
          </cell>
          <cell r="E2602">
            <v>3628300</v>
          </cell>
          <cell r="F2602">
            <v>3628300</v>
          </cell>
          <cell r="G2602">
            <v>3145150</v>
          </cell>
          <cell r="H2602">
            <v>302358</v>
          </cell>
          <cell r="I2602">
            <v>351000</v>
          </cell>
        </row>
        <row r="2603">
          <cell r="A2603" t="str">
            <v>3600|447013</v>
          </cell>
          <cell r="B2603" t="str">
            <v>3600</v>
          </cell>
          <cell r="C2603">
            <v>447013</v>
          </cell>
          <cell r="D2603">
            <v>41244</v>
          </cell>
          <cell r="E2603">
            <v>8550770</v>
          </cell>
          <cell r="F2603">
            <v>8550770</v>
          </cell>
          <cell r="G2603">
            <v>21550095</v>
          </cell>
          <cell r="H2603">
            <v>712564</v>
          </cell>
          <cell r="I2603">
            <v>2405000</v>
          </cell>
        </row>
        <row r="2604">
          <cell r="A2604" t="str">
            <v>3600|447023</v>
          </cell>
          <cell r="B2604" t="str">
            <v>3600</v>
          </cell>
          <cell r="C2604">
            <v>447023</v>
          </cell>
          <cell r="D2604">
            <v>41244</v>
          </cell>
          <cell r="E2604">
            <v>362830</v>
          </cell>
          <cell r="F2604">
            <v>362830</v>
          </cell>
          <cell r="G2604">
            <v>751837</v>
          </cell>
          <cell r="H2604">
            <v>30236</v>
          </cell>
          <cell r="I2604">
            <v>0</v>
          </cell>
        </row>
        <row r="2605">
          <cell r="A2605" t="str">
            <v>3600|448002</v>
          </cell>
          <cell r="B2605" t="str">
            <v>3600</v>
          </cell>
          <cell r="C2605">
            <v>448002</v>
          </cell>
          <cell r="D2605">
            <v>41244</v>
          </cell>
          <cell r="E2605">
            <v>0</v>
          </cell>
          <cell r="F2605">
            <v>0</v>
          </cell>
          <cell r="G2605">
            <v>380000</v>
          </cell>
          <cell r="H2605">
            <v>0</v>
          </cell>
          <cell r="I2605">
            <v>0</v>
          </cell>
        </row>
        <row r="2606">
          <cell r="A2606" t="str">
            <v>3600|448003</v>
          </cell>
          <cell r="B2606" t="str">
            <v>3600</v>
          </cell>
          <cell r="C2606">
            <v>448003</v>
          </cell>
          <cell r="D2606">
            <v>41244</v>
          </cell>
          <cell r="E2606">
            <v>27014726</v>
          </cell>
          <cell r="F2606">
            <v>27014726</v>
          </cell>
          <cell r="G2606">
            <v>2517000</v>
          </cell>
          <cell r="H2606">
            <v>2251227</v>
          </cell>
          <cell r="I2606">
            <v>0</v>
          </cell>
        </row>
        <row r="2607">
          <cell r="A2607" t="str">
            <v>3600|449040</v>
          </cell>
          <cell r="B2607" t="str">
            <v>3600</v>
          </cell>
          <cell r="C2607">
            <v>449040</v>
          </cell>
          <cell r="D2607">
            <v>41244</v>
          </cell>
          <cell r="E2607">
            <v>21100000</v>
          </cell>
          <cell r="F2607">
            <v>21100000</v>
          </cell>
          <cell r="G2607">
            <v>20337500</v>
          </cell>
          <cell r="H2607">
            <v>1758340</v>
          </cell>
          <cell r="I2607">
            <v>0</v>
          </cell>
        </row>
        <row r="2608">
          <cell r="A2608" t="str">
            <v>3600|449061</v>
          </cell>
          <cell r="B2608" t="str">
            <v>3600</v>
          </cell>
          <cell r="C2608">
            <v>449061</v>
          </cell>
          <cell r="D2608">
            <v>41244</v>
          </cell>
          <cell r="E2608">
            <v>8584500</v>
          </cell>
          <cell r="F2608">
            <v>8584500</v>
          </cell>
          <cell r="G2608">
            <v>7852400</v>
          </cell>
          <cell r="H2608">
            <v>715375</v>
          </cell>
          <cell r="I2608">
            <v>0</v>
          </cell>
        </row>
        <row r="2609">
          <cell r="A2609" t="str">
            <v>3600|459000</v>
          </cell>
          <cell r="B2609" t="str">
            <v>3600</v>
          </cell>
          <cell r="C2609">
            <v>459000</v>
          </cell>
          <cell r="D2609">
            <v>41244</v>
          </cell>
          <cell r="E2609">
            <v>2000000</v>
          </cell>
          <cell r="F2609">
            <v>2000000</v>
          </cell>
          <cell r="G2609">
            <v>1272730</v>
          </cell>
          <cell r="H2609">
            <v>166667</v>
          </cell>
          <cell r="I2609">
            <v>0</v>
          </cell>
        </row>
        <row r="2610">
          <cell r="A2610" t="str">
            <v>3600|459004</v>
          </cell>
          <cell r="B2610" t="str">
            <v>3600</v>
          </cell>
          <cell r="C2610">
            <v>459004</v>
          </cell>
          <cell r="D2610">
            <v>41244</v>
          </cell>
          <cell r="E2610">
            <v>350000</v>
          </cell>
          <cell r="F2610">
            <v>350000</v>
          </cell>
          <cell r="G2610">
            <v>194300</v>
          </cell>
          <cell r="H2610">
            <v>29167</v>
          </cell>
          <cell r="I2610">
            <v>194300</v>
          </cell>
        </row>
        <row r="2611">
          <cell r="A2611" t="str">
            <v>3600|459005</v>
          </cell>
          <cell r="B2611" t="str">
            <v>3600</v>
          </cell>
          <cell r="C2611">
            <v>459005</v>
          </cell>
          <cell r="D2611">
            <v>41244</v>
          </cell>
          <cell r="E2611">
            <v>1</v>
          </cell>
          <cell r="F2611">
            <v>1</v>
          </cell>
          <cell r="G2611">
            <v>0</v>
          </cell>
          <cell r="H2611">
            <v>0</v>
          </cell>
          <cell r="I2611">
            <v>0</v>
          </cell>
        </row>
        <row r="2612">
          <cell r="A2612" t="str">
            <v>3600|470102</v>
          </cell>
          <cell r="B2612" t="str">
            <v>3600</v>
          </cell>
          <cell r="C2612">
            <v>470102</v>
          </cell>
          <cell r="D2612">
            <v>41244</v>
          </cell>
          <cell r="E2612">
            <v>0</v>
          </cell>
          <cell r="F2612">
            <v>0</v>
          </cell>
          <cell r="G2612">
            <v>972000</v>
          </cell>
          <cell r="H2612">
            <v>0</v>
          </cell>
          <cell r="I2612">
            <v>0</v>
          </cell>
        </row>
        <row r="2613">
          <cell r="A2613" t="str">
            <v>3600|471000</v>
          </cell>
          <cell r="B2613" t="str">
            <v>3600</v>
          </cell>
          <cell r="C2613">
            <v>471000</v>
          </cell>
          <cell r="D2613">
            <v>41244</v>
          </cell>
          <cell r="E2613">
            <v>4080230</v>
          </cell>
          <cell r="F2613">
            <v>4080230</v>
          </cell>
          <cell r="G2613">
            <v>8203750</v>
          </cell>
          <cell r="H2613">
            <v>340019</v>
          </cell>
          <cell r="I2613">
            <v>5970000</v>
          </cell>
        </row>
        <row r="2614">
          <cell r="A2614" t="str">
            <v>3600|472000</v>
          </cell>
          <cell r="B2614" t="str">
            <v>3600</v>
          </cell>
          <cell r="C2614">
            <v>472000</v>
          </cell>
          <cell r="D2614">
            <v>41244</v>
          </cell>
          <cell r="E2614">
            <v>0</v>
          </cell>
          <cell r="F2614">
            <v>0</v>
          </cell>
          <cell r="G2614">
            <v>409274</v>
          </cell>
          <cell r="H2614">
            <v>0</v>
          </cell>
          <cell r="I2614">
            <v>0</v>
          </cell>
        </row>
        <row r="2615">
          <cell r="A2615" t="str">
            <v>3600|473120</v>
          </cell>
          <cell r="B2615" t="str">
            <v>3600</v>
          </cell>
          <cell r="C2615">
            <v>473120</v>
          </cell>
          <cell r="D2615">
            <v>41244</v>
          </cell>
          <cell r="E2615">
            <v>17529157</v>
          </cell>
          <cell r="F2615">
            <v>17529157</v>
          </cell>
          <cell r="G2615">
            <v>15858789</v>
          </cell>
          <cell r="H2615">
            <v>1460763</v>
          </cell>
          <cell r="I2615">
            <v>141022</v>
          </cell>
        </row>
        <row r="2616">
          <cell r="A2616" t="str">
            <v>3600|474100</v>
          </cell>
          <cell r="B2616" t="str">
            <v>3600</v>
          </cell>
          <cell r="C2616">
            <v>474100</v>
          </cell>
          <cell r="D2616">
            <v>41244</v>
          </cell>
          <cell r="E2616">
            <v>168731776</v>
          </cell>
          <cell r="F2616">
            <v>168731776</v>
          </cell>
          <cell r="G2616">
            <v>138129750</v>
          </cell>
          <cell r="H2616">
            <v>14060982</v>
          </cell>
          <cell r="I2616">
            <v>2100468</v>
          </cell>
        </row>
        <row r="2617">
          <cell r="A2617" t="str">
            <v>3600|474101</v>
          </cell>
          <cell r="B2617" t="str">
            <v>3600</v>
          </cell>
          <cell r="C2617">
            <v>474101</v>
          </cell>
          <cell r="D2617">
            <v>41244</v>
          </cell>
          <cell r="E2617">
            <v>66720600</v>
          </cell>
          <cell r="F2617">
            <v>66720600</v>
          </cell>
          <cell r="G2617">
            <v>58950020</v>
          </cell>
          <cell r="H2617">
            <v>5560051</v>
          </cell>
          <cell r="I2617">
            <v>229900</v>
          </cell>
        </row>
        <row r="2618">
          <cell r="A2618" t="str">
            <v>3600|475000</v>
          </cell>
          <cell r="B2618" t="str">
            <v>3600</v>
          </cell>
          <cell r="C2618">
            <v>475000</v>
          </cell>
          <cell r="D2618">
            <v>41244</v>
          </cell>
          <cell r="E2618">
            <v>2435000</v>
          </cell>
          <cell r="F2618">
            <v>2435000</v>
          </cell>
          <cell r="G2618">
            <v>0</v>
          </cell>
          <cell r="H2618">
            <v>202917</v>
          </cell>
          <cell r="I2618">
            <v>0</v>
          </cell>
        </row>
        <row r="2619">
          <cell r="A2619" t="str">
            <v>3600|475003</v>
          </cell>
          <cell r="B2619" t="str">
            <v>3600</v>
          </cell>
          <cell r="C2619">
            <v>475003</v>
          </cell>
          <cell r="D2619">
            <v>41244</v>
          </cell>
          <cell r="E2619">
            <v>0</v>
          </cell>
          <cell r="F2619">
            <v>0</v>
          </cell>
          <cell r="G2619">
            <v>750000</v>
          </cell>
          <cell r="H2619">
            <v>0</v>
          </cell>
          <cell r="I2619">
            <v>0</v>
          </cell>
        </row>
        <row r="2620">
          <cell r="A2620" t="str">
            <v>3600|475004</v>
          </cell>
          <cell r="B2620" t="str">
            <v>3600</v>
          </cell>
          <cell r="C2620">
            <v>475004</v>
          </cell>
          <cell r="D2620">
            <v>41244</v>
          </cell>
          <cell r="E2620">
            <v>26626279</v>
          </cell>
          <cell r="F2620">
            <v>26626279</v>
          </cell>
          <cell r="G2620">
            <v>21536041</v>
          </cell>
          <cell r="H2620">
            <v>2218856</v>
          </cell>
          <cell r="I2620">
            <v>0</v>
          </cell>
        </row>
        <row r="2621">
          <cell r="A2621" t="str">
            <v>3600|475006</v>
          </cell>
          <cell r="B2621" t="str">
            <v>3600</v>
          </cell>
          <cell r="C2621">
            <v>475006</v>
          </cell>
          <cell r="D2621">
            <v>41244</v>
          </cell>
          <cell r="E2621">
            <v>7837670</v>
          </cell>
          <cell r="F2621">
            <v>7837670</v>
          </cell>
          <cell r="G2621">
            <v>5540071</v>
          </cell>
          <cell r="H2621">
            <v>653139</v>
          </cell>
          <cell r="I2621">
            <v>429063</v>
          </cell>
        </row>
        <row r="2622">
          <cell r="A2622" t="str">
            <v>3600|476000</v>
          </cell>
          <cell r="B2622" t="str">
            <v>3600</v>
          </cell>
          <cell r="C2622">
            <v>476000</v>
          </cell>
          <cell r="D2622">
            <v>41244</v>
          </cell>
          <cell r="E2622">
            <v>27638666</v>
          </cell>
          <cell r="F2622">
            <v>27638666</v>
          </cell>
          <cell r="G2622">
            <v>3284700</v>
          </cell>
          <cell r="H2622">
            <v>2303228</v>
          </cell>
          <cell r="I2622">
            <v>182200</v>
          </cell>
        </row>
        <row r="2623">
          <cell r="A2623" t="str">
            <v>3600|476001</v>
          </cell>
          <cell r="B2623" t="str">
            <v>3600</v>
          </cell>
          <cell r="C2623">
            <v>476001</v>
          </cell>
          <cell r="D2623">
            <v>41244</v>
          </cell>
          <cell r="E2623">
            <v>2303200</v>
          </cell>
          <cell r="F2623">
            <v>2303200</v>
          </cell>
          <cell r="G2623">
            <v>3769451</v>
          </cell>
          <cell r="H2623">
            <v>191933</v>
          </cell>
          <cell r="I2623">
            <v>1964974</v>
          </cell>
        </row>
        <row r="2624">
          <cell r="A2624" t="str">
            <v>3600|476201</v>
          </cell>
          <cell r="B2624" t="str">
            <v>3600</v>
          </cell>
          <cell r="C2624">
            <v>476201</v>
          </cell>
          <cell r="D2624">
            <v>41244</v>
          </cell>
          <cell r="E2624">
            <v>1871604</v>
          </cell>
          <cell r="F2624">
            <v>1871604</v>
          </cell>
          <cell r="G2624">
            <v>0</v>
          </cell>
          <cell r="H2624">
            <v>155967</v>
          </cell>
          <cell r="I2624">
            <v>0</v>
          </cell>
        </row>
        <row r="2625">
          <cell r="A2625" t="str">
            <v>3600|476220</v>
          </cell>
          <cell r="B2625" t="str">
            <v>3600</v>
          </cell>
          <cell r="C2625">
            <v>476220</v>
          </cell>
          <cell r="D2625">
            <v>41244</v>
          </cell>
          <cell r="E2625">
            <v>0</v>
          </cell>
          <cell r="F2625">
            <v>0</v>
          </cell>
          <cell r="G2625">
            <v>2381569</v>
          </cell>
          <cell r="H2625">
            <v>0</v>
          </cell>
          <cell r="I2625">
            <v>0</v>
          </cell>
        </row>
        <row r="2626">
          <cell r="A2626" t="str">
            <v>3600|476900</v>
          </cell>
          <cell r="B2626" t="str">
            <v>3600</v>
          </cell>
          <cell r="C2626">
            <v>476900</v>
          </cell>
          <cell r="D2626">
            <v>41244</v>
          </cell>
          <cell r="E2626">
            <v>0</v>
          </cell>
          <cell r="F2626">
            <v>0</v>
          </cell>
          <cell r="G2626">
            <v>16892578</v>
          </cell>
          <cell r="H2626">
            <v>0</v>
          </cell>
          <cell r="I2626">
            <v>-240210</v>
          </cell>
        </row>
        <row r="2627">
          <cell r="A2627" t="str">
            <v>3600|477300</v>
          </cell>
          <cell r="B2627" t="str">
            <v>3600</v>
          </cell>
          <cell r="C2627">
            <v>477300</v>
          </cell>
          <cell r="D2627">
            <v>41244</v>
          </cell>
          <cell r="E2627">
            <v>125000000</v>
          </cell>
          <cell r="F2627">
            <v>125000000</v>
          </cell>
          <cell r="G2627">
            <v>114020460</v>
          </cell>
          <cell r="H2627">
            <v>10416667</v>
          </cell>
          <cell r="I2627">
            <v>33969000</v>
          </cell>
        </row>
        <row r="2628">
          <cell r="A2628" t="str">
            <v>3600|477450</v>
          </cell>
          <cell r="B2628" t="str">
            <v>3600</v>
          </cell>
          <cell r="C2628">
            <v>477450</v>
          </cell>
          <cell r="D2628">
            <v>41244</v>
          </cell>
          <cell r="E2628">
            <v>1094700000</v>
          </cell>
          <cell r="F2628">
            <v>1094700000</v>
          </cell>
          <cell r="G2628">
            <v>1105248548</v>
          </cell>
          <cell r="H2628">
            <v>91225000</v>
          </cell>
          <cell r="I2628">
            <v>0</v>
          </cell>
        </row>
        <row r="2629">
          <cell r="A2629" t="str">
            <v>3610|211100</v>
          </cell>
          <cell r="B2629" t="str">
            <v>3610</v>
          </cell>
          <cell r="C2629">
            <v>211100</v>
          </cell>
          <cell r="D2629">
            <v>41244</v>
          </cell>
          <cell r="E2629">
            <v>2332270</v>
          </cell>
          <cell r="F2629">
            <v>2332270</v>
          </cell>
          <cell r="G2629">
            <v>3079516</v>
          </cell>
          <cell r="H2629">
            <v>194356</v>
          </cell>
          <cell r="I2629">
            <v>256626</v>
          </cell>
        </row>
        <row r="2630">
          <cell r="A2630" t="str">
            <v>3610|420003</v>
          </cell>
          <cell r="B2630" t="str">
            <v>3610</v>
          </cell>
          <cell r="C2630">
            <v>420003</v>
          </cell>
          <cell r="D2630">
            <v>41244</v>
          </cell>
          <cell r="E2630">
            <v>334752357</v>
          </cell>
          <cell r="F2630">
            <v>334752357</v>
          </cell>
          <cell r="G2630">
            <v>223145595</v>
          </cell>
          <cell r="H2630">
            <v>27896029</v>
          </cell>
          <cell r="I2630">
            <v>19094022</v>
          </cell>
        </row>
        <row r="2631">
          <cell r="A2631" t="str">
            <v>3610|422003</v>
          </cell>
          <cell r="B2631" t="str">
            <v>3610</v>
          </cell>
          <cell r="C2631">
            <v>422003</v>
          </cell>
          <cell r="D2631">
            <v>41244</v>
          </cell>
          <cell r="E2631">
            <v>303207</v>
          </cell>
          <cell r="F2631">
            <v>303207</v>
          </cell>
          <cell r="G2631">
            <v>181650</v>
          </cell>
          <cell r="H2631">
            <v>25267</v>
          </cell>
          <cell r="I2631">
            <v>0</v>
          </cell>
        </row>
        <row r="2632">
          <cell r="A2632" t="str">
            <v>3610|434013</v>
          </cell>
          <cell r="B2632" t="str">
            <v>3610</v>
          </cell>
          <cell r="C2632">
            <v>434013</v>
          </cell>
          <cell r="D2632">
            <v>41244</v>
          </cell>
          <cell r="E2632">
            <v>0</v>
          </cell>
          <cell r="F2632">
            <v>0</v>
          </cell>
          <cell r="G2632">
            <v>4244886</v>
          </cell>
          <cell r="H2632">
            <v>0</v>
          </cell>
          <cell r="I2632">
            <v>1366596</v>
          </cell>
        </row>
        <row r="2633">
          <cell r="A2633" t="str">
            <v>3610|435003</v>
          </cell>
          <cell r="B2633" t="str">
            <v>3610</v>
          </cell>
          <cell r="C2633">
            <v>435003</v>
          </cell>
          <cell r="D2633">
            <v>41244</v>
          </cell>
          <cell r="E2633">
            <v>45094045</v>
          </cell>
          <cell r="F2633">
            <v>45094045</v>
          </cell>
          <cell r="G2633">
            <v>41560275</v>
          </cell>
          <cell r="H2633">
            <v>3757837</v>
          </cell>
          <cell r="I2633">
            <v>0</v>
          </cell>
        </row>
        <row r="2634">
          <cell r="A2634" t="str">
            <v>3610|439003</v>
          </cell>
          <cell r="B2634" t="str">
            <v>3610</v>
          </cell>
          <cell r="C2634">
            <v>439003</v>
          </cell>
          <cell r="D2634">
            <v>41244</v>
          </cell>
          <cell r="E2634">
            <v>88111268</v>
          </cell>
          <cell r="F2634">
            <v>88111268</v>
          </cell>
          <cell r="G2634">
            <v>75411309</v>
          </cell>
          <cell r="H2634">
            <v>7342606</v>
          </cell>
          <cell r="I2634">
            <v>8296600</v>
          </cell>
        </row>
        <row r="2635">
          <cell r="A2635" t="str">
            <v>3610|439203</v>
          </cell>
          <cell r="B2635" t="str">
            <v>3610</v>
          </cell>
          <cell r="C2635">
            <v>439203</v>
          </cell>
          <cell r="D2635">
            <v>41244</v>
          </cell>
          <cell r="E2635">
            <v>12000000</v>
          </cell>
          <cell r="F2635">
            <v>12000000</v>
          </cell>
          <cell r="G2635">
            <v>4765000</v>
          </cell>
          <cell r="H2635">
            <v>1000000</v>
          </cell>
          <cell r="I2635">
            <v>475000</v>
          </cell>
        </row>
        <row r="2636">
          <cell r="A2636" t="str">
            <v>3610|440003</v>
          </cell>
          <cell r="B2636" t="str">
            <v>3610</v>
          </cell>
          <cell r="C2636">
            <v>440003</v>
          </cell>
          <cell r="D2636">
            <v>41244</v>
          </cell>
          <cell r="E2636">
            <v>35464799</v>
          </cell>
          <cell r="F2636">
            <v>35464799</v>
          </cell>
          <cell r="G2636">
            <v>14283016</v>
          </cell>
          <cell r="H2636">
            <v>2955400</v>
          </cell>
          <cell r="I2636">
            <v>1764098</v>
          </cell>
        </row>
        <row r="2637">
          <cell r="A2637" t="str">
            <v>3610|447003</v>
          </cell>
          <cell r="B2637" t="str">
            <v>3610</v>
          </cell>
          <cell r="C2637">
            <v>447003</v>
          </cell>
          <cell r="D2637">
            <v>41244</v>
          </cell>
          <cell r="E2637">
            <v>2864602</v>
          </cell>
          <cell r="F2637">
            <v>2864602</v>
          </cell>
          <cell r="G2637">
            <v>1169874</v>
          </cell>
          <cell r="H2637">
            <v>238717</v>
          </cell>
          <cell r="I2637">
            <v>83700</v>
          </cell>
        </row>
        <row r="2638">
          <cell r="A2638" t="str">
            <v>3610|447013</v>
          </cell>
          <cell r="B2638" t="str">
            <v>3610</v>
          </cell>
          <cell r="C2638">
            <v>447013</v>
          </cell>
          <cell r="D2638">
            <v>41244</v>
          </cell>
          <cell r="E2638">
            <v>32750974</v>
          </cell>
          <cell r="F2638">
            <v>32750974</v>
          </cell>
          <cell r="G2638">
            <v>8015794</v>
          </cell>
          <cell r="H2638">
            <v>2729247</v>
          </cell>
          <cell r="I2638">
            <v>573500</v>
          </cell>
        </row>
        <row r="2639">
          <cell r="A2639" t="str">
            <v>3610|447023</v>
          </cell>
          <cell r="B2639" t="str">
            <v>3610</v>
          </cell>
          <cell r="C2639">
            <v>447023</v>
          </cell>
          <cell r="D2639">
            <v>41244</v>
          </cell>
          <cell r="E2639">
            <v>286460</v>
          </cell>
          <cell r="F2639">
            <v>286460</v>
          </cell>
          <cell r="G2639">
            <v>171150</v>
          </cell>
          <cell r="H2639">
            <v>23872</v>
          </cell>
          <cell r="I2639">
            <v>0</v>
          </cell>
        </row>
        <row r="2640">
          <cell r="A2640" t="str">
            <v>3610|448003</v>
          </cell>
          <cell r="B2640" t="str">
            <v>3610</v>
          </cell>
          <cell r="C2640">
            <v>448003</v>
          </cell>
          <cell r="D2640">
            <v>41244</v>
          </cell>
          <cell r="E2640">
            <v>34992284</v>
          </cell>
          <cell r="F2640">
            <v>34992284</v>
          </cell>
          <cell r="G2640">
            <v>6659217</v>
          </cell>
          <cell r="H2640">
            <v>2916024</v>
          </cell>
          <cell r="I2640">
            <v>0</v>
          </cell>
        </row>
        <row r="2641">
          <cell r="A2641" t="str">
            <v>3610|449023</v>
          </cell>
          <cell r="B2641" t="str">
            <v>3610</v>
          </cell>
          <cell r="C2641">
            <v>449023</v>
          </cell>
          <cell r="D2641">
            <v>41244</v>
          </cell>
          <cell r="E2641">
            <v>37410000</v>
          </cell>
          <cell r="F2641">
            <v>37410000</v>
          </cell>
          <cell r="G2641">
            <v>30365712</v>
          </cell>
          <cell r="H2641">
            <v>3117500</v>
          </cell>
          <cell r="I2641">
            <v>2230000</v>
          </cell>
        </row>
        <row r="2642">
          <cell r="A2642" t="str">
            <v>3610|449040</v>
          </cell>
          <cell r="B2642" t="str">
            <v>3610</v>
          </cell>
          <cell r="C2642">
            <v>449040</v>
          </cell>
          <cell r="D2642">
            <v>41244</v>
          </cell>
          <cell r="E2642">
            <v>1117500</v>
          </cell>
          <cell r="F2642">
            <v>1117500</v>
          </cell>
          <cell r="G2642">
            <v>0</v>
          </cell>
          <cell r="H2642">
            <v>93125</v>
          </cell>
          <cell r="I2642">
            <v>0</v>
          </cell>
        </row>
        <row r="2643">
          <cell r="A2643" t="str">
            <v>3610|449050</v>
          </cell>
          <cell r="B2643" t="str">
            <v>3610</v>
          </cell>
          <cell r="C2643">
            <v>449050</v>
          </cell>
          <cell r="D2643">
            <v>41244</v>
          </cell>
          <cell r="E2643">
            <v>22333334</v>
          </cell>
          <cell r="F2643">
            <v>22333334</v>
          </cell>
          <cell r="G2643">
            <v>17266669</v>
          </cell>
          <cell r="H2643">
            <v>1861111</v>
          </cell>
          <cell r="I2643">
            <v>2466667</v>
          </cell>
        </row>
        <row r="2644">
          <cell r="A2644" t="str">
            <v>3610|449061</v>
          </cell>
          <cell r="B2644" t="str">
            <v>3610</v>
          </cell>
          <cell r="C2644">
            <v>449061</v>
          </cell>
          <cell r="D2644">
            <v>41244</v>
          </cell>
          <cell r="E2644">
            <v>19167800</v>
          </cell>
          <cell r="F2644">
            <v>19167800</v>
          </cell>
          <cell r="G2644">
            <v>15258300</v>
          </cell>
          <cell r="H2644">
            <v>1597317</v>
          </cell>
          <cell r="I2644">
            <v>540000</v>
          </cell>
        </row>
        <row r="2645">
          <cell r="A2645" t="str">
            <v>3610|459000</v>
          </cell>
          <cell r="B2645" t="str">
            <v>3610</v>
          </cell>
          <cell r="C2645">
            <v>459000</v>
          </cell>
          <cell r="D2645">
            <v>41244</v>
          </cell>
          <cell r="E2645">
            <v>2000000</v>
          </cell>
          <cell r="F2645">
            <v>2000000</v>
          </cell>
          <cell r="G2645">
            <v>1272730</v>
          </cell>
          <cell r="H2645">
            <v>166667</v>
          </cell>
          <cell r="I2645">
            <v>0</v>
          </cell>
        </row>
        <row r="2646">
          <cell r="A2646" t="str">
            <v>3610|459005</v>
          </cell>
          <cell r="B2646" t="str">
            <v>3610</v>
          </cell>
          <cell r="C2646">
            <v>459005</v>
          </cell>
          <cell r="D2646">
            <v>41244</v>
          </cell>
          <cell r="E2646">
            <v>476000</v>
          </cell>
          <cell r="F2646">
            <v>476000</v>
          </cell>
          <cell r="G2646">
            <v>0</v>
          </cell>
          <cell r="H2646">
            <v>39667</v>
          </cell>
          <cell r="I2646">
            <v>0</v>
          </cell>
        </row>
        <row r="2647">
          <cell r="A2647" t="str">
            <v>3610|473120</v>
          </cell>
          <cell r="B2647" t="str">
            <v>3610</v>
          </cell>
          <cell r="C2647">
            <v>473120</v>
          </cell>
          <cell r="D2647">
            <v>41244</v>
          </cell>
          <cell r="E2647">
            <v>4611098</v>
          </cell>
          <cell r="F2647">
            <v>4611098</v>
          </cell>
          <cell r="G2647">
            <v>6155836</v>
          </cell>
          <cell r="H2647">
            <v>384258</v>
          </cell>
          <cell r="I2647">
            <v>228474</v>
          </cell>
        </row>
        <row r="2648">
          <cell r="A2648" t="str">
            <v>3610|474100</v>
          </cell>
          <cell r="B2648" t="str">
            <v>3610</v>
          </cell>
          <cell r="C2648">
            <v>474100</v>
          </cell>
          <cell r="D2648">
            <v>41244</v>
          </cell>
          <cell r="E2648">
            <v>1661671</v>
          </cell>
          <cell r="F2648">
            <v>1661671</v>
          </cell>
          <cell r="G2648">
            <v>-14042144</v>
          </cell>
          <cell r="H2648">
            <v>138473</v>
          </cell>
          <cell r="I2648">
            <v>0</v>
          </cell>
        </row>
        <row r="2649">
          <cell r="A2649" t="str">
            <v>3610|474101</v>
          </cell>
          <cell r="B2649" t="str">
            <v>3610</v>
          </cell>
          <cell r="C2649">
            <v>474101</v>
          </cell>
          <cell r="D2649">
            <v>41244</v>
          </cell>
          <cell r="E2649">
            <v>9569330</v>
          </cell>
          <cell r="F2649">
            <v>9569330</v>
          </cell>
          <cell r="G2649">
            <v>0</v>
          </cell>
          <cell r="H2649">
            <v>797444</v>
          </cell>
          <cell r="I2649">
            <v>0</v>
          </cell>
        </row>
        <row r="2650">
          <cell r="A2650" t="str">
            <v>3610|475003</v>
          </cell>
          <cell r="B2650" t="str">
            <v>3610</v>
          </cell>
          <cell r="C2650">
            <v>475003</v>
          </cell>
          <cell r="D2650">
            <v>41244</v>
          </cell>
          <cell r="E2650">
            <v>571200</v>
          </cell>
          <cell r="F2650">
            <v>571200</v>
          </cell>
          <cell r="G2650">
            <v>0</v>
          </cell>
          <cell r="H2650">
            <v>47600</v>
          </cell>
          <cell r="I2650">
            <v>0</v>
          </cell>
        </row>
        <row r="2651">
          <cell r="A2651" t="str">
            <v>3610|475006</v>
          </cell>
          <cell r="B2651" t="str">
            <v>3610</v>
          </cell>
          <cell r="C2651">
            <v>475006</v>
          </cell>
          <cell r="D2651">
            <v>41244</v>
          </cell>
          <cell r="E2651">
            <v>3070125</v>
          </cell>
          <cell r="F2651">
            <v>3070125</v>
          </cell>
          <cell r="G2651">
            <v>2523753</v>
          </cell>
          <cell r="H2651">
            <v>255844</v>
          </cell>
          <cell r="I2651">
            <v>210310</v>
          </cell>
        </row>
        <row r="2652">
          <cell r="A2652" t="str">
            <v>3610|476000</v>
          </cell>
          <cell r="B2652" t="str">
            <v>3610</v>
          </cell>
          <cell r="C2652">
            <v>476000</v>
          </cell>
          <cell r="D2652">
            <v>41244</v>
          </cell>
          <cell r="E2652">
            <v>9163446</v>
          </cell>
          <cell r="F2652">
            <v>9163446</v>
          </cell>
          <cell r="G2652">
            <v>11135475</v>
          </cell>
          <cell r="H2652">
            <v>763620</v>
          </cell>
          <cell r="I2652">
            <v>0</v>
          </cell>
        </row>
        <row r="2653">
          <cell r="A2653" t="str">
            <v>3610|476001</v>
          </cell>
          <cell r="B2653" t="str">
            <v>3610</v>
          </cell>
          <cell r="C2653">
            <v>476001</v>
          </cell>
          <cell r="D2653">
            <v>41244</v>
          </cell>
          <cell r="E2653">
            <v>151600</v>
          </cell>
          <cell r="F2653">
            <v>151600</v>
          </cell>
          <cell r="G2653">
            <v>-110000</v>
          </cell>
          <cell r="H2653">
            <v>12633</v>
          </cell>
          <cell r="I2653">
            <v>0</v>
          </cell>
        </row>
        <row r="2654">
          <cell r="A2654" t="str">
            <v>3610|476910</v>
          </cell>
          <cell r="B2654" t="str">
            <v>3610</v>
          </cell>
          <cell r="C2654">
            <v>476910</v>
          </cell>
          <cell r="D2654">
            <v>41244</v>
          </cell>
          <cell r="E2654">
            <v>210840</v>
          </cell>
          <cell r="F2654">
            <v>210840</v>
          </cell>
          <cell r="G2654">
            <v>0</v>
          </cell>
          <cell r="H2654">
            <v>17570</v>
          </cell>
          <cell r="I2654">
            <v>0</v>
          </cell>
        </row>
        <row r="2655">
          <cell r="A2655" t="str">
            <v>3700|211100</v>
          </cell>
          <cell r="B2655" t="str">
            <v>3700</v>
          </cell>
          <cell r="C2655">
            <v>211100</v>
          </cell>
          <cell r="D2655">
            <v>41244</v>
          </cell>
          <cell r="E2655">
            <v>44389488</v>
          </cell>
          <cell r="F2655">
            <v>44389488</v>
          </cell>
          <cell r="G2655">
            <v>44389488</v>
          </cell>
          <cell r="H2655">
            <v>3699124</v>
          </cell>
          <cell r="I2655">
            <v>3699123</v>
          </cell>
        </row>
        <row r="2656">
          <cell r="A2656" t="str">
            <v>3700|400040</v>
          </cell>
          <cell r="B2656" t="str">
            <v>3700</v>
          </cell>
          <cell r="C2656">
            <v>400040</v>
          </cell>
          <cell r="D2656">
            <v>41244</v>
          </cell>
          <cell r="E2656">
            <v>8000000</v>
          </cell>
          <cell r="F2656">
            <v>8000000</v>
          </cell>
          <cell r="G2656">
            <v>0</v>
          </cell>
          <cell r="H2656">
            <v>666667</v>
          </cell>
          <cell r="I2656">
            <v>0</v>
          </cell>
        </row>
        <row r="2657">
          <cell r="A2657" t="str">
            <v>3700|405200</v>
          </cell>
          <cell r="B2657" t="str">
            <v>3700</v>
          </cell>
          <cell r="C2657">
            <v>405200</v>
          </cell>
          <cell r="D2657">
            <v>41244</v>
          </cell>
          <cell r="E2657">
            <v>18000000</v>
          </cell>
          <cell r="F2657">
            <v>18000000</v>
          </cell>
          <cell r="G2657">
            <v>1580355541</v>
          </cell>
          <cell r="H2657">
            <v>1499999</v>
          </cell>
          <cell r="I2657">
            <v>144943225</v>
          </cell>
        </row>
        <row r="2658">
          <cell r="A2658" t="str">
            <v>3700|420003</v>
          </cell>
          <cell r="B2658" t="str">
            <v>3700</v>
          </cell>
          <cell r="C2658">
            <v>420003</v>
          </cell>
          <cell r="D2658">
            <v>41244</v>
          </cell>
          <cell r="E2658">
            <v>371547013</v>
          </cell>
          <cell r="F2658">
            <v>371547013</v>
          </cell>
          <cell r="G2658">
            <v>366057075</v>
          </cell>
          <cell r="H2658">
            <v>30962251</v>
          </cell>
          <cell r="I2658">
            <v>30697831</v>
          </cell>
        </row>
        <row r="2659">
          <cell r="A2659" t="str">
            <v>3700|430010</v>
          </cell>
          <cell r="B2659" t="str">
            <v>3700</v>
          </cell>
          <cell r="C2659">
            <v>430010</v>
          </cell>
          <cell r="D2659">
            <v>41244</v>
          </cell>
          <cell r="E2659">
            <v>123151200</v>
          </cell>
          <cell r="F2659">
            <v>123151200</v>
          </cell>
          <cell r="G2659">
            <v>29240000</v>
          </cell>
          <cell r="H2659">
            <v>10262600</v>
          </cell>
          <cell r="I2659">
            <v>0</v>
          </cell>
        </row>
        <row r="2660">
          <cell r="A2660" t="str">
            <v>3700|431002</v>
          </cell>
          <cell r="B2660" t="str">
            <v>3700</v>
          </cell>
          <cell r="C2660">
            <v>431002</v>
          </cell>
          <cell r="D2660">
            <v>41244</v>
          </cell>
          <cell r="E2660">
            <v>11872374</v>
          </cell>
          <cell r="F2660">
            <v>11872374</v>
          </cell>
          <cell r="G2660">
            <v>1181909</v>
          </cell>
          <cell r="H2660">
            <v>989364</v>
          </cell>
          <cell r="I2660">
            <v>0</v>
          </cell>
        </row>
        <row r="2661">
          <cell r="A2661" t="str">
            <v>3700|434013</v>
          </cell>
          <cell r="B2661" t="str">
            <v>3700</v>
          </cell>
          <cell r="C2661">
            <v>434013</v>
          </cell>
          <cell r="D2661">
            <v>41244</v>
          </cell>
          <cell r="E2661">
            <v>0</v>
          </cell>
          <cell r="F2661">
            <v>0</v>
          </cell>
          <cell r="G2661">
            <v>8406736</v>
          </cell>
          <cell r="H2661">
            <v>0</v>
          </cell>
          <cell r="I2661">
            <v>1366596</v>
          </cell>
        </row>
        <row r="2662">
          <cell r="A2662" t="str">
            <v>3700|435003</v>
          </cell>
          <cell r="B2662" t="str">
            <v>3700</v>
          </cell>
          <cell r="C2662">
            <v>435003</v>
          </cell>
          <cell r="D2662">
            <v>41244</v>
          </cell>
          <cell r="E2662">
            <v>46443377</v>
          </cell>
          <cell r="F2662">
            <v>46443377</v>
          </cell>
          <cell r="G2662">
            <v>54711936</v>
          </cell>
          <cell r="H2662">
            <v>3870281</v>
          </cell>
          <cell r="I2662">
            <v>0</v>
          </cell>
        </row>
        <row r="2663">
          <cell r="A2663" t="str">
            <v>3700|439003</v>
          </cell>
          <cell r="B2663" t="str">
            <v>3700</v>
          </cell>
          <cell r="C2663">
            <v>439003</v>
          </cell>
          <cell r="D2663">
            <v>41244</v>
          </cell>
          <cell r="E2663">
            <v>44055634</v>
          </cell>
          <cell r="F2663">
            <v>44055634</v>
          </cell>
          <cell r="G2663">
            <v>67228313</v>
          </cell>
          <cell r="H2663">
            <v>3671303</v>
          </cell>
          <cell r="I2663">
            <v>8296600</v>
          </cell>
        </row>
        <row r="2664">
          <cell r="A2664" t="str">
            <v>3700|439203</v>
          </cell>
          <cell r="B2664" t="str">
            <v>3700</v>
          </cell>
          <cell r="C2664">
            <v>439203</v>
          </cell>
          <cell r="D2664">
            <v>41244</v>
          </cell>
          <cell r="E2664">
            <v>6000000</v>
          </cell>
          <cell r="F2664">
            <v>6000000</v>
          </cell>
          <cell r="G2664">
            <v>5000000</v>
          </cell>
          <cell r="H2664">
            <v>500000</v>
          </cell>
          <cell r="I2664">
            <v>450000</v>
          </cell>
        </row>
        <row r="2665">
          <cell r="A2665" t="str">
            <v>3700|440003</v>
          </cell>
          <cell r="B2665" t="str">
            <v>3700</v>
          </cell>
          <cell r="C2665">
            <v>440003</v>
          </cell>
          <cell r="D2665">
            <v>41244</v>
          </cell>
          <cell r="E2665">
            <v>30962251</v>
          </cell>
          <cell r="F2665">
            <v>30962251</v>
          </cell>
          <cell r="G2665">
            <v>31509239</v>
          </cell>
          <cell r="H2665">
            <v>2580188</v>
          </cell>
          <cell r="I2665">
            <v>2836175</v>
          </cell>
        </row>
        <row r="2666">
          <cell r="A2666" t="str">
            <v>3700|447003</v>
          </cell>
          <cell r="B2666" t="str">
            <v>3700</v>
          </cell>
          <cell r="C2666">
            <v>447003</v>
          </cell>
          <cell r="D2666">
            <v>41244</v>
          </cell>
          <cell r="E2666">
            <v>3628300</v>
          </cell>
          <cell r="F2666">
            <v>3628300</v>
          </cell>
          <cell r="G2666">
            <v>1969680</v>
          </cell>
          <cell r="H2666">
            <v>302358</v>
          </cell>
          <cell r="I2666">
            <v>165596</v>
          </cell>
        </row>
        <row r="2667">
          <cell r="A2667" t="str">
            <v>3700|447013</v>
          </cell>
          <cell r="B2667" t="str">
            <v>3700</v>
          </cell>
          <cell r="C2667">
            <v>447013</v>
          </cell>
          <cell r="D2667">
            <v>41244</v>
          </cell>
          <cell r="E2667">
            <v>8550770</v>
          </cell>
          <cell r="F2667">
            <v>8550770</v>
          </cell>
          <cell r="G2667">
            <v>13495938</v>
          </cell>
          <cell r="H2667">
            <v>712564</v>
          </cell>
          <cell r="I2667">
            <v>1134642</v>
          </cell>
        </row>
        <row r="2668">
          <cell r="A2668" t="str">
            <v>3700|447023</v>
          </cell>
          <cell r="B2668" t="str">
            <v>3700</v>
          </cell>
          <cell r="C2668">
            <v>447023</v>
          </cell>
          <cell r="D2668">
            <v>41244</v>
          </cell>
          <cell r="E2668">
            <v>362830</v>
          </cell>
          <cell r="F2668">
            <v>362830</v>
          </cell>
          <cell r="G2668">
            <v>656189</v>
          </cell>
          <cell r="H2668">
            <v>30236</v>
          </cell>
          <cell r="I2668">
            <v>55250</v>
          </cell>
        </row>
        <row r="2669">
          <cell r="A2669" t="str">
            <v>3700|448003</v>
          </cell>
          <cell r="B2669" t="str">
            <v>3700</v>
          </cell>
          <cell r="C2669">
            <v>448003</v>
          </cell>
          <cell r="D2669">
            <v>41244</v>
          </cell>
          <cell r="E2669">
            <v>27014726</v>
          </cell>
          <cell r="F2669">
            <v>27014726</v>
          </cell>
          <cell r="G2669">
            <v>9004200</v>
          </cell>
          <cell r="H2669">
            <v>2251227</v>
          </cell>
          <cell r="I2669">
            <v>1634000</v>
          </cell>
        </row>
        <row r="2670">
          <cell r="A2670" t="str">
            <v>3700|449040</v>
          </cell>
          <cell r="B2670" t="str">
            <v>3700</v>
          </cell>
          <cell r="C2670">
            <v>449040</v>
          </cell>
          <cell r="D2670">
            <v>41244</v>
          </cell>
          <cell r="E2670">
            <v>1450000</v>
          </cell>
          <cell r="F2670">
            <v>1450000</v>
          </cell>
          <cell r="G2670">
            <v>0</v>
          </cell>
          <cell r="H2670">
            <v>120833</v>
          </cell>
          <cell r="I2670">
            <v>0</v>
          </cell>
        </row>
        <row r="2671">
          <cell r="A2671" t="str">
            <v>3700|449061</v>
          </cell>
          <cell r="B2671" t="str">
            <v>3700</v>
          </cell>
          <cell r="C2671">
            <v>449061</v>
          </cell>
          <cell r="D2671">
            <v>41244</v>
          </cell>
          <cell r="E2671">
            <v>33434900</v>
          </cell>
          <cell r="F2671">
            <v>33434900</v>
          </cell>
          <cell r="G2671">
            <v>23584925</v>
          </cell>
          <cell r="H2671">
            <v>2786242</v>
          </cell>
          <cell r="I2671">
            <v>944225</v>
          </cell>
        </row>
        <row r="2672">
          <cell r="A2672" t="str">
            <v>3700|455002</v>
          </cell>
          <cell r="B2672" t="str">
            <v>3700</v>
          </cell>
          <cell r="C2672">
            <v>455002</v>
          </cell>
          <cell r="D2672">
            <v>41244</v>
          </cell>
          <cell r="E2672">
            <v>1000000</v>
          </cell>
          <cell r="F2672">
            <v>1000000</v>
          </cell>
          <cell r="G2672">
            <v>0</v>
          </cell>
          <cell r="H2672">
            <v>83333</v>
          </cell>
          <cell r="I2672">
            <v>0</v>
          </cell>
        </row>
        <row r="2673">
          <cell r="A2673" t="str">
            <v>3700|459005</v>
          </cell>
          <cell r="B2673" t="str">
            <v>3700</v>
          </cell>
          <cell r="C2673">
            <v>459005</v>
          </cell>
          <cell r="D2673">
            <v>41244</v>
          </cell>
          <cell r="E2673">
            <v>2000000</v>
          </cell>
          <cell r="F2673">
            <v>2000000</v>
          </cell>
          <cell r="G2673">
            <v>0</v>
          </cell>
          <cell r="H2673">
            <v>166667</v>
          </cell>
          <cell r="I2673">
            <v>0</v>
          </cell>
        </row>
        <row r="2674">
          <cell r="A2674" t="str">
            <v>3700|472000</v>
          </cell>
          <cell r="B2674" t="str">
            <v>3700</v>
          </cell>
          <cell r="C2674">
            <v>472000</v>
          </cell>
          <cell r="D2674">
            <v>41244</v>
          </cell>
          <cell r="E2674">
            <v>17000000</v>
          </cell>
          <cell r="F2674">
            <v>17000000</v>
          </cell>
          <cell r="G2674">
            <v>82000</v>
          </cell>
          <cell r="H2674">
            <v>1416667</v>
          </cell>
          <cell r="I2674">
            <v>0</v>
          </cell>
        </row>
        <row r="2675">
          <cell r="A2675" t="str">
            <v>3700|473000</v>
          </cell>
          <cell r="B2675" t="str">
            <v>3700</v>
          </cell>
          <cell r="C2675">
            <v>473000</v>
          </cell>
          <cell r="D2675">
            <v>41244</v>
          </cell>
          <cell r="E2675">
            <v>0</v>
          </cell>
          <cell r="F2675">
            <v>0</v>
          </cell>
          <cell r="G2675">
            <v>612000</v>
          </cell>
          <cell r="H2675">
            <v>0</v>
          </cell>
          <cell r="I2675">
            <v>0</v>
          </cell>
        </row>
        <row r="2676">
          <cell r="A2676" t="str">
            <v>3700|473120</v>
          </cell>
          <cell r="B2676" t="str">
            <v>3700</v>
          </cell>
          <cell r="C2676">
            <v>473120</v>
          </cell>
          <cell r="D2676">
            <v>41244</v>
          </cell>
          <cell r="E2676">
            <v>20388917</v>
          </cell>
          <cell r="F2676">
            <v>20388917</v>
          </cell>
          <cell r="G2676">
            <v>7795841</v>
          </cell>
          <cell r="H2676">
            <v>1699076</v>
          </cell>
          <cell r="I2676">
            <v>0</v>
          </cell>
        </row>
        <row r="2677">
          <cell r="A2677" t="str">
            <v>3700|474100</v>
          </cell>
          <cell r="B2677" t="str">
            <v>3700</v>
          </cell>
          <cell r="C2677">
            <v>474100</v>
          </cell>
          <cell r="D2677">
            <v>41244</v>
          </cell>
          <cell r="E2677">
            <v>94747249</v>
          </cell>
          <cell r="F2677">
            <v>94747249</v>
          </cell>
          <cell r="G2677">
            <v>0</v>
          </cell>
          <cell r="H2677">
            <v>7895604</v>
          </cell>
          <cell r="I2677">
            <v>0</v>
          </cell>
        </row>
        <row r="2678">
          <cell r="A2678" t="str">
            <v>3700|474101</v>
          </cell>
          <cell r="B2678" t="str">
            <v>3700</v>
          </cell>
          <cell r="C2678">
            <v>474101</v>
          </cell>
          <cell r="D2678">
            <v>41244</v>
          </cell>
          <cell r="E2678">
            <v>18256934</v>
          </cell>
          <cell r="F2678">
            <v>18256934</v>
          </cell>
          <cell r="G2678">
            <v>490734</v>
          </cell>
          <cell r="H2678">
            <v>1521411</v>
          </cell>
          <cell r="I2678">
            <v>0</v>
          </cell>
        </row>
        <row r="2679">
          <cell r="A2679" t="str">
            <v>3700|475001</v>
          </cell>
          <cell r="B2679" t="str">
            <v>3700</v>
          </cell>
          <cell r="C2679">
            <v>475001</v>
          </cell>
          <cell r="D2679">
            <v>41244</v>
          </cell>
          <cell r="E2679">
            <v>400000</v>
          </cell>
          <cell r="F2679">
            <v>400000</v>
          </cell>
          <cell r="G2679">
            <v>0</v>
          </cell>
          <cell r="H2679">
            <v>33333</v>
          </cell>
          <cell r="I2679">
            <v>0</v>
          </cell>
        </row>
        <row r="2680">
          <cell r="A2680" t="str">
            <v>3700|475002</v>
          </cell>
          <cell r="B2680" t="str">
            <v>3700</v>
          </cell>
          <cell r="C2680">
            <v>475002</v>
          </cell>
          <cell r="D2680">
            <v>41244</v>
          </cell>
          <cell r="E2680">
            <v>19369183</v>
          </cell>
          <cell r="F2680">
            <v>19369183</v>
          </cell>
          <cell r="G2680">
            <v>-35492331</v>
          </cell>
          <cell r="H2680">
            <v>1614099</v>
          </cell>
          <cell r="I2680">
            <v>0</v>
          </cell>
        </row>
        <row r="2681">
          <cell r="A2681" t="str">
            <v>3700|475003</v>
          </cell>
          <cell r="B2681" t="str">
            <v>3700</v>
          </cell>
          <cell r="C2681">
            <v>475003</v>
          </cell>
          <cell r="D2681">
            <v>41244</v>
          </cell>
          <cell r="E2681">
            <v>6099000</v>
          </cell>
          <cell r="F2681">
            <v>6099000</v>
          </cell>
          <cell r="G2681">
            <v>-3329999</v>
          </cell>
          <cell r="H2681">
            <v>508250</v>
          </cell>
          <cell r="I2681">
            <v>2054775</v>
          </cell>
        </row>
        <row r="2682">
          <cell r="A2682" t="str">
            <v>3700|475004</v>
          </cell>
          <cell r="B2682" t="str">
            <v>3700</v>
          </cell>
          <cell r="C2682">
            <v>475004</v>
          </cell>
          <cell r="D2682">
            <v>41244</v>
          </cell>
          <cell r="E2682">
            <v>22607265</v>
          </cell>
          <cell r="F2682">
            <v>22607265</v>
          </cell>
          <cell r="G2682">
            <v>32431625</v>
          </cell>
          <cell r="H2682">
            <v>1883939</v>
          </cell>
          <cell r="I2682">
            <v>2685704</v>
          </cell>
        </row>
        <row r="2683">
          <cell r="A2683" t="str">
            <v>3700|475006</v>
          </cell>
          <cell r="B2683" t="str">
            <v>3700</v>
          </cell>
          <cell r="C2683">
            <v>475006</v>
          </cell>
          <cell r="D2683">
            <v>41244</v>
          </cell>
          <cell r="E2683">
            <v>7837927</v>
          </cell>
          <cell r="F2683">
            <v>7837927</v>
          </cell>
          <cell r="G2683">
            <v>5540071</v>
          </cell>
          <cell r="H2683">
            <v>653161</v>
          </cell>
          <cell r="I2683">
            <v>429063</v>
          </cell>
        </row>
        <row r="2684">
          <cell r="A2684" t="str">
            <v>3700|476000</v>
          </cell>
          <cell r="B2684" t="str">
            <v>3700</v>
          </cell>
          <cell r="C2684">
            <v>476000</v>
          </cell>
          <cell r="D2684">
            <v>41244</v>
          </cell>
          <cell r="E2684">
            <v>650000</v>
          </cell>
          <cell r="F2684">
            <v>650000</v>
          </cell>
          <cell r="G2684">
            <v>605779</v>
          </cell>
          <cell r="H2684">
            <v>54167</v>
          </cell>
          <cell r="I2684">
            <v>0</v>
          </cell>
        </row>
        <row r="2685">
          <cell r="A2685" t="str">
            <v>3700|476001</v>
          </cell>
          <cell r="B2685" t="str">
            <v>3700</v>
          </cell>
          <cell r="C2685">
            <v>476001</v>
          </cell>
          <cell r="D2685">
            <v>41244</v>
          </cell>
          <cell r="E2685">
            <v>13299200</v>
          </cell>
          <cell r="F2685">
            <v>13299200</v>
          </cell>
          <cell r="G2685">
            <v>2373942</v>
          </cell>
          <cell r="H2685">
            <v>1108266</v>
          </cell>
          <cell r="I2685">
            <v>419998</v>
          </cell>
        </row>
        <row r="2686">
          <cell r="A2686" t="str">
            <v>3700|476220</v>
          </cell>
          <cell r="B2686" t="str">
            <v>3700</v>
          </cell>
          <cell r="C2686">
            <v>476220</v>
          </cell>
          <cell r="D2686">
            <v>41244</v>
          </cell>
          <cell r="E2686">
            <v>441868</v>
          </cell>
          <cell r="F2686">
            <v>441868</v>
          </cell>
          <cell r="G2686">
            <v>101200</v>
          </cell>
          <cell r="H2686">
            <v>36822</v>
          </cell>
          <cell r="I2686">
            <v>0</v>
          </cell>
        </row>
        <row r="2687">
          <cell r="A2687" t="str">
            <v>3700|476900</v>
          </cell>
          <cell r="B2687" t="str">
            <v>3700</v>
          </cell>
          <cell r="C2687">
            <v>476900</v>
          </cell>
          <cell r="D2687">
            <v>41244</v>
          </cell>
          <cell r="E2687">
            <v>0</v>
          </cell>
          <cell r="F2687">
            <v>0</v>
          </cell>
          <cell r="G2687">
            <v>6961745</v>
          </cell>
          <cell r="H2687">
            <v>0</v>
          </cell>
          <cell r="I2687">
            <v>786400</v>
          </cell>
        </row>
        <row r="2688">
          <cell r="A2688" t="str">
            <v>3700|476910</v>
          </cell>
          <cell r="B2688" t="str">
            <v>3700</v>
          </cell>
          <cell r="C2688">
            <v>476910</v>
          </cell>
          <cell r="D2688">
            <v>41244</v>
          </cell>
          <cell r="E2688">
            <v>15000000</v>
          </cell>
          <cell r="F2688">
            <v>15000000</v>
          </cell>
          <cell r="G2688">
            <v>0</v>
          </cell>
          <cell r="H2688">
            <v>1250000</v>
          </cell>
          <cell r="I2688">
            <v>0</v>
          </cell>
        </row>
        <row r="2689">
          <cell r="A2689" t="str">
            <v>3700|477001</v>
          </cell>
          <cell r="B2689" t="str">
            <v>3700</v>
          </cell>
          <cell r="C2689">
            <v>477001</v>
          </cell>
          <cell r="D2689">
            <v>41244</v>
          </cell>
          <cell r="E2689">
            <v>1710469235</v>
          </cell>
          <cell r="F2689">
            <v>1710469235</v>
          </cell>
          <cell r="G2689">
            <v>1599131979</v>
          </cell>
          <cell r="H2689">
            <v>142539103</v>
          </cell>
          <cell r="I2689">
            <v>277169324</v>
          </cell>
        </row>
        <row r="2690">
          <cell r="A2690" t="str">
            <v>3700|477310</v>
          </cell>
          <cell r="B2690" t="str">
            <v>3700</v>
          </cell>
          <cell r="C2690">
            <v>477310</v>
          </cell>
          <cell r="D2690">
            <v>41244</v>
          </cell>
          <cell r="E2690">
            <v>25000977</v>
          </cell>
          <cell r="F2690">
            <v>25000977</v>
          </cell>
          <cell r="G2690">
            <v>25495000</v>
          </cell>
          <cell r="H2690">
            <v>2083415</v>
          </cell>
          <cell r="I2690">
            <v>0</v>
          </cell>
        </row>
        <row r="2691">
          <cell r="A2691" t="str">
            <v>3700|477350</v>
          </cell>
          <cell r="B2691" t="str">
            <v>3700</v>
          </cell>
          <cell r="C2691">
            <v>477350</v>
          </cell>
          <cell r="D2691">
            <v>41244</v>
          </cell>
          <cell r="E2691">
            <v>0</v>
          </cell>
          <cell r="F2691">
            <v>0</v>
          </cell>
          <cell r="G2691">
            <v>1084000</v>
          </cell>
          <cell r="H2691">
            <v>0</v>
          </cell>
          <cell r="I2691">
            <v>0</v>
          </cell>
        </row>
        <row r="2692">
          <cell r="A2692" t="str">
            <v>3700|477400</v>
          </cell>
          <cell r="B2692" t="str">
            <v>3700</v>
          </cell>
          <cell r="C2692">
            <v>477400</v>
          </cell>
          <cell r="D2692">
            <v>41244</v>
          </cell>
          <cell r="E2692">
            <v>3910129788</v>
          </cell>
          <cell r="F2692">
            <v>3910129788</v>
          </cell>
          <cell r="G2692">
            <v>3903918044</v>
          </cell>
          <cell r="H2692">
            <v>325844149</v>
          </cell>
          <cell r="I2692">
            <v>1569514</v>
          </cell>
        </row>
        <row r="2693">
          <cell r="A2693" t="str">
            <v>3700|477410</v>
          </cell>
          <cell r="B2693" t="str">
            <v>3700</v>
          </cell>
          <cell r="C2693">
            <v>477410</v>
          </cell>
          <cell r="D2693">
            <v>41244</v>
          </cell>
          <cell r="E2693">
            <v>0</v>
          </cell>
          <cell r="F2693">
            <v>0</v>
          </cell>
          <cell r="G2693">
            <v>-263975000</v>
          </cell>
          <cell r="H2693">
            <v>0</v>
          </cell>
          <cell r="I2693">
            <v>0</v>
          </cell>
        </row>
        <row r="2694">
          <cell r="A2694" t="str">
            <v>3700|477450</v>
          </cell>
          <cell r="B2694" t="str">
            <v>3700</v>
          </cell>
          <cell r="C2694">
            <v>477450</v>
          </cell>
          <cell r="D2694">
            <v>41244</v>
          </cell>
          <cell r="E2694">
            <v>1013400000</v>
          </cell>
          <cell r="F2694">
            <v>1013400000</v>
          </cell>
          <cell r="G2694">
            <v>1376740946</v>
          </cell>
          <cell r="H2694">
            <v>84450000</v>
          </cell>
          <cell r="I2694">
            <v>-1502428294</v>
          </cell>
        </row>
        <row r="2695">
          <cell r="A2695" t="str">
            <v>5100|211100</v>
          </cell>
          <cell r="B2695" t="str">
            <v>5100</v>
          </cell>
          <cell r="C2695">
            <v>211100</v>
          </cell>
          <cell r="D2695">
            <v>41244</v>
          </cell>
          <cell r="E2695">
            <v>61068219</v>
          </cell>
          <cell r="F2695">
            <v>61068219</v>
          </cell>
          <cell r="G2695">
            <v>64832468</v>
          </cell>
          <cell r="H2695">
            <v>5089018</v>
          </cell>
          <cell r="I2695">
            <v>5940990</v>
          </cell>
        </row>
        <row r="2696">
          <cell r="A2696" t="str">
            <v>5100|246000</v>
          </cell>
          <cell r="B2696" t="str">
            <v>5100</v>
          </cell>
          <cell r="C2696">
            <v>246000</v>
          </cell>
          <cell r="D2696">
            <v>41244</v>
          </cell>
          <cell r="E2696">
            <v>65000000</v>
          </cell>
          <cell r="F2696">
            <v>65000000</v>
          </cell>
          <cell r="G2696">
            <v>66989575</v>
          </cell>
          <cell r="H2696">
            <v>5416667</v>
          </cell>
          <cell r="I2696">
            <v>0</v>
          </cell>
        </row>
        <row r="2697">
          <cell r="A2697" t="str">
            <v>5100|405200</v>
          </cell>
          <cell r="B2697" t="str">
            <v>5100</v>
          </cell>
          <cell r="C2697">
            <v>405200</v>
          </cell>
          <cell r="D2697">
            <v>41244</v>
          </cell>
          <cell r="E2697">
            <v>11000000</v>
          </cell>
          <cell r="F2697">
            <v>11000000</v>
          </cell>
          <cell r="G2697">
            <v>9475436</v>
          </cell>
          <cell r="H2697">
            <v>916674</v>
          </cell>
          <cell r="I2697">
            <v>6257800</v>
          </cell>
        </row>
        <row r="2698">
          <cell r="A2698" t="str">
            <v>5100|420002</v>
          </cell>
          <cell r="B2698" t="str">
            <v>5100</v>
          </cell>
          <cell r="C2698">
            <v>420002</v>
          </cell>
          <cell r="D2698">
            <v>41244</v>
          </cell>
          <cell r="E2698">
            <v>71303847</v>
          </cell>
          <cell r="F2698">
            <v>71303847</v>
          </cell>
          <cell r="G2698">
            <v>48879000</v>
          </cell>
          <cell r="H2698">
            <v>5941987</v>
          </cell>
          <cell r="I2698">
            <v>4109500</v>
          </cell>
        </row>
        <row r="2699">
          <cell r="A2699" t="str">
            <v>5100|420003</v>
          </cell>
          <cell r="B2699" t="str">
            <v>5100</v>
          </cell>
          <cell r="C2699">
            <v>420003</v>
          </cell>
          <cell r="D2699">
            <v>41244</v>
          </cell>
          <cell r="E2699">
            <v>1342603397</v>
          </cell>
          <cell r="F2699">
            <v>1342603397</v>
          </cell>
          <cell r="G2699">
            <v>1211997177</v>
          </cell>
          <cell r="H2699">
            <v>111883616</v>
          </cell>
          <cell r="I2699">
            <v>91763484</v>
          </cell>
        </row>
        <row r="2700">
          <cell r="A2700" t="str">
            <v>5100|422002</v>
          </cell>
          <cell r="B2700" t="str">
            <v>5100</v>
          </cell>
          <cell r="C2700">
            <v>422002</v>
          </cell>
          <cell r="D2700">
            <v>41244</v>
          </cell>
          <cell r="E2700">
            <v>424764</v>
          </cell>
          <cell r="F2700">
            <v>424764</v>
          </cell>
          <cell r="G2700">
            <v>160350</v>
          </cell>
          <cell r="H2700">
            <v>35397</v>
          </cell>
          <cell r="I2700">
            <v>0</v>
          </cell>
        </row>
        <row r="2701">
          <cell r="A2701" t="str">
            <v>5100|422003</v>
          </cell>
          <cell r="B2701" t="str">
            <v>5100</v>
          </cell>
          <cell r="C2701">
            <v>422003</v>
          </cell>
          <cell r="D2701">
            <v>41244</v>
          </cell>
          <cell r="E2701">
            <v>677645618</v>
          </cell>
          <cell r="F2701">
            <v>677645618</v>
          </cell>
          <cell r="G2701">
            <v>1469111445</v>
          </cell>
          <cell r="H2701">
            <v>56470468</v>
          </cell>
          <cell r="I2701">
            <v>209999907</v>
          </cell>
        </row>
        <row r="2702">
          <cell r="A2702" t="str">
            <v>5100|431001</v>
          </cell>
          <cell r="B2702" t="str">
            <v>5100</v>
          </cell>
          <cell r="C2702">
            <v>431001</v>
          </cell>
          <cell r="D2702">
            <v>41244</v>
          </cell>
          <cell r="E2702">
            <v>0</v>
          </cell>
          <cell r="F2702">
            <v>0</v>
          </cell>
          <cell r="G2702">
            <v>1385629</v>
          </cell>
          <cell r="H2702">
            <v>0</v>
          </cell>
          <cell r="I2702">
            <v>0</v>
          </cell>
        </row>
        <row r="2703">
          <cell r="A2703" t="str">
            <v>5100|431002</v>
          </cell>
          <cell r="B2703" t="str">
            <v>5100</v>
          </cell>
          <cell r="C2703">
            <v>431002</v>
          </cell>
          <cell r="D2703">
            <v>41244</v>
          </cell>
          <cell r="E2703">
            <v>76090920</v>
          </cell>
          <cell r="F2703">
            <v>76090920</v>
          </cell>
          <cell r="G2703">
            <v>97845555</v>
          </cell>
          <cell r="H2703">
            <v>6340910</v>
          </cell>
          <cell r="I2703">
            <v>8207199</v>
          </cell>
        </row>
        <row r="2704">
          <cell r="A2704" t="str">
            <v>5100|434012</v>
          </cell>
          <cell r="B2704" t="str">
            <v>5100</v>
          </cell>
          <cell r="C2704">
            <v>434012</v>
          </cell>
          <cell r="D2704">
            <v>41244</v>
          </cell>
          <cell r="E2704">
            <v>0</v>
          </cell>
          <cell r="F2704">
            <v>0</v>
          </cell>
          <cell r="G2704">
            <v>2799543</v>
          </cell>
          <cell r="H2704">
            <v>0</v>
          </cell>
          <cell r="I2704">
            <v>982145</v>
          </cell>
        </row>
        <row r="2705">
          <cell r="A2705" t="str">
            <v>5100|434013</v>
          </cell>
          <cell r="B2705" t="str">
            <v>5100</v>
          </cell>
          <cell r="C2705">
            <v>434013</v>
          </cell>
          <cell r="D2705">
            <v>41244</v>
          </cell>
          <cell r="E2705">
            <v>0</v>
          </cell>
          <cell r="F2705">
            <v>0</v>
          </cell>
          <cell r="G2705">
            <v>4244886</v>
          </cell>
          <cell r="H2705">
            <v>0</v>
          </cell>
          <cell r="I2705">
            <v>1366596</v>
          </cell>
        </row>
        <row r="2706">
          <cell r="A2706" t="str">
            <v>5100|435002</v>
          </cell>
          <cell r="B2706" t="str">
            <v>5100</v>
          </cell>
          <cell r="C2706">
            <v>435002</v>
          </cell>
          <cell r="D2706">
            <v>41244</v>
          </cell>
          <cell r="E2706">
            <v>5941987</v>
          </cell>
          <cell r="F2706">
            <v>5941987</v>
          </cell>
          <cell r="G2706">
            <v>4109500</v>
          </cell>
          <cell r="H2706">
            <v>495166</v>
          </cell>
          <cell r="I2706">
            <v>4109500</v>
          </cell>
        </row>
        <row r="2707">
          <cell r="A2707" t="str">
            <v>5100|435003</v>
          </cell>
          <cell r="B2707" t="str">
            <v>5100</v>
          </cell>
          <cell r="C2707">
            <v>435003</v>
          </cell>
          <cell r="D2707">
            <v>41244</v>
          </cell>
          <cell r="E2707">
            <v>457206308</v>
          </cell>
          <cell r="F2707">
            <v>457206308</v>
          </cell>
          <cell r="G2707">
            <v>13313826</v>
          </cell>
          <cell r="H2707">
            <v>38100526</v>
          </cell>
          <cell r="I2707">
            <v>0</v>
          </cell>
        </row>
        <row r="2708">
          <cell r="A2708" t="str">
            <v>5100|439003</v>
          </cell>
          <cell r="B2708" t="str">
            <v>5100</v>
          </cell>
          <cell r="C2708">
            <v>439003</v>
          </cell>
          <cell r="D2708">
            <v>41244</v>
          </cell>
          <cell r="E2708">
            <v>44055634</v>
          </cell>
          <cell r="F2708">
            <v>44055634</v>
          </cell>
          <cell r="G2708">
            <v>67228313</v>
          </cell>
          <cell r="H2708">
            <v>3671303</v>
          </cell>
          <cell r="I2708">
            <v>8296600</v>
          </cell>
        </row>
        <row r="2709">
          <cell r="A2709" t="str">
            <v>5100|439006</v>
          </cell>
          <cell r="B2709" t="str">
            <v>5100</v>
          </cell>
          <cell r="C2709">
            <v>439006</v>
          </cell>
          <cell r="D2709">
            <v>41244</v>
          </cell>
          <cell r="E2709">
            <v>149501030</v>
          </cell>
          <cell r="F2709">
            <v>149501030</v>
          </cell>
          <cell r="G2709">
            <v>45128239</v>
          </cell>
          <cell r="H2709">
            <v>12458419</v>
          </cell>
          <cell r="I2709">
            <v>0</v>
          </cell>
        </row>
        <row r="2710">
          <cell r="A2710" t="str">
            <v>5100|439008</v>
          </cell>
          <cell r="B2710" t="str">
            <v>5100</v>
          </cell>
          <cell r="C2710">
            <v>439008</v>
          </cell>
          <cell r="D2710">
            <v>41244</v>
          </cell>
          <cell r="E2710">
            <v>16368905</v>
          </cell>
          <cell r="F2710">
            <v>16368905</v>
          </cell>
          <cell r="G2710">
            <v>22346622</v>
          </cell>
          <cell r="H2710">
            <v>1364075</v>
          </cell>
          <cell r="I2710">
            <v>0</v>
          </cell>
        </row>
        <row r="2711">
          <cell r="A2711" t="str">
            <v>5100|439103</v>
          </cell>
          <cell r="B2711" t="str">
            <v>5100</v>
          </cell>
          <cell r="C2711">
            <v>439103</v>
          </cell>
          <cell r="D2711">
            <v>41244</v>
          </cell>
          <cell r="E2711">
            <v>0</v>
          </cell>
          <cell r="F2711">
            <v>0</v>
          </cell>
          <cell r="G2711">
            <v>500000</v>
          </cell>
          <cell r="H2711">
            <v>0</v>
          </cell>
          <cell r="I2711">
            <v>0</v>
          </cell>
        </row>
        <row r="2712">
          <cell r="A2712" t="str">
            <v>5100|439202</v>
          </cell>
          <cell r="B2712" t="str">
            <v>5100</v>
          </cell>
          <cell r="C2712">
            <v>439202</v>
          </cell>
          <cell r="D2712">
            <v>41244</v>
          </cell>
          <cell r="E2712">
            <v>0</v>
          </cell>
          <cell r="F2712">
            <v>0</v>
          </cell>
          <cell r="G2712">
            <v>432000</v>
          </cell>
          <cell r="H2712">
            <v>0</v>
          </cell>
          <cell r="I2712">
            <v>0</v>
          </cell>
        </row>
        <row r="2713">
          <cell r="A2713" t="str">
            <v>5100|439203</v>
          </cell>
          <cell r="B2713" t="str">
            <v>5100</v>
          </cell>
          <cell r="C2713">
            <v>439203</v>
          </cell>
          <cell r="D2713">
            <v>41244</v>
          </cell>
          <cell r="E2713">
            <v>0</v>
          </cell>
          <cell r="F2713">
            <v>0</v>
          </cell>
          <cell r="G2713">
            <v>187000</v>
          </cell>
          <cell r="H2713">
            <v>0</v>
          </cell>
          <cell r="I2713">
            <v>0</v>
          </cell>
        </row>
        <row r="2714">
          <cell r="A2714" t="str">
            <v>5100|440002</v>
          </cell>
          <cell r="B2714" t="str">
            <v>5100</v>
          </cell>
          <cell r="C2714">
            <v>440002</v>
          </cell>
          <cell r="D2714">
            <v>41244</v>
          </cell>
          <cell r="E2714">
            <v>5941987</v>
          </cell>
          <cell r="F2714">
            <v>5941987</v>
          </cell>
          <cell r="G2714">
            <v>3835697</v>
          </cell>
          <cell r="H2714">
            <v>495166</v>
          </cell>
          <cell r="I2714">
            <v>558485</v>
          </cell>
        </row>
        <row r="2715">
          <cell r="A2715" t="str">
            <v>5100|440003</v>
          </cell>
          <cell r="B2715" t="str">
            <v>5100</v>
          </cell>
          <cell r="C2715">
            <v>440003</v>
          </cell>
          <cell r="D2715">
            <v>41244</v>
          </cell>
          <cell r="E2715">
            <v>16206308</v>
          </cell>
          <cell r="F2715">
            <v>16206308</v>
          </cell>
          <cell r="G2715">
            <v>9090746</v>
          </cell>
          <cell r="H2715">
            <v>1350526</v>
          </cell>
          <cell r="I2715">
            <v>989677</v>
          </cell>
        </row>
        <row r="2716">
          <cell r="A2716" t="str">
            <v>5100|446002</v>
          </cell>
          <cell r="B2716" t="str">
            <v>5100</v>
          </cell>
          <cell r="C2716">
            <v>446002</v>
          </cell>
          <cell r="D2716">
            <v>41244</v>
          </cell>
          <cell r="E2716">
            <v>2970994</v>
          </cell>
          <cell r="F2716">
            <v>2970994</v>
          </cell>
          <cell r="G2716">
            <v>1274150</v>
          </cell>
          <cell r="H2716">
            <v>247583</v>
          </cell>
          <cell r="I2716">
            <v>150000</v>
          </cell>
        </row>
        <row r="2717">
          <cell r="A2717" t="str">
            <v>5100|447002</v>
          </cell>
          <cell r="B2717" t="str">
            <v>5100</v>
          </cell>
          <cell r="C2717">
            <v>447002</v>
          </cell>
          <cell r="D2717">
            <v>41244</v>
          </cell>
          <cell r="E2717">
            <v>2072652</v>
          </cell>
          <cell r="F2717">
            <v>2072652</v>
          </cell>
          <cell r="G2717">
            <v>313425</v>
          </cell>
          <cell r="H2717">
            <v>172721</v>
          </cell>
          <cell r="I2717">
            <v>22192</v>
          </cell>
        </row>
        <row r="2718">
          <cell r="A2718" t="str">
            <v>5100|447003</v>
          </cell>
          <cell r="B2718" t="str">
            <v>5100</v>
          </cell>
          <cell r="C2718">
            <v>447003</v>
          </cell>
          <cell r="D2718">
            <v>41244</v>
          </cell>
          <cell r="E2718">
            <v>829090</v>
          </cell>
          <cell r="F2718">
            <v>829090</v>
          </cell>
          <cell r="G2718">
            <v>1642668</v>
          </cell>
          <cell r="H2718">
            <v>69091</v>
          </cell>
          <cell r="I2718">
            <v>138106</v>
          </cell>
        </row>
        <row r="2719">
          <cell r="A2719" t="str">
            <v>5100|447012</v>
          </cell>
          <cell r="B2719" t="str">
            <v>5100</v>
          </cell>
          <cell r="C2719">
            <v>447012</v>
          </cell>
          <cell r="D2719">
            <v>41244</v>
          </cell>
          <cell r="E2719">
            <v>4884593</v>
          </cell>
          <cell r="F2719">
            <v>4884593</v>
          </cell>
          <cell r="G2719">
            <v>1808526</v>
          </cell>
          <cell r="H2719">
            <v>407049</v>
          </cell>
          <cell r="I2719">
            <v>152052</v>
          </cell>
        </row>
        <row r="2720">
          <cell r="A2720" t="str">
            <v>5100|447013</v>
          </cell>
          <cell r="B2720" t="str">
            <v>5100</v>
          </cell>
          <cell r="C2720">
            <v>447013</v>
          </cell>
          <cell r="D2720">
            <v>41244</v>
          </cell>
          <cell r="E2720">
            <v>156953907</v>
          </cell>
          <cell r="F2720">
            <v>156953907</v>
          </cell>
          <cell r="G2720">
            <v>3871242</v>
          </cell>
          <cell r="H2720">
            <v>13079492</v>
          </cell>
          <cell r="I2720">
            <v>325471</v>
          </cell>
        </row>
        <row r="2721">
          <cell r="A2721" t="str">
            <v>5100|447022</v>
          </cell>
          <cell r="B2721" t="str">
            <v>5100</v>
          </cell>
          <cell r="C2721">
            <v>447022</v>
          </cell>
          <cell r="D2721">
            <v>41244</v>
          </cell>
          <cell r="E2721">
            <v>207265</v>
          </cell>
          <cell r="F2721">
            <v>207265</v>
          </cell>
          <cell r="G2721">
            <v>41800</v>
          </cell>
          <cell r="H2721">
            <v>17272</v>
          </cell>
          <cell r="I2721">
            <v>3900</v>
          </cell>
        </row>
        <row r="2722">
          <cell r="A2722" t="str">
            <v>5100|447023</v>
          </cell>
          <cell r="B2722" t="str">
            <v>5100</v>
          </cell>
          <cell r="C2722">
            <v>447023</v>
          </cell>
          <cell r="D2722">
            <v>41244</v>
          </cell>
          <cell r="E2722">
            <v>82909</v>
          </cell>
          <cell r="F2722">
            <v>82909</v>
          </cell>
          <cell r="G2722">
            <v>249825</v>
          </cell>
          <cell r="H2722">
            <v>6909</v>
          </cell>
          <cell r="I2722">
            <v>0</v>
          </cell>
        </row>
        <row r="2723">
          <cell r="A2723" t="str">
            <v>5100|448002</v>
          </cell>
          <cell r="B2723" t="str">
            <v>5100</v>
          </cell>
          <cell r="C2723">
            <v>448002</v>
          </cell>
          <cell r="D2723">
            <v>41244</v>
          </cell>
          <cell r="E2723">
            <v>12314417</v>
          </cell>
          <cell r="F2723">
            <v>12314417</v>
          </cell>
          <cell r="G2723">
            <v>1633390</v>
          </cell>
          <cell r="H2723">
            <v>1026201</v>
          </cell>
          <cell r="I2723">
            <v>0</v>
          </cell>
        </row>
        <row r="2724">
          <cell r="A2724" t="str">
            <v>5100|448003</v>
          </cell>
          <cell r="B2724" t="str">
            <v>5100</v>
          </cell>
          <cell r="C2724">
            <v>448003</v>
          </cell>
          <cell r="D2724">
            <v>41244</v>
          </cell>
          <cell r="E2724">
            <v>15382279</v>
          </cell>
          <cell r="F2724">
            <v>15382279</v>
          </cell>
          <cell r="G2724">
            <v>6883164</v>
          </cell>
          <cell r="H2724">
            <v>1281857</v>
          </cell>
          <cell r="I2724">
            <v>633100</v>
          </cell>
        </row>
        <row r="2725">
          <cell r="A2725" t="str">
            <v>5100|449012</v>
          </cell>
          <cell r="B2725" t="str">
            <v>5100</v>
          </cell>
          <cell r="C2725">
            <v>449012</v>
          </cell>
          <cell r="D2725">
            <v>41244</v>
          </cell>
          <cell r="E2725">
            <v>9000000</v>
          </cell>
          <cell r="F2725">
            <v>9000000</v>
          </cell>
          <cell r="G2725">
            <v>35477862</v>
          </cell>
          <cell r="H2725">
            <v>750000</v>
          </cell>
          <cell r="I2725">
            <v>19586028</v>
          </cell>
        </row>
        <row r="2726">
          <cell r="A2726" t="str">
            <v>5100|449022</v>
          </cell>
          <cell r="B2726" t="str">
            <v>5100</v>
          </cell>
          <cell r="C2726">
            <v>449022</v>
          </cell>
          <cell r="D2726">
            <v>41244</v>
          </cell>
          <cell r="E2726">
            <v>3960000</v>
          </cell>
          <cell r="F2726">
            <v>3960000</v>
          </cell>
          <cell r="G2726">
            <v>4616000</v>
          </cell>
          <cell r="H2726">
            <v>330000</v>
          </cell>
          <cell r="I2726">
            <v>357000</v>
          </cell>
        </row>
        <row r="2727">
          <cell r="A2727" t="str">
            <v>5100|449023</v>
          </cell>
          <cell r="B2727" t="str">
            <v>5100</v>
          </cell>
          <cell r="C2727">
            <v>449023</v>
          </cell>
          <cell r="D2727">
            <v>41244</v>
          </cell>
          <cell r="E2727">
            <v>3960000</v>
          </cell>
          <cell r="F2727">
            <v>3960000</v>
          </cell>
          <cell r="G2727">
            <v>3594000</v>
          </cell>
          <cell r="H2727">
            <v>330000</v>
          </cell>
          <cell r="I2727">
            <v>340000</v>
          </cell>
        </row>
        <row r="2728">
          <cell r="A2728" t="str">
            <v>5100|449040</v>
          </cell>
          <cell r="B2728" t="str">
            <v>5100</v>
          </cell>
          <cell r="C2728">
            <v>449040</v>
          </cell>
          <cell r="D2728">
            <v>41244</v>
          </cell>
          <cell r="E2728">
            <v>55484273</v>
          </cell>
          <cell r="F2728">
            <v>55484273</v>
          </cell>
          <cell r="G2728">
            <v>27786500</v>
          </cell>
          <cell r="H2728">
            <v>4623690</v>
          </cell>
          <cell r="I2728">
            <v>1000000</v>
          </cell>
        </row>
        <row r="2729">
          <cell r="A2729" t="str">
            <v>5100|449050</v>
          </cell>
          <cell r="B2729" t="str">
            <v>5100</v>
          </cell>
          <cell r="C2729">
            <v>449050</v>
          </cell>
          <cell r="D2729">
            <v>41244</v>
          </cell>
          <cell r="E2729">
            <v>241048866</v>
          </cell>
          <cell r="F2729">
            <v>241048866</v>
          </cell>
          <cell r="G2729">
            <v>592067728</v>
          </cell>
          <cell r="H2729">
            <v>20087417</v>
          </cell>
          <cell r="I2729">
            <v>19154771</v>
          </cell>
        </row>
        <row r="2730">
          <cell r="A2730" t="str">
            <v>5100|449061</v>
          </cell>
          <cell r="B2730" t="str">
            <v>5100</v>
          </cell>
          <cell r="C2730">
            <v>449061</v>
          </cell>
          <cell r="D2730">
            <v>41244</v>
          </cell>
          <cell r="E2730">
            <v>10677500</v>
          </cell>
          <cell r="F2730">
            <v>10677500</v>
          </cell>
          <cell r="G2730">
            <v>10149050</v>
          </cell>
          <cell r="H2730">
            <v>889791</v>
          </cell>
          <cell r="I2730">
            <v>1141350</v>
          </cell>
        </row>
        <row r="2731">
          <cell r="A2731" t="str">
            <v>5100|451000</v>
          </cell>
          <cell r="B2731" t="str">
            <v>5100</v>
          </cell>
          <cell r="C2731">
            <v>451000</v>
          </cell>
          <cell r="D2731">
            <v>41244</v>
          </cell>
          <cell r="E2731">
            <v>1653050</v>
          </cell>
          <cell r="F2731">
            <v>1653050</v>
          </cell>
          <cell r="G2731">
            <v>393300</v>
          </cell>
          <cell r="H2731">
            <v>137754</v>
          </cell>
          <cell r="I2731">
            <v>496800</v>
          </cell>
        </row>
        <row r="2732">
          <cell r="A2732" t="str">
            <v>5100|455000</v>
          </cell>
          <cell r="B2732" t="str">
            <v>5100</v>
          </cell>
          <cell r="C2732">
            <v>455000</v>
          </cell>
          <cell r="D2732">
            <v>41244</v>
          </cell>
          <cell r="E2732">
            <v>0</v>
          </cell>
          <cell r="F2732">
            <v>0</v>
          </cell>
          <cell r="G2732">
            <v>13823100</v>
          </cell>
          <cell r="H2732">
            <v>0</v>
          </cell>
          <cell r="I2732">
            <v>0</v>
          </cell>
        </row>
        <row r="2733">
          <cell r="A2733" t="str">
            <v>5100|459000</v>
          </cell>
          <cell r="B2733" t="str">
            <v>5100</v>
          </cell>
          <cell r="C2733">
            <v>459000</v>
          </cell>
          <cell r="D2733">
            <v>41244</v>
          </cell>
          <cell r="E2733">
            <v>4200000</v>
          </cell>
          <cell r="F2733">
            <v>4200000</v>
          </cell>
          <cell r="G2733">
            <v>2920000</v>
          </cell>
          <cell r="H2733">
            <v>350000</v>
          </cell>
          <cell r="I2733">
            <v>0</v>
          </cell>
        </row>
        <row r="2734">
          <cell r="A2734" t="str">
            <v>5100|459005</v>
          </cell>
          <cell r="B2734" t="str">
            <v>5100</v>
          </cell>
          <cell r="C2734">
            <v>459005</v>
          </cell>
          <cell r="D2734">
            <v>41244</v>
          </cell>
          <cell r="E2734">
            <v>825000</v>
          </cell>
          <cell r="F2734">
            <v>825000</v>
          </cell>
          <cell r="G2734">
            <v>500000</v>
          </cell>
          <cell r="H2734">
            <v>68750</v>
          </cell>
          <cell r="I2734">
            <v>0</v>
          </cell>
        </row>
        <row r="2735">
          <cell r="A2735" t="str">
            <v>5100|470001</v>
          </cell>
          <cell r="B2735" t="str">
            <v>5100</v>
          </cell>
          <cell r="C2735">
            <v>470001</v>
          </cell>
          <cell r="D2735">
            <v>41244</v>
          </cell>
          <cell r="E2735">
            <v>465615662</v>
          </cell>
          <cell r="F2735">
            <v>465615662</v>
          </cell>
          <cell r="G2735">
            <v>493979344</v>
          </cell>
          <cell r="H2735">
            <v>38801305</v>
          </cell>
          <cell r="I2735">
            <v>33582500</v>
          </cell>
        </row>
        <row r="2736">
          <cell r="A2736" t="str">
            <v>5100|470102</v>
          </cell>
          <cell r="B2736" t="str">
            <v>5100</v>
          </cell>
          <cell r="C2736">
            <v>470102</v>
          </cell>
          <cell r="D2736">
            <v>41244</v>
          </cell>
          <cell r="E2736">
            <v>1184159</v>
          </cell>
          <cell r="F2736">
            <v>1184159</v>
          </cell>
          <cell r="G2736">
            <v>1372090</v>
          </cell>
          <cell r="H2736">
            <v>98680</v>
          </cell>
          <cell r="I2736">
            <v>40000</v>
          </cell>
        </row>
        <row r="2737">
          <cell r="A2737" t="str">
            <v>5100|472000</v>
          </cell>
          <cell r="B2737" t="str">
            <v>5100</v>
          </cell>
          <cell r="C2737">
            <v>472000</v>
          </cell>
          <cell r="D2737">
            <v>41244</v>
          </cell>
          <cell r="E2737">
            <v>5600000</v>
          </cell>
          <cell r="F2737">
            <v>5600000</v>
          </cell>
          <cell r="G2737">
            <v>5536536</v>
          </cell>
          <cell r="H2737">
            <v>466667</v>
          </cell>
          <cell r="I2737">
            <v>5043431</v>
          </cell>
        </row>
        <row r="2738">
          <cell r="A2738" t="str">
            <v>5100|473000</v>
          </cell>
          <cell r="B2738" t="str">
            <v>5100</v>
          </cell>
          <cell r="C2738">
            <v>473000</v>
          </cell>
          <cell r="D2738">
            <v>41244</v>
          </cell>
          <cell r="E2738">
            <v>60000</v>
          </cell>
          <cell r="F2738">
            <v>60000</v>
          </cell>
          <cell r="G2738">
            <v>54000</v>
          </cell>
          <cell r="H2738">
            <v>5000</v>
          </cell>
          <cell r="I2738">
            <v>6000</v>
          </cell>
        </row>
        <row r="2739">
          <cell r="A2739" t="str">
            <v>5100|473120</v>
          </cell>
          <cell r="B2739" t="str">
            <v>5100</v>
          </cell>
          <cell r="C2739">
            <v>473120</v>
          </cell>
          <cell r="D2739">
            <v>41244</v>
          </cell>
          <cell r="E2739">
            <v>36292427</v>
          </cell>
          <cell r="F2739">
            <v>36292427</v>
          </cell>
          <cell r="G2739">
            <v>38779705</v>
          </cell>
          <cell r="H2739">
            <v>3024370</v>
          </cell>
          <cell r="I2739">
            <v>6437333</v>
          </cell>
        </row>
        <row r="2740">
          <cell r="A2740" t="str">
            <v>5100|474100</v>
          </cell>
          <cell r="B2740" t="str">
            <v>5100</v>
          </cell>
          <cell r="C2740">
            <v>474100</v>
          </cell>
          <cell r="D2740">
            <v>41244</v>
          </cell>
          <cell r="E2740">
            <v>131684682</v>
          </cell>
          <cell r="F2740">
            <v>131684682</v>
          </cell>
          <cell r="G2740">
            <v>73015603</v>
          </cell>
          <cell r="H2740">
            <v>10973725</v>
          </cell>
          <cell r="I2740">
            <v>0</v>
          </cell>
        </row>
        <row r="2741">
          <cell r="A2741" t="str">
            <v>5100|474101</v>
          </cell>
          <cell r="B2741" t="str">
            <v>5100</v>
          </cell>
          <cell r="C2741">
            <v>474101</v>
          </cell>
          <cell r="D2741">
            <v>41244</v>
          </cell>
          <cell r="E2741">
            <v>3400000</v>
          </cell>
          <cell r="F2741">
            <v>3400000</v>
          </cell>
          <cell r="G2741">
            <v>4913617</v>
          </cell>
          <cell r="H2741">
            <v>283330</v>
          </cell>
          <cell r="I2741">
            <v>0</v>
          </cell>
        </row>
        <row r="2742">
          <cell r="A2742" t="str">
            <v>5100|475003</v>
          </cell>
          <cell r="B2742" t="str">
            <v>5100</v>
          </cell>
          <cell r="C2742">
            <v>475003</v>
          </cell>
          <cell r="D2742">
            <v>41244</v>
          </cell>
          <cell r="E2742">
            <v>3050000</v>
          </cell>
          <cell r="F2742">
            <v>3050000</v>
          </cell>
          <cell r="G2742">
            <v>2490000</v>
          </cell>
          <cell r="H2742">
            <v>254167</v>
          </cell>
          <cell r="I2742">
            <v>0</v>
          </cell>
        </row>
        <row r="2743">
          <cell r="A2743" t="str">
            <v>5100|475004</v>
          </cell>
          <cell r="B2743" t="str">
            <v>5100</v>
          </cell>
          <cell r="C2743">
            <v>475004</v>
          </cell>
          <cell r="D2743">
            <v>41244</v>
          </cell>
          <cell r="E2743">
            <v>39415448</v>
          </cell>
          <cell r="F2743">
            <v>39415448</v>
          </cell>
          <cell r="G2743">
            <v>37311340</v>
          </cell>
          <cell r="H2743">
            <v>3284620</v>
          </cell>
          <cell r="I2743">
            <v>4920000</v>
          </cell>
        </row>
        <row r="2744">
          <cell r="A2744" t="str">
            <v>5100|475005</v>
          </cell>
          <cell r="B2744" t="str">
            <v>5100</v>
          </cell>
          <cell r="C2744">
            <v>475005</v>
          </cell>
          <cell r="D2744">
            <v>41244</v>
          </cell>
          <cell r="E2744">
            <v>110000</v>
          </cell>
          <cell r="F2744">
            <v>110000</v>
          </cell>
          <cell r="G2744">
            <v>10000</v>
          </cell>
          <cell r="H2744">
            <v>9167</v>
          </cell>
          <cell r="I2744">
            <v>0</v>
          </cell>
        </row>
        <row r="2745">
          <cell r="A2745" t="str">
            <v>5100|475006</v>
          </cell>
          <cell r="B2745" t="str">
            <v>5100</v>
          </cell>
          <cell r="C2745">
            <v>475006</v>
          </cell>
          <cell r="D2745">
            <v>41244</v>
          </cell>
          <cell r="E2745">
            <v>16098526</v>
          </cell>
          <cell r="F2745">
            <v>16098526</v>
          </cell>
          <cell r="G2745">
            <v>16824903</v>
          </cell>
          <cell r="H2745">
            <v>1341543</v>
          </cell>
          <cell r="I2745">
            <v>942501</v>
          </cell>
        </row>
        <row r="2746">
          <cell r="A2746" t="str">
            <v>5100|476000</v>
          </cell>
          <cell r="B2746" t="str">
            <v>5100</v>
          </cell>
          <cell r="C2746">
            <v>476000</v>
          </cell>
          <cell r="D2746">
            <v>41244</v>
          </cell>
          <cell r="E2746">
            <v>16619085</v>
          </cell>
          <cell r="F2746">
            <v>16619085</v>
          </cell>
          <cell r="G2746">
            <v>13236639</v>
          </cell>
          <cell r="H2746">
            <v>1384924</v>
          </cell>
          <cell r="I2746">
            <v>0</v>
          </cell>
        </row>
        <row r="2747">
          <cell r="A2747" t="str">
            <v>5100|476001</v>
          </cell>
          <cell r="B2747" t="str">
            <v>5100</v>
          </cell>
          <cell r="C2747">
            <v>476001</v>
          </cell>
          <cell r="D2747">
            <v>41244</v>
          </cell>
          <cell r="E2747">
            <v>649000</v>
          </cell>
          <cell r="F2747">
            <v>649000</v>
          </cell>
          <cell r="G2747">
            <v>250000</v>
          </cell>
          <cell r="H2747">
            <v>54081</v>
          </cell>
          <cell r="I2747">
            <v>0</v>
          </cell>
        </row>
        <row r="2748">
          <cell r="A2748" t="str">
            <v>5100|476002</v>
          </cell>
          <cell r="B2748" t="str">
            <v>5100</v>
          </cell>
          <cell r="C2748">
            <v>476002</v>
          </cell>
          <cell r="D2748">
            <v>41244</v>
          </cell>
          <cell r="E2748">
            <v>8188242</v>
          </cell>
          <cell r="F2748">
            <v>8188242</v>
          </cell>
          <cell r="G2748">
            <v>6640018</v>
          </cell>
          <cell r="H2748">
            <v>682349</v>
          </cell>
          <cell r="I2748">
            <v>9314231</v>
          </cell>
        </row>
        <row r="2749">
          <cell r="A2749" t="str">
            <v>5100|476900</v>
          </cell>
          <cell r="B2749" t="str">
            <v>5100</v>
          </cell>
          <cell r="C2749">
            <v>476900</v>
          </cell>
          <cell r="D2749">
            <v>41244</v>
          </cell>
          <cell r="E2749">
            <v>13768061</v>
          </cell>
          <cell r="F2749">
            <v>13768061</v>
          </cell>
          <cell r="G2749">
            <v>1294700</v>
          </cell>
          <cell r="H2749">
            <v>1147338</v>
          </cell>
          <cell r="I2749">
            <v>0</v>
          </cell>
        </row>
        <row r="2750">
          <cell r="A2750" t="str">
            <v>5100|476910</v>
          </cell>
          <cell r="B2750" t="str">
            <v>5100</v>
          </cell>
          <cell r="C2750">
            <v>476910</v>
          </cell>
          <cell r="D2750">
            <v>41244</v>
          </cell>
          <cell r="E2750">
            <v>1000000</v>
          </cell>
          <cell r="F2750">
            <v>1000000</v>
          </cell>
          <cell r="G2750">
            <v>434000</v>
          </cell>
          <cell r="H2750">
            <v>83333</v>
          </cell>
          <cell r="I2750">
            <v>0</v>
          </cell>
        </row>
        <row r="2751">
          <cell r="A2751" t="str">
            <v>5100|477500</v>
          </cell>
          <cell r="B2751" t="str">
            <v>5100</v>
          </cell>
          <cell r="C2751">
            <v>477500</v>
          </cell>
          <cell r="D2751">
            <v>41244</v>
          </cell>
          <cell r="E2751">
            <v>1070000</v>
          </cell>
          <cell r="F2751">
            <v>1070000</v>
          </cell>
          <cell r="G2751">
            <v>0</v>
          </cell>
          <cell r="H2751">
            <v>89167</v>
          </cell>
          <cell r="I2751">
            <v>0</v>
          </cell>
        </row>
        <row r="2752">
          <cell r="A2752" t="str">
            <v>5200|211100</v>
          </cell>
          <cell r="B2752" t="str">
            <v>5200</v>
          </cell>
          <cell r="C2752">
            <v>211100</v>
          </cell>
          <cell r="D2752">
            <v>41244</v>
          </cell>
          <cell r="E2752">
            <v>0</v>
          </cell>
          <cell r="F2752">
            <v>0</v>
          </cell>
          <cell r="G2752">
            <v>32953158</v>
          </cell>
          <cell r="H2752">
            <v>0</v>
          </cell>
          <cell r="I2752">
            <v>2905818</v>
          </cell>
        </row>
        <row r="2753">
          <cell r="A2753" t="str">
            <v>5200|211104</v>
          </cell>
          <cell r="B2753" t="str">
            <v>5200</v>
          </cell>
          <cell r="C2753">
            <v>211104</v>
          </cell>
          <cell r="D2753">
            <v>41244</v>
          </cell>
          <cell r="E2753">
            <v>775339503</v>
          </cell>
          <cell r="F2753">
            <v>775339503</v>
          </cell>
          <cell r="G2753">
            <v>627480158</v>
          </cell>
          <cell r="H2753">
            <v>64611625</v>
          </cell>
          <cell r="I2753">
            <v>61507212</v>
          </cell>
        </row>
        <row r="2754">
          <cell r="A2754" t="str">
            <v>5200|246000</v>
          </cell>
          <cell r="B2754" t="str">
            <v>5200</v>
          </cell>
          <cell r="C2754">
            <v>246000</v>
          </cell>
          <cell r="D2754">
            <v>41244</v>
          </cell>
          <cell r="E2754">
            <v>165000000</v>
          </cell>
          <cell r="F2754">
            <v>165000000</v>
          </cell>
          <cell r="G2754">
            <v>143560400</v>
          </cell>
          <cell r="H2754">
            <v>13750000</v>
          </cell>
          <cell r="I2754">
            <v>82901000</v>
          </cell>
        </row>
        <row r="2755">
          <cell r="A2755" t="str">
            <v>5200|400040</v>
          </cell>
          <cell r="B2755" t="str">
            <v>5200</v>
          </cell>
          <cell r="C2755">
            <v>400040</v>
          </cell>
          <cell r="D2755">
            <v>41244</v>
          </cell>
          <cell r="E2755">
            <v>105000000</v>
          </cell>
          <cell r="F2755">
            <v>105000000</v>
          </cell>
          <cell r="G2755">
            <v>87561234</v>
          </cell>
          <cell r="H2755">
            <v>8750000</v>
          </cell>
          <cell r="I2755">
            <v>11197128</v>
          </cell>
        </row>
        <row r="2756">
          <cell r="A2756" t="str">
            <v>5200|405200</v>
          </cell>
          <cell r="B2756" t="str">
            <v>5200</v>
          </cell>
          <cell r="C2756">
            <v>405200</v>
          </cell>
          <cell r="D2756">
            <v>41244</v>
          </cell>
          <cell r="E2756">
            <v>2000000</v>
          </cell>
          <cell r="F2756">
            <v>2000000</v>
          </cell>
          <cell r="G2756">
            <v>0</v>
          </cell>
          <cell r="H2756">
            <v>166667</v>
          </cell>
          <cell r="I2756">
            <v>0</v>
          </cell>
        </row>
        <row r="2757">
          <cell r="A2757" t="str">
            <v>5200|405250</v>
          </cell>
          <cell r="B2757" t="str">
            <v>5200</v>
          </cell>
          <cell r="C2757">
            <v>405250</v>
          </cell>
          <cell r="D2757">
            <v>41244</v>
          </cell>
          <cell r="E2757">
            <v>59000000</v>
          </cell>
          <cell r="F2757">
            <v>59000000</v>
          </cell>
          <cell r="G2757">
            <v>58782104</v>
          </cell>
          <cell r="H2757">
            <v>4916667</v>
          </cell>
          <cell r="I2757">
            <v>18490640</v>
          </cell>
        </row>
        <row r="2758">
          <cell r="A2758" t="str">
            <v>5200|405252</v>
          </cell>
          <cell r="B2758" t="str">
            <v>5200</v>
          </cell>
          <cell r="C2758">
            <v>405252</v>
          </cell>
          <cell r="D2758">
            <v>41244</v>
          </cell>
          <cell r="E2758">
            <v>150000</v>
          </cell>
          <cell r="F2758">
            <v>150000</v>
          </cell>
          <cell r="G2758">
            <v>0</v>
          </cell>
          <cell r="H2758">
            <v>12500</v>
          </cell>
          <cell r="I2758">
            <v>0</v>
          </cell>
        </row>
        <row r="2759">
          <cell r="A2759" t="str">
            <v>5200|416102</v>
          </cell>
          <cell r="B2759" t="str">
            <v>5200</v>
          </cell>
          <cell r="C2759">
            <v>416102</v>
          </cell>
          <cell r="D2759">
            <v>41244</v>
          </cell>
          <cell r="E2759">
            <v>1562500000</v>
          </cell>
          <cell r="F2759">
            <v>1562500000</v>
          </cell>
          <cell r="G2759">
            <v>1799966277</v>
          </cell>
          <cell r="H2759">
            <v>130208333</v>
          </cell>
          <cell r="I2759">
            <v>253667537</v>
          </cell>
        </row>
        <row r="2760">
          <cell r="A2760" t="str">
            <v>5200|416103</v>
          </cell>
          <cell r="B2760" t="str">
            <v>5200</v>
          </cell>
          <cell r="C2760">
            <v>416103</v>
          </cell>
          <cell r="D2760">
            <v>41244</v>
          </cell>
          <cell r="E2760">
            <v>299286200</v>
          </cell>
          <cell r="F2760">
            <v>299286200</v>
          </cell>
          <cell r="G2760">
            <v>425371074</v>
          </cell>
          <cell r="H2760">
            <v>24940517</v>
          </cell>
          <cell r="I2760">
            <v>56860578</v>
          </cell>
        </row>
        <row r="2761">
          <cell r="A2761" t="str">
            <v>5200|416302</v>
          </cell>
          <cell r="B2761" t="str">
            <v>5200</v>
          </cell>
          <cell r="C2761">
            <v>416302</v>
          </cell>
          <cell r="D2761">
            <v>41244</v>
          </cell>
          <cell r="E2761">
            <v>108000000</v>
          </cell>
          <cell r="F2761">
            <v>108000000</v>
          </cell>
          <cell r="G2761">
            <v>69706880</v>
          </cell>
          <cell r="H2761">
            <v>9000000</v>
          </cell>
          <cell r="I2761">
            <v>915105</v>
          </cell>
        </row>
        <row r="2762">
          <cell r="A2762" t="str">
            <v>5200|420000</v>
          </cell>
          <cell r="B2762" t="str">
            <v>5200</v>
          </cell>
          <cell r="C2762">
            <v>420000</v>
          </cell>
          <cell r="D2762">
            <v>41244</v>
          </cell>
          <cell r="E2762">
            <v>802341196</v>
          </cell>
          <cell r="F2762">
            <v>802341196</v>
          </cell>
          <cell r="G2762">
            <v>690404486</v>
          </cell>
          <cell r="H2762">
            <v>66861766</v>
          </cell>
          <cell r="I2762">
            <v>56275940</v>
          </cell>
        </row>
        <row r="2763">
          <cell r="A2763" t="str">
            <v>5200|420001</v>
          </cell>
          <cell r="B2763" t="str">
            <v>5200</v>
          </cell>
          <cell r="C2763">
            <v>420001</v>
          </cell>
          <cell r="D2763">
            <v>41244</v>
          </cell>
          <cell r="E2763">
            <v>577303487</v>
          </cell>
          <cell r="F2763">
            <v>577303487</v>
          </cell>
          <cell r="G2763">
            <v>609496314</v>
          </cell>
          <cell r="H2763">
            <v>48108624</v>
          </cell>
          <cell r="I2763">
            <v>48517812</v>
          </cell>
        </row>
        <row r="2764">
          <cell r="A2764" t="str">
            <v>5200|420002</v>
          </cell>
          <cell r="B2764" t="str">
            <v>5200</v>
          </cell>
          <cell r="C2764">
            <v>420002</v>
          </cell>
          <cell r="D2764">
            <v>41244</v>
          </cell>
          <cell r="E2764">
            <v>71303847</v>
          </cell>
          <cell r="F2764">
            <v>71303847</v>
          </cell>
          <cell r="G2764">
            <v>74043000</v>
          </cell>
          <cell r="H2764">
            <v>5941987</v>
          </cell>
          <cell r="I2764">
            <v>6225000</v>
          </cell>
        </row>
        <row r="2765">
          <cell r="A2765" t="str">
            <v>5200|420003</v>
          </cell>
          <cell r="B2765" t="str">
            <v>5200</v>
          </cell>
          <cell r="C2765">
            <v>420003</v>
          </cell>
          <cell r="D2765">
            <v>41244</v>
          </cell>
          <cell r="E2765">
            <v>490402822</v>
          </cell>
          <cell r="F2765">
            <v>490402822</v>
          </cell>
          <cell r="G2765">
            <v>568092134</v>
          </cell>
          <cell r="H2765">
            <v>40866902</v>
          </cell>
          <cell r="I2765">
            <v>51229832</v>
          </cell>
        </row>
        <row r="2766">
          <cell r="A2766" t="str">
            <v>5200|422000</v>
          </cell>
          <cell r="B2766" t="str">
            <v>5200</v>
          </cell>
          <cell r="C2766">
            <v>422000</v>
          </cell>
          <cell r="D2766">
            <v>41244</v>
          </cell>
          <cell r="E2766">
            <v>2015940</v>
          </cell>
          <cell r="F2766">
            <v>2015940</v>
          </cell>
          <cell r="G2766">
            <v>2162149</v>
          </cell>
          <cell r="H2766">
            <v>167995</v>
          </cell>
          <cell r="I2766">
            <v>0</v>
          </cell>
        </row>
        <row r="2767">
          <cell r="A2767" t="str">
            <v>5200|422001</v>
          </cell>
          <cell r="B2767" t="str">
            <v>5200</v>
          </cell>
          <cell r="C2767">
            <v>422001</v>
          </cell>
          <cell r="D2767">
            <v>41244</v>
          </cell>
          <cell r="E2767">
            <v>4333703</v>
          </cell>
          <cell r="F2767">
            <v>4333703</v>
          </cell>
          <cell r="G2767">
            <v>1396303</v>
          </cell>
          <cell r="H2767">
            <v>361142</v>
          </cell>
          <cell r="I2767">
            <v>0</v>
          </cell>
        </row>
        <row r="2768">
          <cell r="A2768" t="str">
            <v>5200|422002</v>
          </cell>
          <cell r="B2768" t="str">
            <v>5200</v>
          </cell>
          <cell r="C2768">
            <v>422002</v>
          </cell>
          <cell r="D2768">
            <v>41244</v>
          </cell>
          <cell r="E2768">
            <v>0</v>
          </cell>
          <cell r="F2768">
            <v>0</v>
          </cell>
          <cell r="G2768">
            <v>97050</v>
          </cell>
          <cell r="H2768">
            <v>0</v>
          </cell>
          <cell r="I2768">
            <v>0</v>
          </cell>
        </row>
        <row r="2769">
          <cell r="A2769" t="str">
            <v>5200|422003</v>
          </cell>
          <cell r="B2769" t="str">
            <v>5200</v>
          </cell>
          <cell r="C2769">
            <v>422003</v>
          </cell>
          <cell r="D2769">
            <v>41244</v>
          </cell>
          <cell r="E2769">
            <v>0</v>
          </cell>
          <cell r="F2769">
            <v>0</v>
          </cell>
          <cell r="G2769">
            <v>281200</v>
          </cell>
          <cell r="H2769">
            <v>0</v>
          </cell>
          <cell r="I2769">
            <v>0</v>
          </cell>
        </row>
        <row r="2770">
          <cell r="A2770" t="str">
            <v>5200|430010</v>
          </cell>
          <cell r="B2770" t="str">
            <v>5200</v>
          </cell>
          <cell r="C2770">
            <v>430010</v>
          </cell>
          <cell r="D2770">
            <v>41244</v>
          </cell>
          <cell r="E2770">
            <v>0</v>
          </cell>
          <cell r="F2770">
            <v>0</v>
          </cell>
          <cell r="G2770">
            <v>5495250</v>
          </cell>
          <cell r="H2770">
            <v>0</v>
          </cell>
          <cell r="I2770">
            <v>0</v>
          </cell>
        </row>
        <row r="2771">
          <cell r="A2771" t="str">
            <v>5200|431000</v>
          </cell>
          <cell r="B2771" t="str">
            <v>5200</v>
          </cell>
          <cell r="C2771">
            <v>431000</v>
          </cell>
          <cell r="D2771">
            <v>41244</v>
          </cell>
          <cell r="E2771">
            <v>120000000</v>
          </cell>
          <cell r="F2771">
            <v>120000000</v>
          </cell>
          <cell r="G2771">
            <v>322911743</v>
          </cell>
          <cell r="H2771">
            <v>10000000</v>
          </cell>
          <cell r="I2771">
            <v>26087895</v>
          </cell>
        </row>
        <row r="2772">
          <cell r="A2772" t="str">
            <v>5200|431001</v>
          </cell>
          <cell r="B2772" t="str">
            <v>5200</v>
          </cell>
          <cell r="C2772">
            <v>431001</v>
          </cell>
          <cell r="D2772">
            <v>41244</v>
          </cell>
          <cell r="E2772">
            <v>109203482</v>
          </cell>
          <cell r="F2772">
            <v>109203482</v>
          </cell>
          <cell r="G2772">
            <v>174707132</v>
          </cell>
          <cell r="H2772">
            <v>9100290</v>
          </cell>
          <cell r="I2772">
            <v>15025776</v>
          </cell>
        </row>
        <row r="2773">
          <cell r="A2773" t="str">
            <v>5200|431002</v>
          </cell>
          <cell r="B2773" t="str">
            <v>5200</v>
          </cell>
          <cell r="C2773">
            <v>431002</v>
          </cell>
          <cell r="D2773">
            <v>41244</v>
          </cell>
          <cell r="E2773">
            <v>13422869</v>
          </cell>
          <cell r="F2773">
            <v>13422869</v>
          </cell>
          <cell r="G2773">
            <v>23659205</v>
          </cell>
          <cell r="H2773">
            <v>1118572</v>
          </cell>
          <cell r="I2773">
            <v>794920</v>
          </cell>
        </row>
        <row r="2774">
          <cell r="A2774" t="str">
            <v>5200|433001</v>
          </cell>
          <cell r="B2774" t="str">
            <v>5200</v>
          </cell>
          <cell r="C2774">
            <v>433001</v>
          </cell>
          <cell r="D2774">
            <v>41244</v>
          </cell>
          <cell r="E2774">
            <v>3549380</v>
          </cell>
          <cell r="F2774">
            <v>3549380</v>
          </cell>
          <cell r="G2774">
            <v>3862950</v>
          </cell>
          <cell r="H2774">
            <v>295782</v>
          </cell>
          <cell r="I2774">
            <v>324775</v>
          </cell>
        </row>
        <row r="2775">
          <cell r="A2775" t="str">
            <v>5200|434010</v>
          </cell>
          <cell r="B2775" t="str">
            <v>5200</v>
          </cell>
          <cell r="C2775">
            <v>434010</v>
          </cell>
          <cell r="D2775">
            <v>41244</v>
          </cell>
          <cell r="E2775">
            <v>0</v>
          </cell>
          <cell r="F2775">
            <v>0</v>
          </cell>
          <cell r="G2775">
            <v>8807427</v>
          </cell>
          <cell r="H2775">
            <v>0</v>
          </cell>
          <cell r="I2775">
            <v>2652323</v>
          </cell>
        </row>
        <row r="2776">
          <cell r="A2776" t="str">
            <v>5200|434011</v>
          </cell>
          <cell r="B2776" t="str">
            <v>5200</v>
          </cell>
          <cell r="C2776">
            <v>434011</v>
          </cell>
          <cell r="D2776">
            <v>41244</v>
          </cell>
          <cell r="E2776">
            <v>5141250</v>
          </cell>
          <cell r="F2776">
            <v>5141250</v>
          </cell>
          <cell r="G2776">
            <v>19281597</v>
          </cell>
          <cell r="H2776">
            <v>428437</v>
          </cell>
          <cell r="I2776">
            <v>3366035</v>
          </cell>
        </row>
        <row r="2777">
          <cell r="A2777" t="str">
            <v>5200|434012</v>
          </cell>
          <cell r="B2777" t="str">
            <v>5200</v>
          </cell>
          <cell r="C2777">
            <v>434012</v>
          </cell>
          <cell r="D2777">
            <v>41244</v>
          </cell>
          <cell r="E2777">
            <v>0</v>
          </cell>
          <cell r="F2777">
            <v>0</v>
          </cell>
          <cell r="G2777">
            <v>2799543</v>
          </cell>
          <cell r="H2777">
            <v>0</v>
          </cell>
          <cell r="I2777">
            <v>982145</v>
          </cell>
        </row>
        <row r="2778">
          <cell r="A2778" t="str">
            <v>5200|434013</v>
          </cell>
          <cell r="B2778" t="str">
            <v>5200</v>
          </cell>
          <cell r="C2778">
            <v>434013</v>
          </cell>
          <cell r="D2778">
            <v>41244</v>
          </cell>
          <cell r="E2778">
            <v>34131000</v>
          </cell>
          <cell r="F2778">
            <v>34131000</v>
          </cell>
          <cell r="G2778">
            <v>37933879</v>
          </cell>
          <cell r="H2778">
            <v>2844250</v>
          </cell>
          <cell r="I2778">
            <v>5466384</v>
          </cell>
        </row>
        <row r="2779">
          <cell r="A2779" t="str">
            <v>5200|435000</v>
          </cell>
          <cell r="B2779" t="str">
            <v>5200</v>
          </cell>
          <cell r="C2779">
            <v>435000</v>
          </cell>
          <cell r="D2779">
            <v>41244</v>
          </cell>
          <cell r="E2779">
            <v>72263869</v>
          </cell>
          <cell r="F2779">
            <v>72263869</v>
          </cell>
          <cell r="G2779">
            <v>65461913</v>
          </cell>
          <cell r="H2779">
            <v>6021989</v>
          </cell>
          <cell r="I2779">
            <v>42486090</v>
          </cell>
        </row>
        <row r="2780">
          <cell r="A2780" t="str">
            <v>5200|435001</v>
          </cell>
          <cell r="B2780" t="str">
            <v>5200</v>
          </cell>
          <cell r="C2780">
            <v>435001</v>
          </cell>
          <cell r="D2780">
            <v>41244</v>
          </cell>
          <cell r="E2780">
            <v>53510727</v>
          </cell>
          <cell r="F2780">
            <v>53510727</v>
          </cell>
          <cell r="G2780">
            <v>55538903</v>
          </cell>
          <cell r="H2780">
            <v>4459227</v>
          </cell>
          <cell r="I2780">
            <v>44430961</v>
          </cell>
        </row>
        <row r="2781">
          <cell r="A2781" t="str">
            <v>5200|435002</v>
          </cell>
          <cell r="B2781" t="str">
            <v>5200</v>
          </cell>
          <cell r="C2781">
            <v>435002</v>
          </cell>
          <cell r="D2781">
            <v>41244</v>
          </cell>
          <cell r="E2781">
            <v>5941987</v>
          </cell>
          <cell r="F2781">
            <v>5941987</v>
          </cell>
          <cell r="G2781">
            <v>6225000</v>
          </cell>
          <cell r="H2781">
            <v>495166</v>
          </cell>
          <cell r="I2781">
            <v>6225000</v>
          </cell>
        </row>
        <row r="2782">
          <cell r="A2782" t="str">
            <v>5200|435003</v>
          </cell>
          <cell r="B2782" t="str">
            <v>5200</v>
          </cell>
          <cell r="C2782">
            <v>435003</v>
          </cell>
          <cell r="D2782">
            <v>41244</v>
          </cell>
          <cell r="E2782">
            <v>61300353</v>
          </cell>
          <cell r="F2782">
            <v>61300353</v>
          </cell>
          <cell r="G2782">
            <v>68766781</v>
          </cell>
          <cell r="H2782">
            <v>5108363</v>
          </cell>
          <cell r="I2782">
            <v>0</v>
          </cell>
        </row>
        <row r="2783">
          <cell r="A2783" t="str">
            <v>5200|439000</v>
          </cell>
          <cell r="B2783" t="str">
            <v>5200</v>
          </cell>
          <cell r="C2783">
            <v>439000</v>
          </cell>
          <cell r="D2783">
            <v>41244</v>
          </cell>
          <cell r="E2783">
            <v>120429248</v>
          </cell>
          <cell r="F2783">
            <v>120429248</v>
          </cell>
          <cell r="G2783">
            <v>140699487</v>
          </cell>
          <cell r="H2783">
            <v>10035771</v>
          </cell>
          <cell r="I2783">
            <v>0</v>
          </cell>
        </row>
        <row r="2784">
          <cell r="A2784" t="str">
            <v>5200|439001</v>
          </cell>
          <cell r="B2784" t="str">
            <v>5200</v>
          </cell>
          <cell r="C2784">
            <v>439001</v>
          </cell>
          <cell r="D2784">
            <v>41244</v>
          </cell>
          <cell r="E2784">
            <v>132081904</v>
          </cell>
          <cell r="F2784">
            <v>132081904</v>
          </cell>
          <cell r="G2784">
            <v>149365065</v>
          </cell>
          <cell r="H2784">
            <v>11006825</v>
          </cell>
          <cell r="I2784">
            <v>0</v>
          </cell>
        </row>
        <row r="2785">
          <cell r="A2785" t="str">
            <v>5200|439003</v>
          </cell>
          <cell r="B2785" t="str">
            <v>5200</v>
          </cell>
          <cell r="C2785">
            <v>439003</v>
          </cell>
          <cell r="D2785">
            <v>41244</v>
          </cell>
          <cell r="E2785">
            <v>132166901</v>
          </cell>
          <cell r="F2785">
            <v>132166901</v>
          </cell>
          <cell r="G2785">
            <v>252427796</v>
          </cell>
          <cell r="H2785">
            <v>11013908</v>
          </cell>
          <cell r="I2785">
            <v>33186399</v>
          </cell>
        </row>
        <row r="2786">
          <cell r="A2786" t="str">
            <v>5200|439008</v>
          </cell>
          <cell r="B2786" t="str">
            <v>5200</v>
          </cell>
          <cell r="C2786">
            <v>439008</v>
          </cell>
          <cell r="D2786">
            <v>41244</v>
          </cell>
          <cell r="E2786">
            <v>16368905</v>
          </cell>
          <cell r="F2786">
            <v>16368905</v>
          </cell>
          <cell r="G2786">
            <v>22346622</v>
          </cell>
          <cell r="H2786">
            <v>1364075</v>
          </cell>
          <cell r="I2786">
            <v>0</v>
          </cell>
        </row>
        <row r="2787">
          <cell r="A2787" t="str">
            <v>5200|439100</v>
          </cell>
          <cell r="B2787" t="str">
            <v>5200</v>
          </cell>
          <cell r="C2787">
            <v>439100</v>
          </cell>
          <cell r="D2787">
            <v>41244</v>
          </cell>
          <cell r="E2787">
            <v>0</v>
          </cell>
          <cell r="F2787">
            <v>0</v>
          </cell>
          <cell r="G2787">
            <v>500000</v>
          </cell>
          <cell r="H2787">
            <v>0</v>
          </cell>
          <cell r="I2787">
            <v>0</v>
          </cell>
        </row>
        <row r="2788">
          <cell r="A2788" t="str">
            <v>5200|439101</v>
          </cell>
          <cell r="B2788" t="str">
            <v>5200</v>
          </cell>
          <cell r="C2788">
            <v>439101</v>
          </cell>
          <cell r="D2788">
            <v>41244</v>
          </cell>
          <cell r="E2788">
            <v>0</v>
          </cell>
          <cell r="F2788">
            <v>0</v>
          </cell>
          <cell r="G2788">
            <v>500000</v>
          </cell>
          <cell r="H2788">
            <v>0</v>
          </cell>
          <cell r="I2788">
            <v>0</v>
          </cell>
        </row>
        <row r="2789">
          <cell r="A2789" t="str">
            <v>5200|439103</v>
          </cell>
          <cell r="B2789" t="str">
            <v>5200</v>
          </cell>
          <cell r="C2789">
            <v>439103</v>
          </cell>
          <cell r="D2789">
            <v>41244</v>
          </cell>
          <cell r="E2789">
            <v>0</v>
          </cell>
          <cell r="F2789">
            <v>0</v>
          </cell>
          <cell r="G2789">
            <v>500000</v>
          </cell>
          <cell r="H2789">
            <v>0</v>
          </cell>
          <cell r="I2789">
            <v>0</v>
          </cell>
        </row>
        <row r="2790">
          <cell r="A2790" t="str">
            <v>5200|439200</v>
          </cell>
          <cell r="B2790" t="str">
            <v>5200</v>
          </cell>
          <cell r="C2790">
            <v>439200</v>
          </cell>
          <cell r="D2790">
            <v>41244</v>
          </cell>
          <cell r="E2790">
            <v>14530286</v>
          </cell>
          <cell r="F2790">
            <v>14530286</v>
          </cell>
          <cell r="G2790">
            <v>3162750</v>
          </cell>
          <cell r="H2790">
            <v>1210857</v>
          </cell>
          <cell r="I2790">
            <v>0</v>
          </cell>
        </row>
        <row r="2791">
          <cell r="A2791" t="str">
            <v>5200|439201</v>
          </cell>
          <cell r="B2791" t="str">
            <v>5200</v>
          </cell>
          <cell r="C2791">
            <v>439201</v>
          </cell>
          <cell r="D2791">
            <v>41244</v>
          </cell>
          <cell r="E2791">
            <v>6000000</v>
          </cell>
          <cell r="F2791">
            <v>6000000</v>
          </cell>
          <cell r="G2791">
            <v>6800000</v>
          </cell>
          <cell r="H2791">
            <v>500000</v>
          </cell>
          <cell r="I2791">
            <v>500000</v>
          </cell>
        </row>
        <row r="2792">
          <cell r="A2792" t="str">
            <v>5200|439202</v>
          </cell>
          <cell r="B2792" t="str">
            <v>5200</v>
          </cell>
          <cell r="C2792">
            <v>439202</v>
          </cell>
          <cell r="D2792">
            <v>41244</v>
          </cell>
          <cell r="E2792">
            <v>0</v>
          </cell>
          <cell r="F2792">
            <v>0</v>
          </cell>
          <cell r="G2792">
            <v>209000</v>
          </cell>
          <cell r="H2792">
            <v>0</v>
          </cell>
          <cell r="I2792">
            <v>0</v>
          </cell>
        </row>
        <row r="2793">
          <cell r="A2793" t="str">
            <v>5200|439203</v>
          </cell>
          <cell r="B2793" t="str">
            <v>5200</v>
          </cell>
          <cell r="C2793">
            <v>439203</v>
          </cell>
          <cell r="D2793">
            <v>41244</v>
          </cell>
          <cell r="E2793">
            <v>0</v>
          </cell>
          <cell r="F2793">
            <v>0</v>
          </cell>
          <cell r="G2793">
            <v>677000</v>
          </cell>
          <cell r="H2793">
            <v>0</v>
          </cell>
          <cell r="I2793">
            <v>0</v>
          </cell>
        </row>
        <row r="2794">
          <cell r="A2794" t="str">
            <v>5200|440000</v>
          </cell>
          <cell r="B2794" t="str">
            <v>5200</v>
          </cell>
          <cell r="C2794">
            <v>440000</v>
          </cell>
          <cell r="D2794">
            <v>41244</v>
          </cell>
          <cell r="E2794">
            <v>72263869</v>
          </cell>
          <cell r="F2794">
            <v>72263869</v>
          </cell>
          <cell r="G2794">
            <v>62576833</v>
          </cell>
          <cell r="H2794">
            <v>6021989</v>
          </cell>
          <cell r="I2794">
            <v>4682971</v>
          </cell>
        </row>
        <row r="2795">
          <cell r="A2795" t="str">
            <v>5200|440001</v>
          </cell>
          <cell r="B2795" t="str">
            <v>5200</v>
          </cell>
          <cell r="C2795">
            <v>440001</v>
          </cell>
          <cell r="D2795">
            <v>41244</v>
          </cell>
          <cell r="E2795">
            <v>53510727</v>
          </cell>
          <cell r="F2795">
            <v>53510727</v>
          </cell>
          <cell r="G2795">
            <v>54723518</v>
          </cell>
          <cell r="H2795">
            <v>4459227</v>
          </cell>
          <cell r="I2795">
            <v>3567815</v>
          </cell>
        </row>
        <row r="2796">
          <cell r="A2796" t="str">
            <v>5200|440002</v>
          </cell>
          <cell r="B2796" t="str">
            <v>5200</v>
          </cell>
          <cell r="C2796">
            <v>440002</v>
          </cell>
          <cell r="D2796">
            <v>41244</v>
          </cell>
          <cell r="E2796">
            <v>5941987</v>
          </cell>
          <cell r="F2796">
            <v>5941987</v>
          </cell>
          <cell r="G2796">
            <v>5951197</v>
          </cell>
          <cell r="H2796">
            <v>495166</v>
          </cell>
          <cell r="I2796">
            <v>558485</v>
          </cell>
        </row>
        <row r="2797">
          <cell r="A2797" t="str">
            <v>5200|440003</v>
          </cell>
          <cell r="B2797" t="str">
            <v>5200</v>
          </cell>
          <cell r="C2797">
            <v>440003</v>
          </cell>
          <cell r="D2797">
            <v>41244</v>
          </cell>
          <cell r="E2797">
            <v>51671107</v>
          </cell>
          <cell r="F2797">
            <v>51671107</v>
          </cell>
          <cell r="G2797">
            <v>51055085</v>
          </cell>
          <cell r="H2797">
            <v>4305926</v>
          </cell>
          <cell r="I2797">
            <v>4733128</v>
          </cell>
        </row>
        <row r="2798">
          <cell r="A2798" t="str">
            <v>5200|446000</v>
          </cell>
          <cell r="B2798" t="str">
            <v>5200</v>
          </cell>
          <cell r="C2798">
            <v>446000</v>
          </cell>
          <cell r="D2798">
            <v>41244</v>
          </cell>
          <cell r="E2798">
            <v>15290857</v>
          </cell>
          <cell r="F2798">
            <v>15290857</v>
          </cell>
          <cell r="G2798">
            <v>22123516</v>
          </cell>
          <cell r="H2798">
            <v>1274238</v>
          </cell>
          <cell r="I2798">
            <v>2600000</v>
          </cell>
        </row>
        <row r="2799">
          <cell r="A2799" t="str">
            <v>5200|446001</v>
          </cell>
          <cell r="B2799" t="str">
            <v>5200</v>
          </cell>
          <cell r="C2799">
            <v>446001</v>
          </cell>
          <cell r="D2799">
            <v>41244</v>
          </cell>
          <cell r="E2799">
            <v>6768235</v>
          </cell>
          <cell r="F2799">
            <v>6768235</v>
          </cell>
          <cell r="G2799">
            <v>56648397</v>
          </cell>
          <cell r="H2799">
            <v>564020</v>
          </cell>
          <cell r="I2799">
            <v>2250000</v>
          </cell>
        </row>
        <row r="2800">
          <cell r="A2800" t="str">
            <v>5200|446002</v>
          </cell>
          <cell r="B2800" t="str">
            <v>5200</v>
          </cell>
          <cell r="C2800">
            <v>446002</v>
          </cell>
          <cell r="D2800">
            <v>41244</v>
          </cell>
          <cell r="E2800">
            <v>2970994</v>
          </cell>
          <cell r="F2800">
            <v>2970994</v>
          </cell>
          <cell r="G2800">
            <v>3065960</v>
          </cell>
          <cell r="H2800">
            <v>247583</v>
          </cell>
          <cell r="I2800">
            <v>200000</v>
          </cell>
        </row>
        <row r="2801">
          <cell r="A2801" t="str">
            <v>5200|447000</v>
          </cell>
          <cell r="B2801" t="str">
            <v>5200</v>
          </cell>
          <cell r="C2801">
            <v>447000</v>
          </cell>
          <cell r="D2801">
            <v>41244</v>
          </cell>
          <cell r="E2801">
            <v>13296697</v>
          </cell>
          <cell r="F2801">
            <v>13296697</v>
          </cell>
          <cell r="G2801">
            <v>10604722</v>
          </cell>
          <cell r="H2801">
            <v>1108058</v>
          </cell>
          <cell r="I2801">
            <v>898317</v>
          </cell>
        </row>
        <row r="2802">
          <cell r="A2802" t="str">
            <v>5200|447001</v>
          </cell>
          <cell r="B2802" t="str">
            <v>5200</v>
          </cell>
          <cell r="C2802">
            <v>447001</v>
          </cell>
          <cell r="D2802">
            <v>41244</v>
          </cell>
          <cell r="E2802">
            <v>11669968</v>
          </cell>
          <cell r="F2802">
            <v>11669968</v>
          </cell>
          <cell r="G2802">
            <v>8675260</v>
          </cell>
          <cell r="H2802">
            <v>972497</v>
          </cell>
          <cell r="I2802">
            <v>703601</v>
          </cell>
        </row>
        <row r="2803">
          <cell r="A2803" t="str">
            <v>5200|447002</v>
          </cell>
          <cell r="B2803" t="str">
            <v>5200</v>
          </cell>
          <cell r="C2803">
            <v>447002</v>
          </cell>
          <cell r="D2803">
            <v>41244</v>
          </cell>
          <cell r="E2803">
            <v>2072652</v>
          </cell>
          <cell r="F2803">
            <v>2072652</v>
          </cell>
          <cell r="G2803">
            <v>1161547</v>
          </cell>
          <cell r="H2803">
            <v>172721</v>
          </cell>
          <cell r="I2803">
            <v>97733</v>
          </cell>
        </row>
        <row r="2804">
          <cell r="A2804" t="str">
            <v>5200|447003</v>
          </cell>
          <cell r="B2804" t="str">
            <v>5200</v>
          </cell>
          <cell r="C2804">
            <v>447003</v>
          </cell>
          <cell r="D2804">
            <v>41244</v>
          </cell>
          <cell r="E2804">
            <v>3693693</v>
          </cell>
          <cell r="F2804">
            <v>3693693</v>
          </cell>
          <cell r="G2804">
            <v>10760148</v>
          </cell>
          <cell r="H2804">
            <v>307808</v>
          </cell>
          <cell r="I2804">
            <v>952159</v>
          </cell>
        </row>
        <row r="2805">
          <cell r="A2805" t="str">
            <v>5200|447010</v>
          </cell>
          <cell r="B2805" t="str">
            <v>5200</v>
          </cell>
          <cell r="C2805">
            <v>447010</v>
          </cell>
          <cell r="D2805">
            <v>41244</v>
          </cell>
          <cell r="E2805">
            <v>31336165</v>
          </cell>
          <cell r="F2805">
            <v>31336165</v>
          </cell>
          <cell r="G2805">
            <v>24992004</v>
          </cell>
          <cell r="H2805">
            <v>2611347</v>
          </cell>
          <cell r="I2805">
            <v>2117055</v>
          </cell>
        </row>
        <row r="2806">
          <cell r="A2806" t="str">
            <v>5200|447011</v>
          </cell>
          <cell r="B2806" t="str">
            <v>5200</v>
          </cell>
          <cell r="C2806">
            <v>447011</v>
          </cell>
          <cell r="D2806">
            <v>41244</v>
          </cell>
          <cell r="E2806">
            <v>27502471</v>
          </cell>
          <cell r="F2806">
            <v>27502471</v>
          </cell>
          <cell r="G2806">
            <v>22320192</v>
          </cell>
          <cell r="H2806">
            <v>2291873</v>
          </cell>
          <cell r="I2806">
            <v>1815831</v>
          </cell>
        </row>
        <row r="2807">
          <cell r="A2807" t="str">
            <v>5200|447012</v>
          </cell>
          <cell r="B2807" t="str">
            <v>5200</v>
          </cell>
          <cell r="C2807">
            <v>447012</v>
          </cell>
          <cell r="D2807">
            <v>41244</v>
          </cell>
          <cell r="E2807">
            <v>4884593</v>
          </cell>
          <cell r="F2807">
            <v>4884593</v>
          </cell>
          <cell r="G2807">
            <v>2737392</v>
          </cell>
          <cell r="H2807">
            <v>407049</v>
          </cell>
          <cell r="I2807">
            <v>230325</v>
          </cell>
        </row>
        <row r="2808">
          <cell r="A2808" t="str">
            <v>5200|447013</v>
          </cell>
          <cell r="B2808" t="str">
            <v>5200</v>
          </cell>
          <cell r="C2808">
            <v>447013</v>
          </cell>
          <cell r="D2808">
            <v>41244</v>
          </cell>
          <cell r="E2808">
            <v>8704880</v>
          </cell>
          <cell r="F2808">
            <v>8704880</v>
          </cell>
          <cell r="G2808">
            <v>25358298</v>
          </cell>
          <cell r="H2808">
            <v>725407</v>
          </cell>
          <cell r="I2808">
            <v>2243940</v>
          </cell>
        </row>
        <row r="2809">
          <cell r="A2809" t="str">
            <v>5200|447020</v>
          </cell>
          <cell r="B2809" t="str">
            <v>5200</v>
          </cell>
          <cell r="C2809">
            <v>447020</v>
          </cell>
          <cell r="D2809">
            <v>41244</v>
          </cell>
          <cell r="E2809">
            <v>1329670</v>
          </cell>
          <cell r="F2809">
            <v>1329670</v>
          </cell>
          <cell r="G2809">
            <v>1542473</v>
          </cell>
          <cell r="H2809">
            <v>110806</v>
          </cell>
          <cell r="I2809">
            <v>132850</v>
          </cell>
        </row>
        <row r="2810">
          <cell r="A2810" t="str">
            <v>5200|447021</v>
          </cell>
          <cell r="B2810" t="str">
            <v>5200</v>
          </cell>
          <cell r="C2810">
            <v>447021</v>
          </cell>
          <cell r="D2810">
            <v>41244</v>
          </cell>
          <cell r="E2810">
            <v>1166997</v>
          </cell>
          <cell r="F2810">
            <v>1166997</v>
          </cell>
          <cell r="G2810">
            <v>918648</v>
          </cell>
          <cell r="H2810">
            <v>97250</v>
          </cell>
          <cell r="I2810">
            <v>70050</v>
          </cell>
        </row>
        <row r="2811">
          <cell r="A2811" t="str">
            <v>5200|447022</v>
          </cell>
          <cell r="B2811" t="str">
            <v>5200</v>
          </cell>
          <cell r="C2811">
            <v>447022</v>
          </cell>
          <cell r="D2811">
            <v>41244</v>
          </cell>
          <cell r="E2811">
            <v>207265</v>
          </cell>
          <cell r="F2811">
            <v>207265</v>
          </cell>
          <cell r="G2811">
            <v>185541</v>
          </cell>
          <cell r="H2811">
            <v>17272</v>
          </cell>
          <cell r="I2811">
            <v>16200</v>
          </cell>
        </row>
        <row r="2812">
          <cell r="A2812" t="str">
            <v>5200|447023</v>
          </cell>
          <cell r="B2812" t="str">
            <v>5200</v>
          </cell>
          <cell r="C2812">
            <v>447023</v>
          </cell>
          <cell r="D2812">
            <v>41244</v>
          </cell>
          <cell r="E2812">
            <v>369369</v>
          </cell>
          <cell r="F2812">
            <v>369369</v>
          </cell>
          <cell r="G2812">
            <v>2471579</v>
          </cell>
          <cell r="H2812">
            <v>30781</v>
          </cell>
          <cell r="I2812">
            <v>176700</v>
          </cell>
        </row>
        <row r="2813">
          <cell r="A2813" t="str">
            <v>5200|448000</v>
          </cell>
          <cell r="B2813" t="str">
            <v>5200</v>
          </cell>
          <cell r="C2813">
            <v>448000</v>
          </cell>
          <cell r="D2813">
            <v>41244</v>
          </cell>
          <cell r="E2813">
            <v>141565986</v>
          </cell>
          <cell r="F2813">
            <v>141565986</v>
          </cell>
          <cell r="G2813">
            <v>61181250</v>
          </cell>
          <cell r="H2813">
            <v>11797165</v>
          </cell>
          <cell r="I2813">
            <v>3700000</v>
          </cell>
        </row>
        <row r="2814">
          <cell r="A2814" t="str">
            <v>5200|448001</v>
          </cell>
          <cell r="B2814" t="str">
            <v>5200</v>
          </cell>
          <cell r="C2814">
            <v>448001</v>
          </cell>
          <cell r="D2814">
            <v>41244</v>
          </cell>
          <cell r="E2814">
            <v>101032156</v>
          </cell>
          <cell r="F2814">
            <v>101032156</v>
          </cell>
          <cell r="G2814">
            <v>26023168</v>
          </cell>
          <cell r="H2814">
            <v>8419346</v>
          </cell>
          <cell r="I2814">
            <v>3428964</v>
          </cell>
        </row>
        <row r="2815">
          <cell r="A2815" t="str">
            <v>5200|448002</v>
          </cell>
          <cell r="B2815" t="str">
            <v>5200</v>
          </cell>
          <cell r="C2815">
            <v>448002</v>
          </cell>
          <cell r="D2815">
            <v>41244</v>
          </cell>
          <cell r="E2815">
            <v>12314417</v>
          </cell>
          <cell r="F2815">
            <v>12314417</v>
          </cell>
          <cell r="G2815">
            <v>33777170</v>
          </cell>
          <cell r="H2815">
            <v>1026201</v>
          </cell>
          <cell r="I2815">
            <v>661800</v>
          </cell>
        </row>
        <row r="2816">
          <cell r="A2816" t="str">
            <v>5200|448003</v>
          </cell>
          <cell r="B2816" t="str">
            <v>5200</v>
          </cell>
          <cell r="C2816">
            <v>448003</v>
          </cell>
          <cell r="D2816">
            <v>41244</v>
          </cell>
          <cell r="E2816">
            <v>50374563</v>
          </cell>
          <cell r="F2816">
            <v>50374563</v>
          </cell>
          <cell r="G2816">
            <v>195758365</v>
          </cell>
          <cell r="H2816">
            <v>4197880</v>
          </cell>
          <cell r="I2816">
            <v>1446300</v>
          </cell>
        </row>
        <row r="2817">
          <cell r="A2817" t="str">
            <v>5200|449020</v>
          </cell>
          <cell r="B2817" t="str">
            <v>5200</v>
          </cell>
          <cell r="C2817">
            <v>449020</v>
          </cell>
          <cell r="D2817">
            <v>41244</v>
          </cell>
          <cell r="E2817">
            <v>63360000</v>
          </cell>
          <cell r="F2817">
            <v>63360000</v>
          </cell>
          <cell r="G2817">
            <v>80818000</v>
          </cell>
          <cell r="H2817">
            <v>5280000</v>
          </cell>
          <cell r="I2817">
            <v>6443500</v>
          </cell>
        </row>
        <row r="2818">
          <cell r="A2818" t="str">
            <v>5200|449022</v>
          </cell>
          <cell r="B2818" t="str">
            <v>5200</v>
          </cell>
          <cell r="C2818">
            <v>449022</v>
          </cell>
          <cell r="D2818">
            <v>41244</v>
          </cell>
          <cell r="E2818">
            <v>3960000</v>
          </cell>
          <cell r="F2818">
            <v>3960000</v>
          </cell>
          <cell r="G2818">
            <v>4635000</v>
          </cell>
          <cell r="H2818">
            <v>330000</v>
          </cell>
          <cell r="I2818">
            <v>430500</v>
          </cell>
        </row>
        <row r="2819">
          <cell r="A2819" t="str">
            <v>5200|449023</v>
          </cell>
          <cell r="B2819" t="str">
            <v>5200</v>
          </cell>
          <cell r="C2819">
            <v>449023</v>
          </cell>
          <cell r="D2819">
            <v>41244</v>
          </cell>
          <cell r="E2819">
            <v>41370000</v>
          </cell>
          <cell r="F2819">
            <v>41370000</v>
          </cell>
          <cell r="G2819">
            <v>45427981</v>
          </cell>
          <cell r="H2819">
            <v>3447500</v>
          </cell>
          <cell r="I2819">
            <v>4044250</v>
          </cell>
        </row>
        <row r="2820">
          <cell r="A2820" t="str">
            <v>5200|449025</v>
          </cell>
          <cell r="B2820" t="str">
            <v>5200</v>
          </cell>
          <cell r="C2820">
            <v>449025</v>
          </cell>
          <cell r="D2820">
            <v>41244</v>
          </cell>
          <cell r="E2820">
            <v>35640000</v>
          </cell>
          <cell r="F2820">
            <v>35640000</v>
          </cell>
          <cell r="G2820">
            <v>49661000</v>
          </cell>
          <cell r="H2820">
            <v>2970000</v>
          </cell>
          <cell r="I2820">
            <v>4209500</v>
          </cell>
        </row>
        <row r="2821">
          <cell r="A2821" t="str">
            <v>5200|449032</v>
          </cell>
          <cell r="B2821" t="str">
            <v>5200</v>
          </cell>
          <cell r="C2821">
            <v>449032</v>
          </cell>
          <cell r="D2821">
            <v>41244</v>
          </cell>
          <cell r="E2821">
            <v>17207700</v>
          </cell>
          <cell r="F2821">
            <v>17207700</v>
          </cell>
          <cell r="G2821">
            <v>16260000</v>
          </cell>
          <cell r="H2821">
            <v>1433975</v>
          </cell>
          <cell r="I2821">
            <v>11050000</v>
          </cell>
        </row>
        <row r="2822">
          <cell r="A2822" t="str">
            <v>5200|449040</v>
          </cell>
          <cell r="B2822" t="str">
            <v>5200</v>
          </cell>
          <cell r="C2822">
            <v>449040</v>
          </cell>
          <cell r="D2822">
            <v>41244</v>
          </cell>
          <cell r="E2822">
            <v>300000</v>
          </cell>
          <cell r="F2822">
            <v>300000</v>
          </cell>
          <cell r="G2822">
            <v>0</v>
          </cell>
          <cell r="H2822">
            <v>25000</v>
          </cell>
          <cell r="I2822">
            <v>0</v>
          </cell>
        </row>
        <row r="2823">
          <cell r="A2823" t="str">
            <v>5200|449050</v>
          </cell>
          <cell r="B2823" t="str">
            <v>5200</v>
          </cell>
          <cell r="C2823">
            <v>449050</v>
          </cell>
          <cell r="D2823">
            <v>41244</v>
          </cell>
          <cell r="E2823">
            <v>20600000</v>
          </cell>
          <cell r="F2823">
            <v>20600000</v>
          </cell>
          <cell r="G2823">
            <v>29600004</v>
          </cell>
          <cell r="H2823">
            <v>1716667</v>
          </cell>
          <cell r="I2823">
            <v>2466667</v>
          </cell>
        </row>
        <row r="2824">
          <cell r="A2824" t="str">
            <v>5200|449060</v>
          </cell>
          <cell r="B2824" t="str">
            <v>5200</v>
          </cell>
          <cell r="C2824">
            <v>449060</v>
          </cell>
          <cell r="D2824">
            <v>41244</v>
          </cell>
          <cell r="E2824">
            <v>2000000</v>
          </cell>
          <cell r="F2824">
            <v>2000000</v>
          </cell>
          <cell r="G2824">
            <v>1115581</v>
          </cell>
          <cell r="H2824">
            <v>166667</v>
          </cell>
          <cell r="I2824">
            <v>0</v>
          </cell>
        </row>
        <row r="2825">
          <cell r="A2825" t="str">
            <v>5200|449061</v>
          </cell>
          <cell r="B2825" t="str">
            <v>5200</v>
          </cell>
          <cell r="C2825">
            <v>449061</v>
          </cell>
          <cell r="D2825">
            <v>41244</v>
          </cell>
          <cell r="E2825">
            <v>10527250</v>
          </cell>
          <cell r="F2825">
            <v>10527250</v>
          </cell>
          <cell r="G2825">
            <v>25902300</v>
          </cell>
          <cell r="H2825">
            <v>877271</v>
          </cell>
          <cell r="I2825">
            <v>2757500</v>
          </cell>
        </row>
        <row r="2826">
          <cell r="A2826" t="str">
            <v>5200|451000</v>
          </cell>
          <cell r="B2826" t="str">
            <v>5200</v>
          </cell>
          <cell r="C2826">
            <v>451000</v>
          </cell>
          <cell r="D2826">
            <v>41244</v>
          </cell>
          <cell r="E2826">
            <v>517066638</v>
          </cell>
          <cell r="F2826">
            <v>517066638</v>
          </cell>
          <cell r="G2826">
            <v>504463747</v>
          </cell>
          <cell r="H2826">
            <v>43088886</v>
          </cell>
          <cell r="I2826">
            <v>-6640990</v>
          </cell>
        </row>
        <row r="2827">
          <cell r="A2827" t="str">
            <v>5200|451001</v>
          </cell>
          <cell r="B2827" t="str">
            <v>5200</v>
          </cell>
          <cell r="C2827">
            <v>451001</v>
          </cell>
          <cell r="D2827">
            <v>41244</v>
          </cell>
          <cell r="E2827">
            <v>1</v>
          </cell>
          <cell r="F2827">
            <v>1</v>
          </cell>
          <cell r="G2827">
            <v>650184620</v>
          </cell>
          <cell r="H2827">
            <v>0</v>
          </cell>
          <cell r="I2827">
            <v>300568210</v>
          </cell>
        </row>
        <row r="2828">
          <cell r="A2828" t="str">
            <v>5200|452000</v>
          </cell>
          <cell r="B2828" t="str">
            <v>5200</v>
          </cell>
          <cell r="C2828">
            <v>452000</v>
          </cell>
          <cell r="D2828">
            <v>41244</v>
          </cell>
          <cell r="E2828">
            <v>645000000</v>
          </cell>
          <cell r="F2828">
            <v>645000000</v>
          </cell>
          <cell r="G2828">
            <v>715259357</v>
          </cell>
          <cell r="H2828">
            <v>53750000</v>
          </cell>
          <cell r="I2828">
            <v>200770710</v>
          </cell>
        </row>
        <row r="2829">
          <cell r="A2829" t="str">
            <v>5200|455000</v>
          </cell>
          <cell r="B2829" t="str">
            <v>5200</v>
          </cell>
          <cell r="C2829">
            <v>455000</v>
          </cell>
          <cell r="D2829">
            <v>41244</v>
          </cell>
          <cell r="E2829">
            <v>50000000</v>
          </cell>
          <cell r="F2829">
            <v>50000000</v>
          </cell>
          <cell r="G2829">
            <v>41187970</v>
          </cell>
          <cell r="H2829">
            <v>4166667</v>
          </cell>
          <cell r="I2829">
            <v>8941650</v>
          </cell>
        </row>
        <row r="2830">
          <cell r="A2830" t="str">
            <v>5200|455001</v>
          </cell>
          <cell r="B2830" t="str">
            <v>5200</v>
          </cell>
          <cell r="C2830">
            <v>455001</v>
          </cell>
          <cell r="D2830">
            <v>41244</v>
          </cell>
          <cell r="E2830">
            <v>7000000</v>
          </cell>
          <cell r="F2830">
            <v>7000000</v>
          </cell>
          <cell r="G2830">
            <v>12647090</v>
          </cell>
          <cell r="H2830">
            <v>583333</v>
          </cell>
          <cell r="I2830">
            <v>0</v>
          </cell>
        </row>
        <row r="2831">
          <cell r="A2831" t="str">
            <v>5200|455002</v>
          </cell>
          <cell r="B2831" t="str">
            <v>5200</v>
          </cell>
          <cell r="C2831">
            <v>455002</v>
          </cell>
          <cell r="D2831">
            <v>41244</v>
          </cell>
          <cell r="E2831">
            <v>10000000</v>
          </cell>
          <cell r="F2831">
            <v>10000000</v>
          </cell>
          <cell r="G2831">
            <v>2047317</v>
          </cell>
          <cell r="H2831">
            <v>833333</v>
          </cell>
          <cell r="I2831">
            <v>356250</v>
          </cell>
        </row>
        <row r="2832">
          <cell r="A2832" t="str">
            <v>5200|459000</v>
          </cell>
          <cell r="B2832" t="str">
            <v>5200</v>
          </cell>
          <cell r="C2832">
            <v>459000</v>
          </cell>
          <cell r="D2832">
            <v>41244</v>
          </cell>
          <cell r="E2832">
            <v>0</v>
          </cell>
          <cell r="F2832">
            <v>0</v>
          </cell>
          <cell r="G2832">
            <v>1300000</v>
          </cell>
          <cell r="H2832">
            <v>0</v>
          </cell>
          <cell r="I2832">
            <v>0</v>
          </cell>
        </row>
        <row r="2833">
          <cell r="A2833" t="str">
            <v>5200|470101</v>
          </cell>
          <cell r="B2833" t="str">
            <v>5200</v>
          </cell>
          <cell r="C2833">
            <v>470101</v>
          </cell>
          <cell r="D2833">
            <v>41244</v>
          </cell>
          <cell r="E2833">
            <v>-254400</v>
          </cell>
          <cell r="F2833">
            <v>-254400</v>
          </cell>
          <cell r="G2833">
            <v>201600</v>
          </cell>
          <cell r="H2833">
            <v>-21200</v>
          </cell>
          <cell r="I2833">
            <v>53900</v>
          </cell>
        </row>
        <row r="2834">
          <cell r="A2834" t="str">
            <v>5200|470102</v>
          </cell>
          <cell r="B2834" t="str">
            <v>5200</v>
          </cell>
          <cell r="C2834">
            <v>470102</v>
          </cell>
          <cell r="D2834">
            <v>41244</v>
          </cell>
          <cell r="E2834">
            <v>9588389</v>
          </cell>
          <cell r="F2834">
            <v>9588389</v>
          </cell>
          <cell r="G2834">
            <v>7577412</v>
          </cell>
          <cell r="H2834">
            <v>799032</v>
          </cell>
          <cell r="I2834">
            <v>562200</v>
          </cell>
        </row>
        <row r="2835">
          <cell r="A2835" t="str">
            <v>5200|471000</v>
          </cell>
          <cell r="B2835" t="str">
            <v>5200</v>
          </cell>
          <cell r="C2835">
            <v>471000</v>
          </cell>
          <cell r="D2835">
            <v>41244</v>
          </cell>
          <cell r="E2835">
            <v>22216505</v>
          </cell>
          <cell r="F2835">
            <v>22216505</v>
          </cell>
          <cell r="G2835">
            <v>29343560</v>
          </cell>
          <cell r="H2835">
            <v>1851375</v>
          </cell>
          <cell r="I2835">
            <v>5970000</v>
          </cell>
        </row>
        <row r="2836">
          <cell r="A2836" t="str">
            <v>5200|473120</v>
          </cell>
          <cell r="B2836" t="str">
            <v>5200</v>
          </cell>
          <cell r="C2836">
            <v>473120</v>
          </cell>
          <cell r="D2836">
            <v>41244</v>
          </cell>
          <cell r="E2836">
            <v>19392577</v>
          </cell>
          <cell r="F2836">
            <v>19392577</v>
          </cell>
          <cell r="G2836">
            <v>19386218</v>
          </cell>
          <cell r="H2836">
            <v>1616048</v>
          </cell>
          <cell r="I2836">
            <v>1798354</v>
          </cell>
        </row>
        <row r="2837">
          <cell r="A2837" t="str">
            <v>5200|474100</v>
          </cell>
          <cell r="B2837" t="str">
            <v>5200</v>
          </cell>
          <cell r="C2837">
            <v>474100</v>
          </cell>
          <cell r="D2837">
            <v>41244</v>
          </cell>
          <cell r="E2837">
            <v>0</v>
          </cell>
          <cell r="F2837">
            <v>0</v>
          </cell>
          <cell r="G2837">
            <v>25179072</v>
          </cell>
          <cell r="H2837">
            <v>0</v>
          </cell>
          <cell r="I2837">
            <v>900000</v>
          </cell>
        </row>
        <row r="2838">
          <cell r="A2838" t="str">
            <v>5200|475001</v>
          </cell>
          <cell r="B2838" t="str">
            <v>5200</v>
          </cell>
          <cell r="C2838">
            <v>475001</v>
          </cell>
          <cell r="D2838">
            <v>41244</v>
          </cell>
          <cell r="E2838">
            <v>2503600</v>
          </cell>
          <cell r="F2838">
            <v>2503600</v>
          </cell>
          <cell r="G2838">
            <v>-50000</v>
          </cell>
          <cell r="H2838">
            <v>208633</v>
          </cell>
          <cell r="I2838">
            <v>0</v>
          </cell>
        </row>
        <row r="2839">
          <cell r="A2839" t="str">
            <v>5200|475002</v>
          </cell>
          <cell r="B2839" t="str">
            <v>5200</v>
          </cell>
          <cell r="C2839">
            <v>475002</v>
          </cell>
          <cell r="D2839">
            <v>41244</v>
          </cell>
          <cell r="E2839">
            <v>0</v>
          </cell>
          <cell r="F2839">
            <v>0</v>
          </cell>
          <cell r="G2839">
            <v>374256</v>
          </cell>
          <cell r="H2839">
            <v>0</v>
          </cell>
          <cell r="I2839">
            <v>31188</v>
          </cell>
        </row>
        <row r="2840">
          <cell r="A2840" t="str">
            <v>5200|475006</v>
          </cell>
          <cell r="B2840" t="str">
            <v>5200</v>
          </cell>
          <cell r="C2840">
            <v>475006</v>
          </cell>
          <cell r="D2840">
            <v>41244</v>
          </cell>
          <cell r="E2840">
            <v>2438000</v>
          </cell>
          <cell r="F2840">
            <v>2438000</v>
          </cell>
          <cell r="G2840">
            <v>2523756</v>
          </cell>
          <cell r="H2840">
            <v>203167</v>
          </cell>
          <cell r="I2840">
            <v>210313</v>
          </cell>
        </row>
        <row r="2841">
          <cell r="A2841" t="str">
            <v>5200|476000</v>
          </cell>
          <cell r="B2841" t="str">
            <v>5200</v>
          </cell>
          <cell r="C2841">
            <v>476000</v>
          </cell>
          <cell r="D2841">
            <v>41244</v>
          </cell>
          <cell r="E2841">
            <v>30754400</v>
          </cell>
          <cell r="F2841">
            <v>30754400</v>
          </cell>
          <cell r="G2841">
            <v>30063378</v>
          </cell>
          <cell r="H2841">
            <v>2562867</v>
          </cell>
          <cell r="I2841">
            <v>0</v>
          </cell>
        </row>
        <row r="2842">
          <cell r="A2842" t="str">
            <v>5200|476001</v>
          </cell>
          <cell r="B2842" t="str">
            <v>5200</v>
          </cell>
          <cell r="C2842">
            <v>476001</v>
          </cell>
          <cell r="D2842">
            <v>41244</v>
          </cell>
          <cell r="E2842">
            <v>600000</v>
          </cell>
          <cell r="F2842">
            <v>600000</v>
          </cell>
          <cell r="G2842">
            <v>52500</v>
          </cell>
          <cell r="H2842">
            <v>50000</v>
          </cell>
          <cell r="I2842">
            <v>0</v>
          </cell>
        </row>
        <row r="2843">
          <cell r="A2843" t="str">
            <v>5200|476220</v>
          </cell>
          <cell r="B2843" t="str">
            <v>5200</v>
          </cell>
          <cell r="C2843">
            <v>476220</v>
          </cell>
          <cell r="D2843">
            <v>41244</v>
          </cell>
          <cell r="E2843">
            <v>0</v>
          </cell>
          <cell r="F2843">
            <v>0</v>
          </cell>
          <cell r="G2843">
            <v>8800000</v>
          </cell>
          <cell r="H2843">
            <v>0</v>
          </cell>
          <cell r="I2843">
            <v>1000000</v>
          </cell>
        </row>
        <row r="2844">
          <cell r="A2844" t="str">
            <v>5200|476223</v>
          </cell>
          <cell r="B2844" t="str">
            <v>5200</v>
          </cell>
          <cell r="C2844">
            <v>476223</v>
          </cell>
          <cell r="D2844">
            <v>41244</v>
          </cell>
          <cell r="E2844">
            <v>28000000</v>
          </cell>
          <cell r="F2844">
            <v>28000000</v>
          </cell>
          <cell r="G2844">
            <v>27000000</v>
          </cell>
          <cell r="H2844">
            <v>2333333</v>
          </cell>
          <cell r="I2844">
            <v>9000000</v>
          </cell>
        </row>
        <row r="2845">
          <cell r="A2845" t="str">
            <v>5400|211100</v>
          </cell>
          <cell r="B2845" t="str">
            <v>5400</v>
          </cell>
          <cell r="C2845">
            <v>211100</v>
          </cell>
          <cell r="D2845">
            <v>41244</v>
          </cell>
          <cell r="E2845">
            <v>23369825</v>
          </cell>
          <cell r="F2845">
            <v>23369825</v>
          </cell>
          <cell r="G2845">
            <v>0</v>
          </cell>
          <cell r="H2845">
            <v>1947485</v>
          </cell>
          <cell r="I2845">
            <v>0</v>
          </cell>
        </row>
        <row r="2846">
          <cell r="A2846" t="str">
            <v>5400|211104</v>
          </cell>
          <cell r="B2846" t="str">
            <v>5400</v>
          </cell>
          <cell r="C2846">
            <v>211104</v>
          </cell>
          <cell r="D2846">
            <v>41244</v>
          </cell>
          <cell r="E2846">
            <v>37421132</v>
          </cell>
          <cell r="F2846">
            <v>37421132</v>
          </cell>
          <cell r="G2846">
            <v>37627130</v>
          </cell>
          <cell r="H2846">
            <v>3118428</v>
          </cell>
          <cell r="I2846">
            <v>4142876</v>
          </cell>
        </row>
        <row r="2847">
          <cell r="A2847" t="str">
            <v>5400|246000</v>
          </cell>
          <cell r="B2847" t="str">
            <v>5400</v>
          </cell>
          <cell r="C2847">
            <v>246000</v>
          </cell>
          <cell r="D2847">
            <v>41244</v>
          </cell>
          <cell r="E2847">
            <v>147000000</v>
          </cell>
          <cell r="F2847">
            <v>147000000</v>
          </cell>
          <cell r="G2847">
            <v>58000000</v>
          </cell>
          <cell r="H2847">
            <v>12249999</v>
          </cell>
          <cell r="I2847">
            <v>55000000</v>
          </cell>
        </row>
        <row r="2848">
          <cell r="A2848" t="str">
            <v>5400|400040</v>
          </cell>
          <cell r="B2848" t="str">
            <v>5400</v>
          </cell>
          <cell r="C2848">
            <v>400040</v>
          </cell>
          <cell r="D2848">
            <v>41244</v>
          </cell>
          <cell r="E2848">
            <v>20000000</v>
          </cell>
          <cell r="F2848">
            <v>20000000</v>
          </cell>
          <cell r="G2848">
            <v>11409402</v>
          </cell>
          <cell r="H2848">
            <v>1666667</v>
          </cell>
          <cell r="I2848">
            <v>16000</v>
          </cell>
        </row>
        <row r="2849">
          <cell r="A2849" t="str">
            <v>5400|405200</v>
          </cell>
          <cell r="B2849" t="str">
            <v>5400</v>
          </cell>
          <cell r="C2849">
            <v>405200</v>
          </cell>
          <cell r="D2849">
            <v>41244</v>
          </cell>
          <cell r="E2849">
            <v>0</v>
          </cell>
          <cell r="F2849">
            <v>0</v>
          </cell>
          <cell r="G2849">
            <v>0</v>
          </cell>
          <cell r="H2849">
            <v>0</v>
          </cell>
          <cell r="I2849">
            <v>-336088161</v>
          </cell>
        </row>
        <row r="2850">
          <cell r="A2850" t="str">
            <v>5400|405251</v>
          </cell>
          <cell r="B2850" t="str">
            <v>5400</v>
          </cell>
          <cell r="C2850">
            <v>405251</v>
          </cell>
          <cell r="D2850">
            <v>41244</v>
          </cell>
          <cell r="E2850">
            <v>5000000</v>
          </cell>
          <cell r="F2850">
            <v>5000000</v>
          </cell>
          <cell r="G2850">
            <v>417630322</v>
          </cell>
          <cell r="H2850">
            <v>416667</v>
          </cell>
          <cell r="I2850">
            <v>377351980</v>
          </cell>
        </row>
        <row r="2851">
          <cell r="A2851" t="str">
            <v>5400|405252</v>
          </cell>
          <cell r="B2851" t="str">
            <v>5400</v>
          </cell>
          <cell r="C2851">
            <v>405252</v>
          </cell>
          <cell r="D2851">
            <v>41244</v>
          </cell>
          <cell r="E2851">
            <v>2355000000</v>
          </cell>
          <cell r="F2851">
            <v>2355000000</v>
          </cell>
          <cell r="G2851">
            <v>845822358</v>
          </cell>
          <cell r="H2851">
            <v>196249995</v>
          </cell>
          <cell r="I2851">
            <v>459134100</v>
          </cell>
        </row>
        <row r="2852">
          <cell r="A2852" t="str">
            <v>5400|420001</v>
          </cell>
          <cell r="B2852" t="str">
            <v>5400</v>
          </cell>
          <cell r="C2852">
            <v>420001</v>
          </cell>
          <cell r="D2852">
            <v>41244</v>
          </cell>
          <cell r="E2852">
            <v>142607695</v>
          </cell>
          <cell r="F2852">
            <v>142607695</v>
          </cell>
          <cell r="G2852">
            <v>113841000</v>
          </cell>
          <cell r="H2852">
            <v>11883975</v>
          </cell>
          <cell r="I2852">
            <v>9571000</v>
          </cell>
        </row>
        <row r="2853">
          <cell r="A2853" t="str">
            <v>5400|420002</v>
          </cell>
          <cell r="B2853" t="str">
            <v>5400</v>
          </cell>
          <cell r="C2853">
            <v>420002</v>
          </cell>
          <cell r="D2853">
            <v>41244</v>
          </cell>
          <cell r="E2853">
            <v>570430779</v>
          </cell>
          <cell r="F2853">
            <v>570430779</v>
          </cell>
          <cell r="G2853">
            <v>414054550</v>
          </cell>
          <cell r="H2853">
            <v>47535898</v>
          </cell>
          <cell r="I2853">
            <v>34859000</v>
          </cell>
        </row>
        <row r="2854">
          <cell r="A2854" t="str">
            <v>5400|420003</v>
          </cell>
          <cell r="B2854" t="str">
            <v>5400</v>
          </cell>
          <cell r="C2854">
            <v>420003</v>
          </cell>
          <cell r="D2854">
            <v>41244</v>
          </cell>
          <cell r="E2854">
            <v>879354217</v>
          </cell>
          <cell r="F2854">
            <v>879354217</v>
          </cell>
          <cell r="G2854">
            <v>791632011</v>
          </cell>
          <cell r="H2854">
            <v>73279518</v>
          </cell>
          <cell r="I2854">
            <v>51229832</v>
          </cell>
        </row>
        <row r="2855">
          <cell r="A2855" t="str">
            <v>5400|422001</v>
          </cell>
          <cell r="B2855" t="str">
            <v>5400</v>
          </cell>
          <cell r="C2855">
            <v>422001</v>
          </cell>
          <cell r="D2855">
            <v>41244</v>
          </cell>
          <cell r="E2855">
            <v>48662</v>
          </cell>
          <cell r="F2855">
            <v>48662</v>
          </cell>
          <cell r="G2855">
            <v>140400</v>
          </cell>
          <cell r="H2855">
            <v>4055</v>
          </cell>
          <cell r="I2855">
            <v>0</v>
          </cell>
        </row>
        <row r="2856">
          <cell r="A2856" t="str">
            <v>5400|422002</v>
          </cell>
          <cell r="B2856" t="str">
            <v>5400</v>
          </cell>
          <cell r="C2856">
            <v>422002</v>
          </cell>
          <cell r="D2856">
            <v>41244</v>
          </cell>
          <cell r="E2856">
            <v>142174</v>
          </cell>
          <cell r="F2856">
            <v>142174</v>
          </cell>
          <cell r="G2856">
            <v>104100</v>
          </cell>
          <cell r="H2856">
            <v>11848</v>
          </cell>
          <cell r="I2856">
            <v>0</v>
          </cell>
        </row>
        <row r="2857">
          <cell r="A2857" t="str">
            <v>5400|422003</v>
          </cell>
          <cell r="B2857" t="str">
            <v>5400</v>
          </cell>
          <cell r="C2857">
            <v>422003</v>
          </cell>
          <cell r="D2857">
            <v>41244</v>
          </cell>
          <cell r="E2857">
            <v>803142</v>
          </cell>
          <cell r="F2857">
            <v>803142</v>
          </cell>
          <cell r="G2857">
            <v>859950</v>
          </cell>
          <cell r="H2857">
            <v>66928</v>
          </cell>
          <cell r="I2857">
            <v>0</v>
          </cell>
        </row>
        <row r="2858">
          <cell r="A2858" t="str">
            <v>5400|431000</v>
          </cell>
          <cell r="B2858" t="str">
            <v>5400</v>
          </cell>
          <cell r="C2858">
            <v>431000</v>
          </cell>
          <cell r="D2858">
            <v>41244</v>
          </cell>
          <cell r="E2858">
            <v>14000000</v>
          </cell>
          <cell r="F2858">
            <v>14000000</v>
          </cell>
          <cell r="G2858">
            <v>0</v>
          </cell>
          <cell r="H2858">
            <v>1166667</v>
          </cell>
          <cell r="I2858">
            <v>0</v>
          </cell>
        </row>
        <row r="2859">
          <cell r="A2859" t="str">
            <v>5400|431001</v>
          </cell>
          <cell r="B2859" t="str">
            <v>5400</v>
          </cell>
          <cell r="C2859">
            <v>431001</v>
          </cell>
          <cell r="D2859">
            <v>41244</v>
          </cell>
          <cell r="E2859">
            <v>52672207</v>
          </cell>
          <cell r="F2859">
            <v>52672207</v>
          </cell>
          <cell r="G2859">
            <v>9719395</v>
          </cell>
          <cell r="H2859">
            <v>4389351</v>
          </cell>
          <cell r="I2859">
            <v>436848</v>
          </cell>
        </row>
        <row r="2860">
          <cell r="A2860" t="str">
            <v>5400|431002</v>
          </cell>
          <cell r="B2860" t="str">
            <v>5400</v>
          </cell>
          <cell r="C2860">
            <v>431002</v>
          </cell>
          <cell r="D2860">
            <v>41244</v>
          </cell>
          <cell r="E2860">
            <v>12387286</v>
          </cell>
          <cell r="F2860">
            <v>12387286</v>
          </cell>
          <cell r="G2860">
            <v>26361808</v>
          </cell>
          <cell r="H2860">
            <v>1032274</v>
          </cell>
          <cell r="I2860">
            <v>11000</v>
          </cell>
        </row>
        <row r="2861">
          <cell r="A2861" t="str">
            <v>5400|434011</v>
          </cell>
          <cell r="B2861" t="str">
            <v>5400</v>
          </cell>
          <cell r="C2861">
            <v>434011</v>
          </cell>
          <cell r="D2861">
            <v>41244</v>
          </cell>
          <cell r="E2861">
            <v>5319000</v>
          </cell>
          <cell r="F2861">
            <v>5319000</v>
          </cell>
          <cell r="G2861">
            <v>2780155</v>
          </cell>
          <cell r="H2861">
            <v>443250</v>
          </cell>
          <cell r="I2861">
            <v>673207</v>
          </cell>
        </row>
        <row r="2862">
          <cell r="A2862" t="str">
            <v>5400|434012</v>
          </cell>
          <cell r="B2862" t="str">
            <v>5400</v>
          </cell>
          <cell r="C2862">
            <v>434012</v>
          </cell>
          <cell r="D2862">
            <v>41244</v>
          </cell>
          <cell r="E2862">
            <v>0</v>
          </cell>
          <cell r="F2862">
            <v>0</v>
          </cell>
          <cell r="G2862">
            <v>16797253</v>
          </cell>
          <cell r="H2862">
            <v>0</v>
          </cell>
          <cell r="I2862">
            <v>5892872</v>
          </cell>
        </row>
        <row r="2863">
          <cell r="A2863" t="str">
            <v>5400|434013</v>
          </cell>
          <cell r="B2863" t="str">
            <v>5400</v>
          </cell>
          <cell r="C2863">
            <v>434013</v>
          </cell>
          <cell r="D2863">
            <v>41244</v>
          </cell>
          <cell r="E2863">
            <v>16028250</v>
          </cell>
          <cell r="F2863">
            <v>16028250</v>
          </cell>
          <cell r="G2863">
            <v>30205963</v>
          </cell>
          <cell r="H2863">
            <v>1335687</v>
          </cell>
          <cell r="I2863">
            <v>5466384</v>
          </cell>
        </row>
        <row r="2864">
          <cell r="A2864" t="str">
            <v>5400|435001</v>
          </cell>
          <cell r="B2864" t="str">
            <v>5400</v>
          </cell>
          <cell r="C2864">
            <v>435001</v>
          </cell>
          <cell r="D2864">
            <v>41244</v>
          </cell>
          <cell r="E2864">
            <v>11883975</v>
          </cell>
          <cell r="F2864">
            <v>11883975</v>
          </cell>
          <cell r="G2864">
            <v>9571000</v>
          </cell>
          <cell r="H2864">
            <v>990331</v>
          </cell>
          <cell r="I2864">
            <v>9571000</v>
          </cell>
        </row>
        <row r="2865">
          <cell r="A2865" t="str">
            <v>5400|435002</v>
          </cell>
          <cell r="B2865" t="str">
            <v>5400</v>
          </cell>
          <cell r="C2865">
            <v>435002</v>
          </cell>
          <cell r="D2865">
            <v>41244</v>
          </cell>
          <cell r="E2865">
            <v>47535898</v>
          </cell>
          <cell r="F2865">
            <v>47535898</v>
          </cell>
          <cell r="G2865">
            <v>32048400</v>
          </cell>
          <cell r="H2865">
            <v>3961325</v>
          </cell>
          <cell r="I2865">
            <v>32048400</v>
          </cell>
        </row>
        <row r="2866">
          <cell r="A2866" t="str">
            <v>5400|435003</v>
          </cell>
          <cell r="B2866" t="str">
            <v>5400</v>
          </cell>
          <cell r="C2866">
            <v>435003</v>
          </cell>
          <cell r="D2866">
            <v>41244</v>
          </cell>
          <cell r="E2866">
            <v>109919277</v>
          </cell>
          <cell r="F2866">
            <v>109919277</v>
          </cell>
          <cell r="G2866">
            <v>104881012</v>
          </cell>
          <cell r="H2866">
            <v>9159940</v>
          </cell>
          <cell r="I2866">
            <v>0</v>
          </cell>
        </row>
        <row r="2867">
          <cell r="A2867" t="str">
            <v>5400|439001</v>
          </cell>
          <cell r="B2867" t="str">
            <v>5400</v>
          </cell>
          <cell r="C2867">
            <v>439001</v>
          </cell>
          <cell r="D2867">
            <v>41244</v>
          </cell>
          <cell r="E2867">
            <v>32737810</v>
          </cell>
          <cell r="F2867">
            <v>32737810</v>
          </cell>
          <cell r="G2867">
            <v>27157282</v>
          </cell>
          <cell r="H2867">
            <v>2728151</v>
          </cell>
          <cell r="I2867">
            <v>0</v>
          </cell>
        </row>
        <row r="2868">
          <cell r="A2868" t="str">
            <v>5400|439003</v>
          </cell>
          <cell r="B2868" t="str">
            <v>5400</v>
          </cell>
          <cell r="C2868">
            <v>439003</v>
          </cell>
          <cell r="D2868">
            <v>41244</v>
          </cell>
          <cell r="E2868">
            <v>264333803</v>
          </cell>
          <cell r="F2868">
            <v>264333803</v>
          </cell>
          <cell r="G2868">
            <v>339532481</v>
          </cell>
          <cell r="H2868">
            <v>22027817</v>
          </cell>
          <cell r="I2868">
            <v>33186399</v>
          </cell>
        </row>
        <row r="2869">
          <cell r="A2869" t="str">
            <v>5400|439008</v>
          </cell>
          <cell r="B2869" t="str">
            <v>5400</v>
          </cell>
          <cell r="C2869">
            <v>439008</v>
          </cell>
          <cell r="D2869">
            <v>41244</v>
          </cell>
          <cell r="E2869">
            <v>130951241</v>
          </cell>
          <cell r="F2869">
            <v>130951241</v>
          </cell>
          <cell r="G2869">
            <v>134079726</v>
          </cell>
          <cell r="H2869">
            <v>10912603</v>
          </cell>
          <cell r="I2869">
            <v>0</v>
          </cell>
        </row>
        <row r="2870">
          <cell r="A2870" t="str">
            <v>5400|439103</v>
          </cell>
          <cell r="B2870" t="str">
            <v>5400</v>
          </cell>
          <cell r="C2870">
            <v>439103</v>
          </cell>
          <cell r="D2870">
            <v>41244</v>
          </cell>
          <cell r="E2870">
            <v>0</v>
          </cell>
          <cell r="F2870">
            <v>0</v>
          </cell>
          <cell r="G2870">
            <v>500000</v>
          </cell>
          <cell r="H2870">
            <v>0</v>
          </cell>
          <cell r="I2870">
            <v>0</v>
          </cell>
        </row>
        <row r="2871">
          <cell r="A2871" t="str">
            <v>5400|439201</v>
          </cell>
          <cell r="B2871" t="str">
            <v>5400</v>
          </cell>
          <cell r="C2871">
            <v>439201</v>
          </cell>
          <cell r="D2871">
            <v>41244</v>
          </cell>
          <cell r="E2871">
            <v>0</v>
          </cell>
          <cell r="F2871">
            <v>0</v>
          </cell>
          <cell r="G2871">
            <v>418000</v>
          </cell>
          <cell r="H2871">
            <v>0</v>
          </cell>
          <cell r="I2871">
            <v>0</v>
          </cell>
        </row>
        <row r="2872">
          <cell r="A2872" t="str">
            <v>5400|439202</v>
          </cell>
          <cell r="B2872" t="str">
            <v>5400</v>
          </cell>
          <cell r="C2872">
            <v>439202</v>
          </cell>
          <cell r="D2872">
            <v>41244</v>
          </cell>
          <cell r="E2872">
            <v>0</v>
          </cell>
          <cell r="F2872">
            <v>0</v>
          </cell>
          <cell r="G2872">
            <v>1210000</v>
          </cell>
          <cell r="H2872">
            <v>0</v>
          </cell>
          <cell r="I2872">
            <v>0</v>
          </cell>
        </row>
        <row r="2873">
          <cell r="A2873" t="str">
            <v>5400|439203</v>
          </cell>
          <cell r="B2873" t="str">
            <v>5400</v>
          </cell>
          <cell r="C2873">
            <v>439203</v>
          </cell>
          <cell r="D2873">
            <v>41244</v>
          </cell>
          <cell r="E2873">
            <v>0</v>
          </cell>
          <cell r="F2873">
            <v>0</v>
          </cell>
          <cell r="G2873">
            <v>1059000</v>
          </cell>
          <cell r="H2873">
            <v>0</v>
          </cell>
          <cell r="I2873">
            <v>0</v>
          </cell>
        </row>
        <row r="2874">
          <cell r="A2874" t="str">
            <v>5400|440001</v>
          </cell>
          <cell r="B2874" t="str">
            <v>5400</v>
          </cell>
          <cell r="C2874">
            <v>440001</v>
          </cell>
          <cell r="D2874">
            <v>41244</v>
          </cell>
          <cell r="E2874">
            <v>11883975</v>
          </cell>
          <cell r="F2874">
            <v>11883975</v>
          </cell>
          <cell r="G2874">
            <v>10336252</v>
          </cell>
          <cell r="H2874">
            <v>990331</v>
          </cell>
          <cell r="I2874">
            <v>713563</v>
          </cell>
        </row>
        <row r="2875">
          <cell r="A2875" t="str">
            <v>5400|440002</v>
          </cell>
          <cell r="B2875" t="str">
            <v>5400</v>
          </cell>
          <cell r="C2875">
            <v>440002</v>
          </cell>
          <cell r="D2875">
            <v>41244</v>
          </cell>
          <cell r="E2875">
            <v>47535898</v>
          </cell>
          <cell r="F2875">
            <v>47535898</v>
          </cell>
          <cell r="G2875">
            <v>36679244</v>
          </cell>
          <cell r="H2875">
            <v>3961325</v>
          </cell>
          <cell r="I2875">
            <v>3350907</v>
          </cell>
        </row>
        <row r="2876">
          <cell r="A2876" t="str">
            <v>5400|440003</v>
          </cell>
          <cell r="B2876" t="str">
            <v>5400</v>
          </cell>
          <cell r="C2876">
            <v>440003</v>
          </cell>
          <cell r="D2876">
            <v>41244</v>
          </cell>
          <cell r="E2876">
            <v>100290032</v>
          </cell>
          <cell r="F2876">
            <v>100290032</v>
          </cell>
          <cell r="G2876">
            <v>65996300</v>
          </cell>
          <cell r="H2876">
            <v>8357503</v>
          </cell>
          <cell r="I2876">
            <v>4733128</v>
          </cell>
        </row>
        <row r="2877">
          <cell r="A2877" t="str">
            <v>5400|446001</v>
          </cell>
          <cell r="B2877" t="str">
            <v>5400</v>
          </cell>
          <cell r="C2877">
            <v>446001</v>
          </cell>
          <cell r="D2877">
            <v>41244</v>
          </cell>
          <cell r="E2877">
            <v>0</v>
          </cell>
          <cell r="F2877">
            <v>0</v>
          </cell>
          <cell r="G2877">
            <v>11174669</v>
          </cell>
          <cell r="H2877">
            <v>0</v>
          </cell>
          <cell r="I2877">
            <v>450000</v>
          </cell>
        </row>
        <row r="2878">
          <cell r="A2878" t="str">
            <v>5400|446002</v>
          </cell>
          <cell r="B2878" t="str">
            <v>5400</v>
          </cell>
          <cell r="C2878">
            <v>446002</v>
          </cell>
          <cell r="D2878">
            <v>41244</v>
          </cell>
          <cell r="E2878">
            <v>23767949</v>
          </cell>
          <cell r="F2878">
            <v>23767949</v>
          </cell>
          <cell r="G2878">
            <v>11767151</v>
          </cell>
          <cell r="H2878">
            <v>1980662</v>
          </cell>
          <cell r="I2878">
            <v>550000</v>
          </cell>
        </row>
        <row r="2879">
          <cell r="A2879" t="str">
            <v>5400|447001</v>
          </cell>
          <cell r="B2879" t="str">
            <v>5400</v>
          </cell>
          <cell r="C2879">
            <v>447001</v>
          </cell>
          <cell r="D2879">
            <v>41244</v>
          </cell>
          <cell r="E2879">
            <v>4145303</v>
          </cell>
          <cell r="F2879">
            <v>4145303</v>
          </cell>
          <cell r="G2879">
            <v>1786688</v>
          </cell>
          <cell r="H2879">
            <v>345442</v>
          </cell>
          <cell r="I2879">
            <v>150266</v>
          </cell>
        </row>
        <row r="2880">
          <cell r="A2880" t="str">
            <v>5400|447002</v>
          </cell>
          <cell r="B2880" t="str">
            <v>5400</v>
          </cell>
          <cell r="C2880">
            <v>447002</v>
          </cell>
          <cell r="D2880">
            <v>41244</v>
          </cell>
          <cell r="E2880">
            <v>16581213</v>
          </cell>
          <cell r="F2880">
            <v>16581213</v>
          </cell>
          <cell r="G2880">
            <v>6509580</v>
          </cell>
          <cell r="H2880">
            <v>1381768</v>
          </cell>
          <cell r="I2880">
            <v>547289</v>
          </cell>
        </row>
        <row r="2881">
          <cell r="A2881" t="str">
            <v>5400|447003</v>
          </cell>
          <cell r="B2881" t="str">
            <v>5400</v>
          </cell>
          <cell r="C2881">
            <v>447003</v>
          </cell>
          <cell r="D2881">
            <v>41244</v>
          </cell>
          <cell r="E2881">
            <v>6180963</v>
          </cell>
          <cell r="F2881">
            <v>6180963</v>
          </cell>
          <cell r="G2881">
            <v>12175525</v>
          </cell>
          <cell r="H2881">
            <v>515080</v>
          </cell>
          <cell r="I2881">
            <v>803606</v>
          </cell>
        </row>
        <row r="2882">
          <cell r="A2882" t="str">
            <v>5400|447011</v>
          </cell>
          <cell r="B2882" t="str">
            <v>5400</v>
          </cell>
          <cell r="C2882">
            <v>447011</v>
          </cell>
          <cell r="D2882">
            <v>41244</v>
          </cell>
          <cell r="E2882">
            <v>9769186</v>
          </cell>
          <cell r="F2882">
            <v>9769186</v>
          </cell>
          <cell r="G2882">
            <v>4210646</v>
          </cell>
          <cell r="H2882">
            <v>814099</v>
          </cell>
          <cell r="I2882">
            <v>354128</v>
          </cell>
        </row>
        <row r="2883">
          <cell r="A2883" t="str">
            <v>5400|447012</v>
          </cell>
          <cell r="B2883" t="str">
            <v>5400</v>
          </cell>
          <cell r="C2883">
            <v>447012</v>
          </cell>
          <cell r="D2883">
            <v>41244</v>
          </cell>
          <cell r="E2883">
            <v>39076745</v>
          </cell>
          <cell r="F2883">
            <v>39076745</v>
          </cell>
          <cell r="G2883">
            <v>15340998</v>
          </cell>
          <cell r="H2883">
            <v>3256395</v>
          </cell>
          <cell r="I2883">
            <v>1289785</v>
          </cell>
        </row>
        <row r="2884">
          <cell r="A2884" t="str">
            <v>5400|447013</v>
          </cell>
          <cell r="B2884" t="str">
            <v>5400</v>
          </cell>
          <cell r="C2884">
            <v>447013</v>
          </cell>
          <cell r="D2884">
            <v>41244</v>
          </cell>
          <cell r="E2884">
            <v>14566600</v>
          </cell>
          <cell r="F2884">
            <v>14566600</v>
          </cell>
          <cell r="G2884">
            <v>28693883</v>
          </cell>
          <cell r="H2884">
            <v>1213883</v>
          </cell>
          <cell r="I2884">
            <v>1893846</v>
          </cell>
        </row>
        <row r="2885">
          <cell r="A2885" t="str">
            <v>5400|447021</v>
          </cell>
          <cell r="B2885" t="str">
            <v>5400</v>
          </cell>
          <cell r="C2885">
            <v>447021</v>
          </cell>
          <cell r="D2885">
            <v>41244</v>
          </cell>
          <cell r="E2885">
            <v>414530</v>
          </cell>
          <cell r="F2885">
            <v>414530</v>
          </cell>
          <cell r="G2885">
            <v>99119</v>
          </cell>
          <cell r="H2885">
            <v>34544</v>
          </cell>
          <cell r="I2885">
            <v>7500</v>
          </cell>
        </row>
        <row r="2886">
          <cell r="A2886" t="str">
            <v>5400|447022</v>
          </cell>
          <cell r="B2886" t="str">
            <v>5400</v>
          </cell>
          <cell r="C2886">
            <v>447022</v>
          </cell>
          <cell r="D2886">
            <v>41244</v>
          </cell>
          <cell r="E2886">
            <v>1658121</v>
          </cell>
          <cell r="F2886">
            <v>1658121</v>
          </cell>
          <cell r="G2886">
            <v>745591</v>
          </cell>
          <cell r="H2886">
            <v>138177</v>
          </cell>
          <cell r="I2886">
            <v>63950</v>
          </cell>
        </row>
        <row r="2887">
          <cell r="A2887" t="str">
            <v>5400|447023</v>
          </cell>
          <cell r="B2887" t="str">
            <v>5400</v>
          </cell>
          <cell r="C2887">
            <v>447023</v>
          </cell>
          <cell r="D2887">
            <v>41244</v>
          </cell>
          <cell r="E2887">
            <v>618096</v>
          </cell>
          <cell r="F2887">
            <v>618096</v>
          </cell>
          <cell r="G2887">
            <v>2041790</v>
          </cell>
          <cell r="H2887">
            <v>51508</v>
          </cell>
          <cell r="I2887">
            <v>85650</v>
          </cell>
        </row>
        <row r="2888">
          <cell r="A2888" t="str">
            <v>5400|448001</v>
          </cell>
          <cell r="B2888" t="str">
            <v>5400</v>
          </cell>
          <cell r="C2888">
            <v>448001</v>
          </cell>
          <cell r="D2888">
            <v>41244</v>
          </cell>
          <cell r="E2888">
            <v>24628834</v>
          </cell>
          <cell r="F2888">
            <v>24628834</v>
          </cell>
          <cell r="G2888">
            <v>5016700</v>
          </cell>
          <cell r="H2888">
            <v>2052403</v>
          </cell>
          <cell r="I2888">
            <v>0</v>
          </cell>
        </row>
        <row r="2889">
          <cell r="A2889" t="str">
            <v>5400|448002</v>
          </cell>
          <cell r="B2889" t="str">
            <v>5400</v>
          </cell>
          <cell r="C2889">
            <v>448002</v>
          </cell>
          <cell r="D2889">
            <v>41244</v>
          </cell>
          <cell r="E2889">
            <v>98515334</v>
          </cell>
          <cell r="F2889">
            <v>98515334</v>
          </cell>
          <cell r="G2889">
            <v>77102711</v>
          </cell>
          <cell r="H2889">
            <v>8209611</v>
          </cell>
          <cell r="I2889">
            <v>10293400</v>
          </cell>
        </row>
        <row r="2890">
          <cell r="A2890" t="str">
            <v>5400|448003</v>
          </cell>
          <cell r="B2890" t="str">
            <v>5400</v>
          </cell>
          <cell r="C2890">
            <v>448003</v>
          </cell>
          <cell r="D2890">
            <v>41244</v>
          </cell>
          <cell r="E2890">
            <v>96521402</v>
          </cell>
          <cell r="F2890">
            <v>96521402</v>
          </cell>
          <cell r="G2890">
            <v>72566118</v>
          </cell>
          <cell r="H2890">
            <v>8043450</v>
          </cell>
          <cell r="I2890">
            <v>3190600</v>
          </cell>
        </row>
        <row r="2891">
          <cell r="A2891" t="str">
            <v>5400|449010</v>
          </cell>
          <cell r="B2891" t="str">
            <v>5400</v>
          </cell>
          <cell r="C2891">
            <v>449010</v>
          </cell>
          <cell r="D2891">
            <v>41244</v>
          </cell>
          <cell r="E2891">
            <v>0</v>
          </cell>
          <cell r="F2891">
            <v>0</v>
          </cell>
          <cell r="G2891">
            <v>-42164529</v>
          </cell>
          <cell r="H2891">
            <v>0</v>
          </cell>
          <cell r="I2891">
            <v>0</v>
          </cell>
        </row>
        <row r="2892">
          <cell r="A2892" t="str">
            <v>5400|449022</v>
          </cell>
          <cell r="B2892" t="str">
            <v>5400</v>
          </cell>
          <cell r="C2892">
            <v>449022</v>
          </cell>
          <cell r="D2892">
            <v>41244</v>
          </cell>
          <cell r="E2892">
            <v>31680000</v>
          </cell>
          <cell r="F2892">
            <v>31680000</v>
          </cell>
          <cell r="G2892">
            <v>23224000</v>
          </cell>
          <cell r="H2892">
            <v>2640000</v>
          </cell>
          <cell r="I2892">
            <v>2167000</v>
          </cell>
        </row>
        <row r="2893">
          <cell r="A2893" t="str">
            <v>5400|449023</v>
          </cell>
          <cell r="B2893" t="str">
            <v>5400</v>
          </cell>
          <cell r="C2893">
            <v>449023</v>
          </cell>
          <cell r="D2893">
            <v>41244</v>
          </cell>
          <cell r="E2893">
            <v>53250000</v>
          </cell>
          <cell r="F2893">
            <v>53250000</v>
          </cell>
          <cell r="G2893">
            <v>47709463</v>
          </cell>
          <cell r="H2893">
            <v>4437500</v>
          </cell>
          <cell r="I2893">
            <v>3632600</v>
          </cell>
        </row>
        <row r="2894">
          <cell r="A2894" t="str">
            <v>5400|449025</v>
          </cell>
          <cell r="B2894" t="str">
            <v>5400</v>
          </cell>
          <cell r="C2894">
            <v>449025</v>
          </cell>
          <cell r="D2894">
            <v>41244</v>
          </cell>
          <cell r="E2894">
            <v>7920000</v>
          </cell>
          <cell r="F2894">
            <v>7920000</v>
          </cell>
          <cell r="G2894">
            <v>7398000</v>
          </cell>
          <cell r="H2894">
            <v>660000</v>
          </cell>
          <cell r="I2894">
            <v>663000</v>
          </cell>
        </row>
        <row r="2895">
          <cell r="A2895" t="str">
            <v>5400|449032</v>
          </cell>
          <cell r="B2895" t="str">
            <v>5400</v>
          </cell>
          <cell r="C2895">
            <v>449032</v>
          </cell>
          <cell r="D2895">
            <v>41244</v>
          </cell>
          <cell r="E2895">
            <v>9552694</v>
          </cell>
          <cell r="F2895">
            <v>9552694</v>
          </cell>
          <cell r="G2895">
            <v>12484000</v>
          </cell>
          <cell r="H2895">
            <v>796057</v>
          </cell>
          <cell r="I2895">
            <v>0</v>
          </cell>
        </row>
        <row r="2896">
          <cell r="A2896" t="str">
            <v>5400|449040</v>
          </cell>
          <cell r="B2896" t="str">
            <v>5400</v>
          </cell>
          <cell r="C2896">
            <v>449040</v>
          </cell>
          <cell r="D2896">
            <v>41244</v>
          </cell>
          <cell r="E2896">
            <v>0</v>
          </cell>
          <cell r="F2896">
            <v>0</v>
          </cell>
          <cell r="G2896">
            <v>750000</v>
          </cell>
          <cell r="H2896">
            <v>0</v>
          </cell>
          <cell r="I2896">
            <v>0</v>
          </cell>
        </row>
        <row r="2897">
          <cell r="A2897" t="str">
            <v>5400|449050</v>
          </cell>
          <cell r="B2897" t="str">
            <v>5400</v>
          </cell>
          <cell r="C2897">
            <v>449050</v>
          </cell>
          <cell r="D2897">
            <v>41244</v>
          </cell>
          <cell r="E2897">
            <v>31550042</v>
          </cell>
          <cell r="F2897">
            <v>31550042</v>
          </cell>
          <cell r="G2897">
            <v>54927824</v>
          </cell>
          <cell r="H2897">
            <v>2629169</v>
          </cell>
          <cell r="I2897">
            <v>2466667</v>
          </cell>
        </row>
        <row r="2898">
          <cell r="A2898" t="str">
            <v>5400|449060</v>
          </cell>
          <cell r="B2898" t="str">
            <v>5400</v>
          </cell>
          <cell r="C2898">
            <v>449060</v>
          </cell>
          <cell r="D2898">
            <v>41244</v>
          </cell>
          <cell r="E2898">
            <v>600000</v>
          </cell>
          <cell r="F2898">
            <v>600000</v>
          </cell>
          <cell r="G2898">
            <v>1538703</v>
          </cell>
          <cell r="H2898">
            <v>50000</v>
          </cell>
          <cell r="I2898">
            <v>0</v>
          </cell>
        </row>
        <row r="2899">
          <cell r="A2899" t="str">
            <v>5400|449061</v>
          </cell>
          <cell r="B2899" t="str">
            <v>5400</v>
          </cell>
          <cell r="C2899">
            <v>449061</v>
          </cell>
          <cell r="D2899">
            <v>41244</v>
          </cell>
          <cell r="E2899">
            <v>15187387</v>
          </cell>
          <cell r="F2899">
            <v>15187387</v>
          </cell>
          <cell r="G2899">
            <v>16093825</v>
          </cell>
          <cell r="H2899">
            <v>1265616</v>
          </cell>
          <cell r="I2899">
            <v>1878400</v>
          </cell>
        </row>
        <row r="2900">
          <cell r="A2900" t="str">
            <v>5400|452000</v>
          </cell>
          <cell r="B2900" t="str">
            <v>5400</v>
          </cell>
          <cell r="C2900">
            <v>452000</v>
          </cell>
          <cell r="D2900">
            <v>41244</v>
          </cell>
          <cell r="E2900">
            <v>3000000</v>
          </cell>
          <cell r="F2900">
            <v>3000000</v>
          </cell>
          <cell r="G2900">
            <v>0</v>
          </cell>
          <cell r="H2900">
            <v>250001</v>
          </cell>
          <cell r="I2900">
            <v>0</v>
          </cell>
        </row>
        <row r="2901">
          <cell r="A2901" t="str">
            <v>5400|455000</v>
          </cell>
          <cell r="B2901" t="str">
            <v>5400</v>
          </cell>
          <cell r="C2901">
            <v>455000</v>
          </cell>
          <cell r="D2901">
            <v>41244</v>
          </cell>
          <cell r="E2901">
            <v>20000000</v>
          </cell>
          <cell r="F2901">
            <v>20000000</v>
          </cell>
          <cell r="G2901">
            <v>48762410</v>
          </cell>
          <cell r="H2901">
            <v>1666650</v>
          </cell>
          <cell r="I2901">
            <v>26040</v>
          </cell>
        </row>
        <row r="2902">
          <cell r="A2902" t="str">
            <v>5400|455002</v>
          </cell>
          <cell r="B2902" t="str">
            <v>5400</v>
          </cell>
          <cell r="C2902">
            <v>455002</v>
          </cell>
          <cell r="D2902">
            <v>41244</v>
          </cell>
          <cell r="E2902">
            <v>2500000</v>
          </cell>
          <cell r="F2902">
            <v>2500000</v>
          </cell>
          <cell r="G2902">
            <v>356250</v>
          </cell>
          <cell r="H2902">
            <v>208333</v>
          </cell>
          <cell r="I2902">
            <v>0</v>
          </cell>
        </row>
        <row r="2903">
          <cell r="A2903" t="str">
            <v>5400|459000</v>
          </cell>
          <cell r="B2903" t="str">
            <v>5400</v>
          </cell>
          <cell r="C2903">
            <v>459000</v>
          </cell>
          <cell r="D2903">
            <v>41244</v>
          </cell>
          <cell r="E2903">
            <v>10100000</v>
          </cell>
          <cell r="F2903">
            <v>10100000</v>
          </cell>
          <cell r="G2903">
            <v>9859500</v>
          </cell>
          <cell r="H2903">
            <v>841667</v>
          </cell>
          <cell r="I2903">
            <v>5809000</v>
          </cell>
        </row>
        <row r="2904">
          <cell r="A2904" t="str">
            <v>5400|459003</v>
          </cell>
          <cell r="B2904" t="str">
            <v>5400</v>
          </cell>
          <cell r="C2904">
            <v>459003</v>
          </cell>
          <cell r="D2904">
            <v>41244</v>
          </cell>
          <cell r="E2904">
            <v>1921616</v>
          </cell>
          <cell r="F2904">
            <v>1921616</v>
          </cell>
          <cell r="G2904">
            <v>0</v>
          </cell>
          <cell r="H2904">
            <v>160135</v>
          </cell>
          <cell r="I2904">
            <v>0</v>
          </cell>
        </row>
        <row r="2905">
          <cell r="A2905" t="str">
            <v>5400|459005</v>
          </cell>
          <cell r="B2905" t="str">
            <v>5400</v>
          </cell>
          <cell r="C2905">
            <v>459005</v>
          </cell>
          <cell r="D2905">
            <v>41244</v>
          </cell>
          <cell r="E2905">
            <v>3000000</v>
          </cell>
          <cell r="F2905">
            <v>3000000</v>
          </cell>
          <cell r="G2905">
            <v>748800</v>
          </cell>
          <cell r="H2905">
            <v>250001</v>
          </cell>
          <cell r="I2905">
            <v>0</v>
          </cell>
        </row>
        <row r="2906">
          <cell r="A2906" t="str">
            <v>5400|470101</v>
          </cell>
          <cell r="B2906" t="str">
            <v>5400</v>
          </cell>
          <cell r="C2906">
            <v>470101</v>
          </cell>
          <cell r="D2906">
            <v>41244</v>
          </cell>
          <cell r="E2906">
            <v>290743</v>
          </cell>
          <cell r="F2906">
            <v>290743</v>
          </cell>
          <cell r="G2906">
            <v>0</v>
          </cell>
          <cell r="H2906">
            <v>24229</v>
          </cell>
          <cell r="I2906">
            <v>0</v>
          </cell>
        </row>
        <row r="2907">
          <cell r="A2907" t="str">
            <v>5400|470102</v>
          </cell>
          <cell r="B2907" t="str">
            <v>5400</v>
          </cell>
          <cell r="C2907">
            <v>470102</v>
          </cell>
          <cell r="D2907">
            <v>41244</v>
          </cell>
          <cell r="E2907">
            <v>13723971</v>
          </cell>
          <cell r="F2907">
            <v>13723971</v>
          </cell>
          <cell r="G2907">
            <v>3651362</v>
          </cell>
          <cell r="H2907">
            <v>1143664</v>
          </cell>
          <cell r="I2907">
            <v>186251</v>
          </cell>
        </row>
        <row r="2908">
          <cell r="A2908" t="str">
            <v>5400|471000</v>
          </cell>
          <cell r="B2908" t="str">
            <v>5400</v>
          </cell>
          <cell r="C2908">
            <v>471000</v>
          </cell>
          <cell r="D2908">
            <v>41244</v>
          </cell>
          <cell r="E2908">
            <v>25131550</v>
          </cell>
          <cell r="F2908">
            <v>25131550</v>
          </cell>
          <cell r="G2908">
            <v>31517660</v>
          </cell>
          <cell r="H2908">
            <v>2094296</v>
          </cell>
          <cell r="I2908">
            <v>6351790</v>
          </cell>
        </row>
        <row r="2909">
          <cell r="A2909" t="str">
            <v>5400|472000</v>
          </cell>
          <cell r="B2909" t="str">
            <v>5400</v>
          </cell>
          <cell r="C2909">
            <v>472000</v>
          </cell>
          <cell r="D2909">
            <v>41244</v>
          </cell>
          <cell r="E2909">
            <v>20000000</v>
          </cell>
          <cell r="F2909">
            <v>20000000</v>
          </cell>
          <cell r="G2909">
            <v>5624165</v>
          </cell>
          <cell r="H2909">
            <v>1666665</v>
          </cell>
          <cell r="I2909">
            <v>0</v>
          </cell>
        </row>
        <row r="2910">
          <cell r="A2910" t="str">
            <v>5400|473000</v>
          </cell>
          <cell r="B2910" t="str">
            <v>5400</v>
          </cell>
          <cell r="C2910">
            <v>473000</v>
          </cell>
          <cell r="D2910">
            <v>41244</v>
          </cell>
          <cell r="E2910">
            <v>9420772</v>
          </cell>
          <cell r="F2910">
            <v>9420772</v>
          </cell>
          <cell r="G2910">
            <v>0</v>
          </cell>
          <cell r="H2910">
            <v>785064</v>
          </cell>
          <cell r="I2910">
            <v>0</v>
          </cell>
        </row>
        <row r="2911">
          <cell r="A2911" t="str">
            <v>5400|473120</v>
          </cell>
          <cell r="B2911" t="str">
            <v>5400</v>
          </cell>
          <cell r="C2911">
            <v>473120</v>
          </cell>
          <cell r="D2911">
            <v>41244</v>
          </cell>
          <cell r="E2911">
            <v>9288739</v>
          </cell>
          <cell r="F2911">
            <v>9288739</v>
          </cell>
          <cell r="G2911">
            <v>9278704</v>
          </cell>
          <cell r="H2911">
            <v>774062</v>
          </cell>
          <cell r="I2911">
            <v>1299131</v>
          </cell>
        </row>
        <row r="2912">
          <cell r="A2912" t="str">
            <v>5400|474100</v>
          </cell>
          <cell r="B2912" t="str">
            <v>5400</v>
          </cell>
          <cell r="C2912">
            <v>474100</v>
          </cell>
          <cell r="D2912">
            <v>41244</v>
          </cell>
          <cell r="E2912">
            <v>8290593</v>
          </cell>
          <cell r="F2912">
            <v>8290593</v>
          </cell>
          <cell r="G2912">
            <v>0</v>
          </cell>
          <cell r="H2912">
            <v>690883</v>
          </cell>
          <cell r="I2912">
            <v>0</v>
          </cell>
        </row>
        <row r="2913">
          <cell r="A2913" t="str">
            <v>5400|474101</v>
          </cell>
          <cell r="B2913" t="str">
            <v>5400</v>
          </cell>
          <cell r="C2913">
            <v>474101</v>
          </cell>
          <cell r="D2913">
            <v>41244</v>
          </cell>
          <cell r="E2913">
            <v>4497461</v>
          </cell>
          <cell r="F2913">
            <v>4497461</v>
          </cell>
          <cell r="G2913">
            <v>20623882</v>
          </cell>
          <cell r="H2913">
            <v>374789</v>
          </cell>
          <cell r="I2913">
            <v>4150000</v>
          </cell>
        </row>
        <row r="2914">
          <cell r="A2914" t="str">
            <v>5400|475002</v>
          </cell>
          <cell r="B2914" t="str">
            <v>5400</v>
          </cell>
          <cell r="C2914">
            <v>475002</v>
          </cell>
          <cell r="D2914">
            <v>41244</v>
          </cell>
          <cell r="E2914">
            <v>4443300</v>
          </cell>
          <cell r="F2914">
            <v>4443300</v>
          </cell>
          <cell r="G2914">
            <v>7109648</v>
          </cell>
          <cell r="H2914">
            <v>370277</v>
          </cell>
          <cell r="I2914">
            <v>823126</v>
          </cell>
        </row>
        <row r="2915">
          <cell r="A2915" t="str">
            <v>5400|475003</v>
          </cell>
          <cell r="B2915" t="str">
            <v>5400</v>
          </cell>
          <cell r="C2915">
            <v>475003</v>
          </cell>
          <cell r="D2915">
            <v>41244</v>
          </cell>
          <cell r="E2915">
            <v>920000</v>
          </cell>
          <cell r="F2915">
            <v>920000</v>
          </cell>
          <cell r="G2915">
            <v>320000</v>
          </cell>
          <cell r="H2915">
            <v>76667</v>
          </cell>
          <cell r="I2915">
            <v>0</v>
          </cell>
        </row>
        <row r="2916">
          <cell r="A2916" t="str">
            <v>5400|475004</v>
          </cell>
          <cell r="B2916" t="str">
            <v>5400</v>
          </cell>
          <cell r="C2916">
            <v>475004</v>
          </cell>
          <cell r="D2916">
            <v>41244</v>
          </cell>
          <cell r="E2916">
            <v>1211182</v>
          </cell>
          <cell r="F2916">
            <v>1211182</v>
          </cell>
          <cell r="G2916">
            <v>0</v>
          </cell>
          <cell r="H2916">
            <v>100932</v>
          </cell>
          <cell r="I2916">
            <v>0</v>
          </cell>
        </row>
        <row r="2917">
          <cell r="A2917" t="str">
            <v>5400|475006</v>
          </cell>
          <cell r="B2917" t="str">
            <v>5400</v>
          </cell>
          <cell r="C2917">
            <v>475006</v>
          </cell>
          <cell r="D2917">
            <v>41244</v>
          </cell>
          <cell r="E2917">
            <v>18423789</v>
          </cell>
          <cell r="F2917">
            <v>18423789</v>
          </cell>
          <cell r="G2917">
            <v>5148756</v>
          </cell>
          <cell r="H2917">
            <v>1535316</v>
          </cell>
          <cell r="I2917">
            <v>429063</v>
          </cell>
        </row>
        <row r="2918">
          <cell r="A2918" t="str">
            <v>5400|476000</v>
          </cell>
          <cell r="B2918" t="str">
            <v>5400</v>
          </cell>
          <cell r="C2918">
            <v>476000</v>
          </cell>
          <cell r="D2918">
            <v>41244</v>
          </cell>
          <cell r="E2918">
            <v>12648634</v>
          </cell>
          <cell r="F2918">
            <v>12648634</v>
          </cell>
          <cell r="G2918">
            <v>13151644</v>
          </cell>
          <cell r="H2918">
            <v>1054054</v>
          </cell>
          <cell r="I2918">
            <v>0</v>
          </cell>
        </row>
        <row r="2919">
          <cell r="A2919" t="str">
            <v>5400|476001</v>
          </cell>
          <cell r="B2919" t="str">
            <v>5400</v>
          </cell>
          <cell r="C2919">
            <v>476001</v>
          </cell>
          <cell r="D2919">
            <v>41244</v>
          </cell>
          <cell r="E2919">
            <v>175000</v>
          </cell>
          <cell r="F2919">
            <v>175000</v>
          </cell>
          <cell r="G2919">
            <v>52500</v>
          </cell>
          <cell r="H2919">
            <v>14583</v>
          </cell>
          <cell r="I2919">
            <v>0</v>
          </cell>
        </row>
        <row r="2920">
          <cell r="A2920" t="str">
            <v>5400|476220</v>
          </cell>
          <cell r="B2920" t="str">
            <v>5400</v>
          </cell>
          <cell r="C2920">
            <v>476220</v>
          </cell>
          <cell r="D2920">
            <v>41244</v>
          </cell>
          <cell r="E2920">
            <v>49607147</v>
          </cell>
          <cell r="F2920">
            <v>49607147</v>
          </cell>
          <cell r="G2920">
            <v>3815015</v>
          </cell>
          <cell r="H2920">
            <v>4133940</v>
          </cell>
          <cell r="I2920">
            <v>0</v>
          </cell>
        </row>
        <row r="2921">
          <cell r="A2921" t="str">
            <v>5400|476900</v>
          </cell>
          <cell r="B2921" t="str">
            <v>5400</v>
          </cell>
          <cell r="C2921">
            <v>476900</v>
          </cell>
          <cell r="D2921">
            <v>41244</v>
          </cell>
          <cell r="E2921">
            <v>903166</v>
          </cell>
          <cell r="F2921">
            <v>903166</v>
          </cell>
          <cell r="G2921">
            <v>2340000</v>
          </cell>
          <cell r="H2921">
            <v>75264</v>
          </cell>
          <cell r="I2921">
            <v>2340000</v>
          </cell>
        </row>
        <row r="2922">
          <cell r="A2922" t="str">
            <v>5410|211100</v>
          </cell>
          <cell r="B2922" t="str">
            <v>5410</v>
          </cell>
          <cell r="C2922">
            <v>211100</v>
          </cell>
          <cell r="D2922">
            <v>41244</v>
          </cell>
          <cell r="E2922">
            <v>0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</row>
        <row r="2923">
          <cell r="A2923" t="str">
            <v>5410|211104</v>
          </cell>
          <cell r="B2923" t="str">
            <v>5410</v>
          </cell>
          <cell r="C2923">
            <v>211104</v>
          </cell>
          <cell r="D2923">
            <v>41244</v>
          </cell>
          <cell r="E2923">
            <v>41778050</v>
          </cell>
          <cell r="F2923">
            <v>41778050</v>
          </cell>
          <cell r="G2923">
            <v>39907812</v>
          </cell>
          <cell r="H2923">
            <v>3481504</v>
          </cell>
          <cell r="I2923">
            <v>3520988</v>
          </cell>
        </row>
        <row r="2924">
          <cell r="A2924" t="str">
            <v>5410|400040</v>
          </cell>
          <cell r="B2924" t="str">
            <v>5410</v>
          </cell>
          <cell r="C2924">
            <v>400040</v>
          </cell>
          <cell r="D2924">
            <v>41244</v>
          </cell>
          <cell r="E2924">
            <v>3000000</v>
          </cell>
          <cell r="F2924">
            <v>3000000</v>
          </cell>
          <cell r="G2924">
            <v>2393915</v>
          </cell>
          <cell r="H2924">
            <v>250000</v>
          </cell>
          <cell r="I2924">
            <v>0</v>
          </cell>
        </row>
        <row r="2925">
          <cell r="A2925" t="str">
            <v>5410|405200</v>
          </cell>
          <cell r="B2925" t="str">
            <v>5410</v>
          </cell>
          <cell r="C2925">
            <v>405200</v>
          </cell>
          <cell r="D2925">
            <v>41244</v>
          </cell>
          <cell r="E2925">
            <v>6000000</v>
          </cell>
          <cell r="F2925">
            <v>6000000</v>
          </cell>
          <cell r="G2925">
            <v>4750000</v>
          </cell>
          <cell r="H2925">
            <v>500001</v>
          </cell>
          <cell r="I2925">
            <v>0</v>
          </cell>
        </row>
        <row r="2926">
          <cell r="A2926" t="str">
            <v>5410|405251</v>
          </cell>
          <cell r="B2926" t="str">
            <v>5410</v>
          </cell>
          <cell r="C2926">
            <v>405251</v>
          </cell>
          <cell r="D2926">
            <v>41244</v>
          </cell>
          <cell r="E2926">
            <v>0</v>
          </cell>
          <cell r="F2926">
            <v>0</v>
          </cell>
          <cell r="G2926">
            <v>1156649</v>
          </cell>
          <cell r="H2926">
            <v>0</v>
          </cell>
          <cell r="I2926">
            <v>0</v>
          </cell>
        </row>
        <row r="2927">
          <cell r="A2927" t="str">
            <v>5410|449061</v>
          </cell>
          <cell r="B2927" t="str">
            <v>5410</v>
          </cell>
          <cell r="C2927">
            <v>449061</v>
          </cell>
          <cell r="D2927">
            <v>41244</v>
          </cell>
          <cell r="E2927">
            <v>58000</v>
          </cell>
          <cell r="F2927">
            <v>58000</v>
          </cell>
          <cell r="G2927">
            <v>3168500</v>
          </cell>
          <cell r="H2927">
            <v>4833</v>
          </cell>
          <cell r="I2927">
            <v>0</v>
          </cell>
        </row>
        <row r="2928">
          <cell r="A2928" t="str">
            <v>5410|455001</v>
          </cell>
          <cell r="B2928" t="str">
            <v>5410</v>
          </cell>
          <cell r="C2928">
            <v>455001</v>
          </cell>
          <cell r="D2928">
            <v>41244</v>
          </cell>
          <cell r="E2928">
            <v>5000000</v>
          </cell>
          <cell r="F2928">
            <v>5000000</v>
          </cell>
          <cell r="G2928">
            <v>0</v>
          </cell>
          <cell r="H2928">
            <v>416667</v>
          </cell>
          <cell r="I2928">
            <v>0</v>
          </cell>
        </row>
        <row r="2929">
          <cell r="A2929" t="str">
            <v>5410|455002</v>
          </cell>
          <cell r="B2929" t="str">
            <v>5410</v>
          </cell>
          <cell r="C2929">
            <v>455002</v>
          </cell>
          <cell r="D2929">
            <v>41244</v>
          </cell>
          <cell r="E2929">
            <v>0</v>
          </cell>
          <cell r="F2929">
            <v>0</v>
          </cell>
          <cell r="G2929">
            <v>-182000</v>
          </cell>
          <cell r="H2929">
            <v>0</v>
          </cell>
          <cell r="I2929">
            <v>0</v>
          </cell>
        </row>
        <row r="2930">
          <cell r="A2930" t="str">
            <v>5410|470102</v>
          </cell>
          <cell r="B2930" t="str">
            <v>5410</v>
          </cell>
          <cell r="C2930">
            <v>470102</v>
          </cell>
          <cell r="D2930">
            <v>41244</v>
          </cell>
          <cell r="E2930">
            <v>1035771</v>
          </cell>
          <cell r="F2930">
            <v>1035771</v>
          </cell>
          <cell r="G2930">
            <v>1900502</v>
          </cell>
          <cell r="H2930">
            <v>86314</v>
          </cell>
          <cell r="I2930">
            <v>205751</v>
          </cell>
        </row>
        <row r="2931">
          <cell r="A2931" t="str">
            <v>5410|473120</v>
          </cell>
          <cell r="B2931" t="str">
            <v>5410</v>
          </cell>
          <cell r="C2931">
            <v>473120</v>
          </cell>
          <cell r="D2931">
            <v>41244</v>
          </cell>
          <cell r="E2931">
            <v>2188850</v>
          </cell>
          <cell r="F2931">
            <v>2188850</v>
          </cell>
          <cell r="G2931">
            <v>7500989</v>
          </cell>
          <cell r="H2931">
            <v>182404</v>
          </cell>
          <cell r="I2931">
            <v>0</v>
          </cell>
        </row>
        <row r="2932">
          <cell r="A2932" t="str">
            <v>5500|211104</v>
          </cell>
          <cell r="B2932" t="str">
            <v>5500</v>
          </cell>
          <cell r="C2932">
            <v>211104</v>
          </cell>
          <cell r="D2932">
            <v>41244</v>
          </cell>
          <cell r="E2932">
            <v>288940919</v>
          </cell>
          <cell r="F2932">
            <v>288940919</v>
          </cell>
          <cell r="G2932">
            <v>165935137</v>
          </cell>
          <cell r="H2932">
            <v>24078410</v>
          </cell>
          <cell r="I2932">
            <v>9955501</v>
          </cell>
        </row>
        <row r="2933">
          <cell r="A2933" t="str">
            <v>5500|246000</v>
          </cell>
          <cell r="B2933" t="str">
            <v>5500</v>
          </cell>
          <cell r="C2933">
            <v>246000</v>
          </cell>
          <cell r="D2933">
            <v>41244</v>
          </cell>
          <cell r="E2933">
            <v>8000000</v>
          </cell>
          <cell r="F2933">
            <v>8000000</v>
          </cell>
          <cell r="G2933">
            <v>350000</v>
          </cell>
          <cell r="H2933">
            <v>666667</v>
          </cell>
          <cell r="I2933">
            <v>0</v>
          </cell>
        </row>
        <row r="2934">
          <cell r="A2934" t="str">
            <v>5500|246006</v>
          </cell>
          <cell r="B2934" t="str">
            <v>5500</v>
          </cell>
          <cell r="C2934">
            <v>246006</v>
          </cell>
          <cell r="D2934">
            <v>41244</v>
          </cell>
          <cell r="E2934">
            <v>1000000</v>
          </cell>
          <cell r="F2934">
            <v>1000000</v>
          </cell>
          <cell r="G2934">
            <v>0</v>
          </cell>
          <cell r="H2934">
            <v>83333</v>
          </cell>
          <cell r="I2934">
            <v>0</v>
          </cell>
        </row>
        <row r="2935">
          <cell r="A2935" t="str">
            <v>5500|400040</v>
          </cell>
          <cell r="B2935" t="str">
            <v>5500</v>
          </cell>
          <cell r="C2935">
            <v>400040</v>
          </cell>
          <cell r="D2935">
            <v>41244</v>
          </cell>
          <cell r="E2935">
            <v>20000000</v>
          </cell>
          <cell r="F2935">
            <v>20000000</v>
          </cell>
          <cell r="G2935">
            <v>42230332</v>
          </cell>
          <cell r="H2935">
            <v>1666667</v>
          </cell>
          <cell r="I2935">
            <v>2553662</v>
          </cell>
        </row>
        <row r="2936">
          <cell r="A2936" t="str">
            <v>5500|405200</v>
          </cell>
          <cell r="B2936" t="str">
            <v>5500</v>
          </cell>
          <cell r="C2936">
            <v>405200</v>
          </cell>
          <cell r="D2936">
            <v>41244</v>
          </cell>
          <cell r="E2936">
            <v>5000000</v>
          </cell>
          <cell r="F2936">
            <v>5000000</v>
          </cell>
          <cell r="G2936">
            <v>-25148</v>
          </cell>
          <cell r="H2936">
            <v>416667</v>
          </cell>
          <cell r="I2936">
            <v>-25148</v>
          </cell>
        </row>
        <row r="2937">
          <cell r="A2937" t="str">
            <v>5500|405251</v>
          </cell>
          <cell r="B2937" t="str">
            <v>5500</v>
          </cell>
          <cell r="C2937">
            <v>405251</v>
          </cell>
          <cell r="D2937">
            <v>41244</v>
          </cell>
          <cell r="E2937">
            <v>2500000</v>
          </cell>
          <cell r="F2937">
            <v>2500000</v>
          </cell>
          <cell r="G2937">
            <v>2838640</v>
          </cell>
          <cell r="H2937">
            <v>208333</v>
          </cell>
          <cell r="I2937">
            <v>2838640</v>
          </cell>
        </row>
        <row r="2938">
          <cell r="A2938" t="str">
            <v>5500|405252</v>
          </cell>
          <cell r="B2938" t="str">
            <v>5500</v>
          </cell>
          <cell r="C2938">
            <v>405252</v>
          </cell>
          <cell r="D2938">
            <v>41244</v>
          </cell>
          <cell r="E2938">
            <v>9896896000</v>
          </cell>
          <cell r="F2938">
            <v>9896896000</v>
          </cell>
          <cell r="G2938">
            <v>2166282877</v>
          </cell>
          <cell r="H2938">
            <v>824741334</v>
          </cell>
          <cell r="I2938">
            <v>1456068052</v>
          </cell>
        </row>
        <row r="2939">
          <cell r="A2939" t="str">
            <v>5500|420000</v>
          </cell>
          <cell r="B2939" t="str">
            <v>5500</v>
          </cell>
          <cell r="C2939">
            <v>420000</v>
          </cell>
          <cell r="D2939">
            <v>41244</v>
          </cell>
          <cell r="E2939">
            <v>40775618</v>
          </cell>
          <cell r="F2939">
            <v>40775618</v>
          </cell>
          <cell r="G2939">
            <v>0</v>
          </cell>
          <cell r="H2939">
            <v>3397968</v>
          </cell>
          <cell r="I2939">
            <v>0</v>
          </cell>
        </row>
        <row r="2940">
          <cell r="A2940" t="str">
            <v>5500|420002</v>
          </cell>
          <cell r="B2940" t="str">
            <v>5500</v>
          </cell>
          <cell r="C2940">
            <v>420002</v>
          </cell>
          <cell r="D2940">
            <v>41244</v>
          </cell>
          <cell r="E2940">
            <v>784342322</v>
          </cell>
          <cell r="F2940">
            <v>784342322</v>
          </cell>
          <cell r="G2940">
            <v>596924532</v>
          </cell>
          <cell r="H2940">
            <v>65361860</v>
          </cell>
          <cell r="I2940">
            <v>50219500</v>
          </cell>
        </row>
        <row r="2941">
          <cell r="A2941" t="str">
            <v>5500|420003</v>
          </cell>
          <cell r="B2941" t="str">
            <v>5500</v>
          </cell>
          <cell r="C2941">
            <v>420003</v>
          </cell>
          <cell r="D2941">
            <v>41244</v>
          </cell>
          <cell r="E2941">
            <v>2259905913</v>
          </cell>
          <cell r="F2941">
            <v>2259905913</v>
          </cell>
          <cell r="G2941">
            <v>2226513794</v>
          </cell>
          <cell r="H2941">
            <v>188325493</v>
          </cell>
          <cell r="I2941">
            <v>186717177</v>
          </cell>
        </row>
        <row r="2942">
          <cell r="A2942" t="str">
            <v>5500|422000</v>
          </cell>
          <cell r="B2942" t="str">
            <v>5500</v>
          </cell>
          <cell r="C2942">
            <v>422000</v>
          </cell>
          <cell r="D2942">
            <v>41244</v>
          </cell>
          <cell r="E2942">
            <v>381379</v>
          </cell>
          <cell r="F2942">
            <v>381379</v>
          </cell>
          <cell r="G2942">
            <v>0</v>
          </cell>
          <cell r="H2942">
            <v>31782</v>
          </cell>
          <cell r="I2942">
            <v>0</v>
          </cell>
        </row>
        <row r="2943">
          <cell r="A2943" t="str">
            <v>5500|422002</v>
          </cell>
          <cell r="B2943" t="str">
            <v>5500</v>
          </cell>
          <cell r="C2943">
            <v>422002</v>
          </cell>
          <cell r="D2943">
            <v>41244</v>
          </cell>
          <cell r="E2943">
            <v>662796</v>
          </cell>
          <cell r="F2943">
            <v>662796</v>
          </cell>
          <cell r="G2943">
            <v>465750</v>
          </cell>
          <cell r="H2943">
            <v>55233</v>
          </cell>
          <cell r="I2943">
            <v>0</v>
          </cell>
        </row>
        <row r="2944">
          <cell r="A2944" t="str">
            <v>5500|422003</v>
          </cell>
          <cell r="B2944" t="str">
            <v>5500</v>
          </cell>
          <cell r="C2944">
            <v>422003</v>
          </cell>
          <cell r="D2944">
            <v>41244</v>
          </cell>
          <cell r="E2944">
            <v>1781550</v>
          </cell>
          <cell r="F2944">
            <v>1781550</v>
          </cell>
          <cell r="G2944">
            <v>740700</v>
          </cell>
          <cell r="H2944">
            <v>148462</v>
          </cell>
          <cell r="I2944">
            <v>0</v>
          </cell>
        </row>
        <row r="2945">
          <cell r="A2945" t="str">
            <v>5500|431000</v>
          </cell>
          <cell r="B2945" t="str">
            <v>5500</v>
          </cell>
          <cell r="C2945">
            <v>431000</v>
          </cell>
          <cell r="D2945">
            <v>41244</v>
          </cell>
          <cell r="E2945">
            <v>12000000</v>
          </cell>
          <cell r="F2945">
            <v>12000000</v>
          </cell>
          <cell r="G2945">
            <v>188263317</v>
          </cell>
          <cell r="H2945">
            <v>1000000</v>
          </cell>
          <cell r="I2945">
            <v>14440118</v>
          </cell>
        </row>
        <row r="2946">
          <cell r="A2946" t="str">
            <v>5500|431001</v>
          </cell>
          <cell r="B2946" t="str">
            <v>5500</v>
          </cell>
          <cell r="C2946">
            <v>431001</v>
          </cell>
          <cell r="D2946">
            <v>41244</v>
          </cell>
          <cell r="E2946">
            <v>2454211</v>
          </cell>
          <cell r="F2946">
            <v>2454211</v>
          </cell>
          <cell r="G2946">
            <v>96774045</v>
          </cell>
          <cell r="H2946">
            <v>204518</v>
          </cell>
          <cell r="I2946">
            <v>0</v>
          </cell>
        </row>
        <row r="2947">
          <cell r="A2947" t="str">
            <v>5500|431002</v>
          </cell>
          <cell r="B2947" t="str">
            <v>5500</v>
          </cell>
          <cell r="C2947">
            <v>431002</v>
          </cell>
          <cell r="D2947">
            <v>41244</v>
          </cell>
          <cell r="E2947">
            <v>23512801</v>
          </cell>
          <cell r="F2947">
            <v>23512801</v>
          </cell>
          <cell r="G2947">
            <v>42151107</v>
          </cell>
          <cell r="H2947">
            <v>1959400</v>
          </cell>
          <cell r="I2947">
            <v>8405169</v>
          </cell>
        </row>
        <row r="2948">
          <cell r="A2948" t="str">
            <v>5500|434012</v>
          </cell>
          <cell r="B2948" t="str">
            <v>5500</v>
          </cell>
          <cell r="C2948">
            <v>434012</v>
          </cell>
          <cell r="D2948">
            <v>41244</v>
          </cell>
          <cell r="E2948">
            <v>18950250</v>
          </cell>
          <cell r="F2948">
            <v>18950250</v>
          </cell>
          <cell r="G2948">
            <v>46293616</v>
          </cell>
          <cell r="H2948">
            <v>1579187</v>
          </cell>
          <cell r="I2948">
            <v>8839309</v>
          </cell>
        </row>
        <row r="2949">
          <cell r="A2949" t="str">
            <v>5500|434013</v>
          </cell>
          <cell r="B2949" t="str">
            <v>5500</v>
          </cell>
          <cell r="C2949">
            <v>434013</v>
          </cell>
          <cell r="D2949">
            <v>41244</v>
          </cell>
          <cell r="E2949">
            <v>67333500</v>
          </cell>
          <cell r="F2949">
            <v>67333500</v>
          </cell>
          <cell r="G2949">
            <v>100767045</v>
          </cell>
          <cell r="H2949">
            <v>5611125</v>
          </cell>
          <cell r="I2949">
            <v>19132347</v>
          </cell>
        </row>
        <row r="2950">
          <cell r="A2950" t="str">
            <v>5500|435000</v>
          </cell>
          <cell r="B2950" t="str">
            <v>5500</v>
          </cell>
          <cell r="C2950">
            <v>435000</v>
          </cell>
          <cell r="D2950">
            <v>41244</v>
          </cell>
          <cell r="E2950">
            <v>3397968</v>
          </cell>
          <cell r="F2950">
            <v>3397968</v>
          </cell>
          <cell r="G2950">
            <v>0</v>
          </cell>
          <cell r="H2950">
            <v>283164</v>
          </cell>
          <cell r="I2950">
            <v>0</v>
          </cell>
        </row>
        <row r="2951">
          <cell r="A2951" t="str">
            <v>5500|435002</v>
          </cell>
          <cell r="B2951" t="str">
            <v>5500</v>
          </cell>
          <cell r="C2951">
            <v>435002</v>
          </cell>
          <cell r="D2951">
            <v>41244</v>
          </cell>
          <cell r="E2951">
            <v>65361860</v>
          </cell>
          <cell r="F2951">
            <v>65361860</v>
          </cell>
          <cell r="G2951">
            <v>50219500</v>
          </cell>
          <cell r="H2951">
            <v>5446822</v>
          </cell>
          <cell r="I2951">
            <v>50219500</v>
          </cell>
        </row>
        <row r="2952">
          <cell r="A2952" t="str">
            <v>5500|435003</v>
          </cell>
          <cell r="B2952" t="str">
            <v>5500</v>
          </cell>
          <cell r="C2952">
            <v>435003</v>
          </cell>
          <cell r="D2952">
            <v>41244</v>
          </cell>
          <cell r="E2952">
            <v>282488239</v>
          </cell>
          <cell r="F2952">
            <v>282488239</v>
          </cell>
          <cell r="G2952">
            <v>300491273</v>
          </cell>
          <cell r="H2952">
            <v>23540687</v>
          </cell>
          <cell r="I2952">
            <v>0</v>
          </cell>
        </row>
        <row r="2953">
          <cell r="A2953" t="str">
            <v>5500|439000</v>
          </cell>
          <cell r="B2953" t="str">
            <v>5500</v>
          </cell>
          <cell r="C2953">
            <v>439000</v>
          </cell>
          <cell r="D2953">
            <v>41244</v>
          </cell>
          <cell r="E2953">
            <v>4848423</v>
          </cell>
          <cell r="F2953">
            <v>4848423</v>
          </cell>
          <cell r="G2953">
            <v>0</v>
          </cell>
          <cell r="H2953">
            <v>404035</v>
          </cell>
          <cell r="I2953">
            <v>0</v>
          </cell>
        </row>
        <row r="2954">
          <cell r="A2954" t="str">
            <v>5500|439003</v>
          </cell>
          <cell r="B2954" t="str">
            <v>5500</v>
          </cell>
          <cell r="C2954">
            <v>439003</v>
          </cell>
          <cell r="D2954">
            <v>41244</v>
          </cell>
          <cell r="E2954">
            <v>616778873</v>
          </cell>
          <cell r="F2954">
            <v>616778873</v>
          </cell>
          <cell r="G2954">
            <v>941196361</v>
          </cell>
          <cell r="H2954">
            <v>51398239</v>
          </cell>
          <cell r="I2954">
            <v>116152397</v>
          </cell>
        </row>
        <row r="2955">
          <cell r="A2955" t="str">
            <v>5500|439008</v>
          </cell>
          <cell r="B2955" t="str">
            <v>5500</v>
          </cell>
          <cell r="C2955">
            <v>439008</v>
          </cell>
          <cell r="D2955">
            <v>41244</v>
          </cell>
          <cell r="E2955">
            <v>180057956</v>
          </cell>
          <cell r="F2955">
            <v>180057956</v>
          </cell>
          <cell r="G2955">
            <v>201119590</v>
          </cell>
          <cell r="H2955">
            <v>15004830</v>
          </cell>
          <cell r="I2955">
            <v>0</v>
          </cell>
        </row>
        <row r="2956">
          <cell r="A2956" t="str">
            <v>5500|439103</v>
          </cell>
          <cell r="B2956" t="str">
            <v>5500</v>
          </cell>
          <cell r="C2956">
            <v>439103</v>
          </cell>
          <cell r="D2956">
            <v>41244</v>
          </cell>
          <cell r="E2956">
            <v>0</v>
          </cell>
          <cell r="F2956">
            <v>0</v>
          </cell>
          <cell r="G2956">
            <v>1000000</v>
          </cell>
          <cell r="H2956">
            <v>0</v>
          </cell>
          <cell r="I2956">
            <v>0</v>
          </cell>
        </row>
        <row r="2957">
          <cell r="A2957" t="str">
            <v>5500|439202</v>
          </cell>
          <cell r="B2957" t="str">
            <v>5500</v>
          </cell>
          <cell r="C2957">
            <v>439202</v>
          </cell>
          <cell r="D2957">
            <v>41244</v>
          </cell>
          <cell r="E2957">
            <v>0</v>
          </cell>
          <cell r="F2957">
            <v>0</v>
          </cell>
          <cell r="G2957">
            <v>1518000</v>
          </cell>
          <cell r="H2957">
            <v>0</v>
          </cell>
          <cell r="I2957">
            <v>0</v>
          </cell>
        </row>
        <row r="2958">
          <cell r="A2958" t="str">
            <v>5500|439203</v>
          </cell>
          <cell r="B2958" t="str">
            <v>5500</v>
          </cell>
          <cell r="C2958">
            <v>439203</v>
          </cell>
          <cell r="D2958">
            <v>41244</v>
          </cell>
          <cell r="E2958">
            <v>0</v>
          </cell>
          <cell r="F2958">
            <v>0</v>
          </cell>
          <cell r="G2958">
            <v>3036000</v>
          </cell>
          <cell r="H2958">
            <v>0</v>
          </cell>
          <cell r="I2958">
            <v>11000</v>
          </cell>
        </row>
        <row r="2959">
          <cell r="A2959" t="str">
            <v>5500|440000</v>
          </cell>
          <cell r="B2959" t="str">
            <v>5500</v>
          </cell>
          <cell r="C2959">
            <v>440000</v>
          </cell>
          <cell r="D2959">
            <v>41244</v>
          </cell>
          <cell r="E2959">
            <v>3397968</v>
          </cell>
          <cell r="F2959">
            <v>3397968</v>
          </cell>
          <cell r="G2959">
            <v>0</v>
          </cell>
          <cell r="H2959">
            <v>283164</v>
          </cell>
          <cell r="I2959">
            <v>0</v>
          </cell>
        </row>
        <row r="2960">
          <cell r="A2960" t="str">
            <v>5500|440002</v>
          </cell>
          <cell r="B2960" t="str">
            <v>5500</v>
          </cell>
          <cell r="C2960">
            <v>440002</v>
          </cell>
          <cell r="D2960">
            <v>41244</v>
          </cell>
          <cell r="E2960">
            <v>65361860</v>
          </cell>
          <cell r="F2960">
            <v>65361860</v>
          </cell>
          <cell r="G2960">
            <v>52949866</v>
          </cell>
          <cell r="H2960">
            <v>5446822</v>
          </cell>
          <cell r="I2960">
            <v>5026361</v>
          </cell>
        </row>
        <row r="2961">
          <cell r="A2961" t="str">
            <v>5500|440003</v>
          </cell>
          <cell r="B2961" t="str">
            <v>5500</v>
          </cell>
          <cell r="C2961">
            <v>440003</v>
          </cell>
          <cell r="D2961">
            <v>41244</v>
          </cell>
          <cell r="E2961">
            <v>247748623</v>
          </cell>
          <cell r="F2961">
            <v>247748623</v>
          </cell>
          <cell r="G2961">
            <v>202652434</v>
          </cell>
          <cell r="H2961">
            <v>20645719</v>
          </cell>
          <cell r="I2961">
            <v>17250815</v>
          </cell>
        </row>
        <row r="2962">
          <cell r="A2962" t="str">
            <v>5500|446000</v>
          </cell>
          <cell r="B2962" t="str">
            <v>5500</v>
          </cell>
          <cell r="C2962">
            <v>446000</v>
          </cell>
          <cell r="D2962">
            <v>41244</v>
          </cell>
          <cell r="E2962">
            <v>1698984</v>
          </cell>
          <cell r="F2962">
            <v>1698984</v>
          </cell>
          <cell r="G2962">
            <v>0</v>
          </cell>
          <cell r="H2962">
            <v>141582</v>
          </cell>
          <cell r="I2962">
            <v>0</v>
          </cell>
        </row>
        <row r="2963">
          <cell r="A2963" t="str">
            <v>5500|446002</v>
          </cell>
          <cell r="B2963" t="str">
            <v>5500</v>
          </cell>
          <cell r="C2963">
            <v>446002</v>
          </cell>
          <cell r="D2963">
            <v>41244</v>
          </cell>
          <cell r="E2963">
            <v>39517830</v>
          </cell>
          <cell r="F2963">
            <v>39517830</v>
          </cell>
          <cell r="G2963">
            <v>17004435</v>
          </cell>
          <cell r="H2963">
            <v>3293152</v>
          </cell>
          <cell r="I2963">
            <v>750000</v>
          </cell>
        </row>
        <row r="2964">
          <cell r="A2964" t="str">
            <v>5500|446003</v>
          </cell>
          <cell r="B2964" t="str">
            <v>5500</v>
          </cell>
          <cell r="C2964">
            <v>446003</v>
          </cell>
          <cell r="D2964">
            <v>41244</v>
          </cell>
          <cell r="E2964">
            <v>0</v>
          </cell>
          <cell r="F2964">
            <v>0</v>
          </cell>
          <cell r="G2964">
            <v>5500000</v>
          </cell>
          <cell r="H2964">
            <v>0</v>
          </cell>
          <cell r="I2964">
            <v>1550000</v>
          </cell>
        </row>
        <row r="2965">
          <cell r="A2965" t="str">
            <v>5500|447000</v>
          </cell>
          <cell r="B2965" t="str">
            <v>5500</v>
          </cell>
          <cell r="C2965">
            <v>447000</v>
          </cell>
          <cell r="D2965">
            <v>41244</v>
          </cell>
          <cell r="E2965">
            <v>640177</v>
          </cell>
          <cell r="F2965">
            <v>640177</v>
          </cell>
          <cell r="G2965">
            <v>0</v>
          </cell>
          <cell r="H2965">
            <v>53348</v>
          </cell>
          <cell r="I2965">
            <v>0</v>
          </cell>
        </row>
        <row r="2966">
          <cell r="A2966" t="str">
            <v>5500|447002</v>
          </cell>
          <cell r="B2966" t="str">
            <v>5500</v>
          </cell>
          <cell r="C2966">
            <v>447002</v>
          </cell>
          <cell r="D2966">
            <v>41244</v>
          </cell>
          <cell r="E2966">
            <v>22799168</v>
          </cell>
          <cell r="F2966">
            <v>22799168</v>
          </cell>
          <cell r="G2966">
            <v>9377162</v>
          </cell>
          <cell r="H2966">
            <v>1899931</v>
          </cell>
          <cell r="I2966">
            <v>788448</v>
          </cell>
        </row>
        <row r="2967">
          <cell r="A2967" t="str">
            <v>5500|447003</v>
          </cell>
          <cell r="B2967" t="str">
            <v>5500</v>
          </cell>
          <cell r="C2967">
            <v>447003</v>
          </cell>
          <cell r="D2967">
            <v>41244</v>
          </cell>
          <cell r="E2967">
            <v>96819316</v>
          </cell>
          <cell r="F2967">
            <v>96819316</v>
          </cell>
          <cell r="G2967">
            <v>32691006</v>
          </cell>
          <cell r="H2967">
            <v>8068278</v>
          </cell>
          <cell r="I2967">
            <v>2748448</v>
          </cell>
        </row>
        <row r="2968">
          <cell r="A2968" t="str">
            <v>5500|447010</v>
          </cell>
          <cell r="B2968" t="str">
            <v>5500</v>
          </cell>
          <cell r="C2968">
            <v>447010</v>
          </cell>
          <cell r="D2968">
            <v>41244</v>
          </cell>
          <cell r="E2968">
            <v>1508698</v>
          </cell>
          <cell r="F2968">
            <v>1508698</v>
          </cell>
          <cell r="G2968">
            <v>0</v>
          </cell>
          <cell r="H2968">
            <v>125725</v>
          </cell>
          <cell r="I2968">
            <v>0</v>
          </cell>
        </row>
        <row r="2969">
          <cell r="A2969" t="str">
            <v>5500|447012</v>
          </cell>
          <cell r="B2969" t="str">
            <v>5500</v>
          </cell>
          <cell r="C2969">
            <v>447012</v>
          </cell>
          <cell r="D2969">
            <v>41244</v>
          </cell>
          <cell r="E2969">
            <v>53730524</v>
          </cell>
          <cell r="F2969">
            <v>53730524</v>
          </cell>
          <cell r="G2969">
            <v>22099008</v>
          </cell>
          <cell r="H2969">
            <v>4477544</v>
          </cell>
          <cell r="I2969">
            <v>1858125</v>
          </cell>
        </row>
        <row r="2970">
          <cell r="A2970" t="str">
            <v>5500|447013</v>
          </cell>
          <cell r="B2970" t="str">
            <v>5500</v>
          </cell>
          <cell r="C2970">
            <v>447013</v>
          </cell>
          <cell r="D2970">
            <v>41244</v>
          </cell>
          <cell r="E2970">
            <v>39637877</v>
          </cell>
          <cell r="F2970">
            <v>39637877</v>
          </cell>
          <cell r="G2970">
            <v>86928372</v>
          </cell>
          <cell r="H2970">
            <v>3303156</v>
          </cell>
          <cell r="I2970">
            <v>7308374</v>
          </cell>
        </row>
        <row r="2971">
          <cell r="A2971" t="str">
            <v>5500|447020</v>
          </cell>
          <cell r="B2971" t="str">
            <v>5500</v>
          </cell>
          <cell r="C2971">
            <v>447020</v>
          </cell>
          <cell r="D2971">
            <v>41244</v>
          </cell>
          <cell r="E2971">
            <v>64018</v>
          </cell>
          <cell r="F2971">
            <v>64018</v>
          </cell>
          <cell r="G2971">
            <v>0</v>
          </cell>
          <cell r="H2971">
            <v>5335</v>
          </cell>
          <cell r="I2971">
            <v>0</v>
          </cell>
        </row>
        <row r="2972">
          <cell r="A2972" t="str">
            <v>5500|447022</v>
          </cell>
          <cell r="B2972" t="str">
            <v>5500</v>
          </cell>
          <cell r="C2972">
            <v>447022</v>
          </cell>
          <cell r="D2972">
            <v>41244</v>
          </cell>
          <cell r="E2972">
            <v>2279917</v>
          </cell>
          <cell r="F2972">
            <v>2279917</v>
          </cell>
          <cell r="G2972">
            <v>813041</v>
          </cell>
          <cell r="H2972">
            <v>189993</v>
          </cell>
          <cell r="I2972">
            <v>68500</v>
          </cell>
        </row>
        <row r="2973">
          <cell r="A2973" t="str">
            <v>5500|447023</v>
          </cell>
          <cell r="B2973" t="str">
            <v>5500</v>
          </cell>
          <cell r="C2973">
            <v>447023</v>
          </cell>
          <cell r="D2973">
            <v>41244</v>
          </cell>
          <cell r="E2973">
            <v>1681932</v>
          </cell>
          <cell r="F2973">
            <v>1681932</v>
          </cell>
          <cell r="G2973">
            <v>7274612</v>
          </cell>
          <cell r="H2973">
            <v>140161</v>
          </cell>
          <cell r="I2973">
            <v>452900</v>
          </cell>
        </row>
        <row r="2974">
          <cell r="A2974" t="str">
            <v>5500|448000</v>
          </cell>
          <cell r="B2974" t="str">
            <v>5500</v>
          </cell>
          <cell r="C2974">
            <v>448000</v>
          </cell>
          <cell r="D2974">
            <v>41244</v>
          </cell>
          <cell r="E2974">
            <v>7811913</v>
          </cell>
          <cell r="F2974">
            <v>7811913</v>
          </cell>
          <cell r="G2974">
            <v>0</v>
          </cell>
          <cell r="H2974">
            <v>650993</v>
          </cell>
          <cell r="I2974">
            <v>0</v>
          </cell>
        </row>
        <row r="2975">
          <cell r="A2975" t="str">
            <v>5500|448002</v>
          </cell>
          <cell r="B2975" t="str">
            <v>5500</v>
          </cell>
          <cell r="C2975">
            <v>448002</v>
          </cell>
          <cell r="D2975">
            <v>41244</v>
          </cell>
          <cell r="E2975">
            <v>135458585</v>
          </cell>
          <cell r="F2975">
            <v>135458585</v>
          </cell>
          <cell r="G2975">
            <v>28763305</v>
          </cell>
          <cell r="H2975">
            <v>11288215</v>
          </cell>
          <cell r="I2975">
            <v>2661000</v>
          </cell>
        </row>
        <row r="2976">
          <cell r="A2976" t="str">
            <v>5500|448003</v>
          </cell>
          <cell r="B2976" t="str">
            <v>5500</v>
          </cell>
          <cell r="C2976">
            <v>448003</v>
          </cell>
          <cell r="D2976">
            <v>41244</v>
          </cell>
          <cell r="E2976">
            <v>155439809</v>
          </cell>
          <cell r="F2976">
            <v>155439809</v>
          </cell>
          <cell r="G2976">
            <v>115845525</v>
          </cell>
          <cell r="H2976">
            <v>12953317</v>
          </cell>
          <cell r="I2976">
            <v>23475390</v>
          </cell>
        </row>
        <row r="2977">
          <cell r="A2977" t="str">
            <v>5500|449020</v>
          </cell>
          <cell r="B2977" t="str">
            <v>5500</v>
          </cell>
          <cell r="C2977">
            <v>449020</v>
          </cell>
          <cell r="D2977">
            <v>41244</v>
          </cell>
          <cell r="E2977">
            <v>3960000</v>
          </cell>
          <cell r="F2977">
            <v>3960000</v>
          </cell>
          <cell r="G2977">
            <v>0</v>
          </cell>
          <cell r="H2977">
            <v>330000</v>
          </cell>
          <cell r="I2977">
            <v>0</v>
          </cell>
        </row>
        <row r="2978">
          <cell r="A2978" t="str">
            <v>5500|449022</v>
          </cell>
          <cell r="B2978" t="str">
            <v>5500</v>
          </cell>
          <cell r="C2978">
            <v>449022</v>
          </cell>
          <cell r="D2978">
            <v>41244</v>
          </cell>
          <cell r="E2978">
            <v>43560000</v>
          </cell>
          <cell r="F2978">
            <v>43560000</v>
          </cell>
          <cell r="G2978">
            <v>32717000</v>
          </cell>
          <cell r="H2978">
            <v>3630000</v>
          </cell>
          <cell r="I2978">
            <v>3174000</v>
          </cell>
        </row>
        <row r="2979">
          <cell r="A2979" t="str">
            <v>5500|449023</v>
          </cell>
          <cell r="B2979" t="str">
            <v>5500</v>
          </cell>
          <cell r="C2979">
            <v>449023</v>
          </cell>
          <cell r="D2979">
            <v>41244</v>
          </cell>
          <cell r="E2979">
            <v>110460000</v>
          </cell>
          <cell r="F2979">
            <v>110460000</v>
          </cell>
          <cell r="G2979">
            <v>109048301</v>
          </cell>
          <cell r="H2979">
            <v>9205000</v>
          </cell>
          <cell r="I2979">
            <v>9499150</v>
          </cell>
        </row>
        <row r="2980">
          <cell r="A2980" t="str">
            <v>5500|449032</v>
          </cell>
          <cell r="B2980" t="str">
            <v>5500</v>
          </cell>
          <cell r="C2980">
            <v>449032</v>
          </cell>
          <cell r="D2980">
            <v>41244</v>
          </cell>
          <cell r="E2980">
            <v>21222694</v>
          </cell>
          <cell r="F2980">
            <v>21222694</v>
          </cell>
          <cell r="G2980">
            <v>27606550</v>
          </cell>
          <cell r="H2980">
            <v>1768558</v>
          </cell>
          <cell r="I2980">
            <v>6495000</v>
          </cell>
        </row>
        <row r="2981">
          <cell r="A2981" t="str">
            <v>5500|449040</v>
          </cell>
          <cell r="B2981" t="str">
            <v>5500</v>
          </cell>
          <cell r="C2981">
            <v>449040</v>
          </cell>
          <cell r="D2981">
            <v>41244</v>
          </cell>
          <cell r="E2981">
            <v>15050000</v>
          </cell>
          <cell r="F2981">
            <v>15050000</v>
          </cell>
          <cell r="G2981">
            <v>58179000</v>
          </cell>
          <cell r="H2981">
            <v>1254167</v>
          </cell>
          <cell r="I2981">
            <v>3695000</v>
          </cell>
        </row>
        <row r="2982">
          <cell r="A2982" t="str">
            <v>5500|449050</v>
          </cell>
          <cell r="B2982" t="str">
            <v>5500</v>
          </cell>
          <cell r="C2982">
            <v>449050</v>
          </cell>
          <cell r="D2982">
            <v>41244</v>
          </cell>
          <cell r="E2982">
            <v>19630004</v>
          </cell>
          <cell r="F2982">
            <v>19630004</v>
          </cell>
          <cell r="G2982">
            <v>68000004</v>
          </cell>
          <cell r="H2982">
            <v>1635834</v>
          </cell>
          <cell r="I2982">
            <v>5666667</v>
          </cell>
        </row>
        <row r="2983">
          <cell r="A2983" t="str">
            <v>5500|449060</v>
          </cell>
          <cell r="B2983" t="str">
            <v>5500</v>
          </cell>
          <cell r="C2983">
            <v>449060</v>
          </cell>
          <cell r="D2983">
            <v>41244</v>
          </cell>
          <cell r="E2983">
            <v>550000</v>
          </cell>
          <cell r="F2983">
            <v>550000</v>
          </cell>
          <cell r="G2983">
            <v>5707719</v>
          </cell>
          <cell r="H2983">
            <v>45833</v>
          </cell>
          <cell r="I2983">
            <v>643519</v>
          </cell>
        </row>
        <row r="2984">
          <cell r="A2984" t="str">
            <v>5500|449061</v>
          </cell>
          <cell r="B2984" t="str">
            <v>5500</v>
          </cell>
          <cell r="C2984">
            <v>449061</v>
          </cell>
          <cell r="D2984">
            <v>41244</v>
          </cell>
          <cell r="E2984">
            <v>46197650</v>
          </cell>
          <cell r="F2984">
            <v>46197650</v>
          </cell>
          <cell r="G2984">
            <v>86658026</v>
          </cell>
          <cell r="H2984">
            <v>3849803</v>
          </cell>
          <cell r="I2984">
            <v>7260900</v>
          </cell>
        </row>
        <row r="2985">
          <cell r="A2985" t="str">
            <v>5500|451000</v>
          </cell>
          <cell r="B2985" t="str">
            <v>5500</v>
          </cell>
          <cell r="C2985">
            <v>451000</v>
          </cell>
          <cell r="D2985">
            <v>41244</v>
          </cell>
          <cell r="E2985">
            <v>19627500</v>
          </cell>
          <cell r="F2985">
            <v>19627500</v>
          </cell>
          <cell r="G2985">
            <v>17935740</v>
          </cell>
          <cell r="H2985">
            <v>1635623</v>
          </cell>
          <cell r="I2985">
            <v>0</v>
          </cell>
        </row>
        <row r="2986">
          <cell r="A2986" t="str">
            <v>5500|452000</v>
          </cell>
          <cell r="B2986" t="str">
            <v>5500</v>
          </cell>
          <cell r="C2986">
            <v>452000</v>
          </cell>
          <cell r="D2986">
            <v>41244</v>
          </cell>
          <cell r="E2986">
            <v>2000000</v>
          </cell>
          <cell r="F2986">
            <v>2000000</v>
          </cell>
          <cell r="G2986">
            <v>3810000</v>
          </cell>
          <cell r="H2986">
            <v>166667</v>
          </cell>
          <cell r="I2986">
            <v>0</v>
          </cell>
        </row>
        <row r="2987">
          <cell r="A2987" t="str">
            <v>5500|455000</v>
          </cell>
          <cell r="B2987" t="str">
            <v>5500</v>
          </cell>
          <cell r="C2987">
            <v>455000</v>
          </cell>
          <cell r="D2987">
            <v>41244</v>
          </cell>
          <cell r="E2987">
            <v>40000000</v>
          </cell>
          <cell r="F2987">
            <v>40000000</v>
          </cell>
          <cell r="G2987">
            <v>158023043</v>
          </cell>
          <cell r="H2987">
            <v>3333328</v>
          </cell>
          <cell r="I2987">
            <v>468000</v>
          </cell>
        </row>
        <row r="2988">
          <cell r="A2988" t="str">
            <v>5500|455002</v>
          </cell>
          <cell r="B2988" t="str">
            <v>5500</v>
          </cell>
          <cell r="C2988">
            <v>455002</v>
          </cell>
          <cell r="D2988">
            <v>41244</v>
          </cell>
          <cell r="E2988">
            <v>7000000</v>
          </cell>
          <cell r="F2988">
            <v>7000000</v>
          </cell>
          <cell r="G2988">
            <v>21246588</v>
          </cell>
          <cell r="H2988">
            <v>583333</v>
          </cell>
          <cell r="I2988">
            <v>0</v>
          </cell>
        </row>
        <row r="2989">
          <cell r="A2989" t="str">
            <v>5500|459000</v>
          </cell>
          <cell r="B2989" t="str">
            <v>5500</v>
          </cell>
          <cell r="C2989">
            <v>459000</v>
          </cell>
          <cell r="D2989">
            <v>41244</v>
          </cell>
          <cell r="E2989">
            <v>3500000</v>
          </cell>
          <cell r="F2989">
            <v>3500000</v>
          </cell>
          <cell r="G2989">
            <v>2572730</v>
          </cell>
          <cell r="H2989">
            <v>291667</v>
          </cell>
          <cell r="I2989">
            <v>0</v>
          </cell>
        </row>
        <row r="2990">
          <cell r="A2990" t="str">
            <v>5500|459005</v>
          </cell>
          <cell r="B2990" t="str">
            <v>5500</v>
          </cell>
          <cell r="C2990">
            <v>459005</v>
          </cell>
          <cell r="D2990">
            <v>41244</v>
          </cell>
          <cell r="E2990">
            <v>2250000</v>
          </cell>
          <cell r="F2990">
            <v>2250000</v>
          </cell>
          <cell r="G2990">
            <v>4030750</v>
          </cell>
          <cell r="H2990">
            <v>187500</v>
          </cell>
          <cell r="I2990">
            <v>0</v>
          </cell>
        </row>
        <row r="2991">
          <cell r="A2991" t="str">
            <v>5500|470101</v>
          </cell>
          <cell r="B2991" t="str">
            <v>5500</v>
          </cell>
          <cell r="C2991">
            <v>470101</v>
          </cell>
          <cell r="D2991">
            <v>41244</v>
          </cell>
          <cell r="E2991">
            <v>410674</v>
          </cell>
          <cell r="F2991">
            <v>410674</v>
          </cell>
          <cell r="G2991">
            <v>0</v>
          </cell>
          <cell r="H2991">
            <v>34223</v>
          </cell>
          <cell r="I2991">
            <v>0</v>
          </cell>
        </row>
        <row r="2992">
          <cell r="A2992" t="str">
            <v>5500|470102</v>
          </cell>
          <cell r="B2992" t="str">
            <v>5500</v>
          </cell>
          <cell r="C2992">
            <v>470102</v>
          </cell>
          <cell r="D2992">
            <v>41244</v>
          </cell>
          <cell r="E2992">
            <v>1299802</v>
          </cell>
          <cell r="F2992">
            <v>1299802</v>
          </cell>
          <cell r="G2992">
            <v>4269301</v>
          </cell>
          <cell r="H2992">
            <v>108317</v>
          </cell>
          <cell r="I2992">
            <v>667150</v>
          </cell>
        </row>
        <row r="2993">
          <cell r="A2993" t="str">
            <v>5500|471000</v>
          </cell>
          <cell r="B2993" t="str">
            <v>5500</v>
          </cell>
          <cell r="C2993">
            <v>471000</v>
          </cell>
          <cell r="D2993">
            <v>41244</v>
          </cell>
          <cell r="E2993">
            <v>23359430</v>
          </cell>
          <cell r="F2993">
            <v>23359430</v>
          </cell>
          <cell r="G2993">
            <v>32599030</v>
          </cell>
          <cell r="H2993">
            <v>1946619</v>
          </cell>
          <cell r="I2993">
            <v>8646840</v>
          </cell>
        </row>
        <row r="2994">
          <cell r="A2994" t="str">
            <v>5500|472000</v>
          </cell>
          <cell r="B2994" t="str">
            <v>5500</v>
          </cell>
          <cell r="C2994">
            <v>472000</v>
          </cell>
          <cell r="D2994">
            <v>41244</v>
          </cell>
          <cell r="E2994">
            <v>1800000</v>
          </cell>
          <cell r="F2994">
            <v>1800000</v>
          </cell>
          <cell r="G2994">
            <v>48376080</v>
          </cell>
          <cell r="H2994">
            <v>150000</v>
          </cell>
          <cell r="I2994">
            <v>7505193</v>
          </cell>
        </row>
        <row r="2995">
          <cell r="A2995" t="str">
            <v>5500|473000</v>
          </cell>
          <cell r="B2995" t="str">
            <v>5500</v>
          </cell>
          <cell r="C2995">
            <v>473000</v>
          </cell>
          <cell r="D2995">
            <v>41244</v>
          </cell>
          <cell r="E2995">
            <v>1087905</v>
          </cell>
          <cell r="F2995">
            <v>1087905</v>
          </cell>
          <cell r="G2995">
            <v>60000</v>
          </cell>
          <cell r="H2995">
            <v>90659</v>
          </cell>
          <cell r="I2995">
            <v>0</v>
          </cell>
        </row>
        <row r="2996">
          <cell r="A2996" t="str">
            <v>5500|473120</v>
          </cell>
          <cell r="B2996" t="str">
            <v>5500</v>
          </cell>
          <cell r="C2996">
            <v>473120</v>
          </cell>
          <cell r="D2996">
            <v>41244</v>
          </cell>
          <cell r="E2996">
            <v>42152481</v>
          </cell>
          <cell r="F2996">
            <v>42152481</v>
          </cell>
          <cell r="G2996">
            <v>84842355</v>
          </cell>
          <cell r="H2996">
            <v>3512706</v>
          </cell>
          <cell r="I2996">
            <v>2308140</v>
          </cell>
        </row>
        <row r="2997">
          <cell r="A2997" t="str">
            <v>5500|474100</v>
          </cell>
          <cell r="B2997" t="str">
            <v>5500</v>
          </cell>
          <cell r="C2997">
            <v>474100</v>
          </cell>
          <cell r="D2997">
            <v>41244</v>
          </cell>
          <cell r="E2997">
            <v>3089563</v>
          </cell>
          <cell r="F2997">
            <v>3089563</v>
          </cell>
          <cell r="G2997">
            <v>112982035</v>
          </cell>
          <cell r="H2997">
            <v>257464</v>
          </cell>
          <cell r="I2997">
            <v>55603661</v>
          </cell>
        </row>
        <row r="2998">
          <cell r="A2998" t="str">
            <v>5500|474101</v>
          </cell>
          <cell r="B2998" t="str">
            <v>5500</v>
          </cell>
          <cell r="C2998">
            <v>474101</v>
          </cell>
          <cell r="D2998">
            <v>41244</v>
          </cell>
          <cell r="E2998">
            <v>2284000</v>
          </cell>
          <cell r="F2998">
            <v>2284000</v>
          </cell>
          <cell r="G2998">
            <v>26677031</v>
          </cell>
          <cell r="H2998">
            <v>190334</v>
          </cell>
          <cell r="I2998">
            <v>3200000</v>
          </cell>
        </row>
        <row r="2999">
          <cell r="A2999" t="str">
            <v>5500|475003</v>
          </cell>
          <cell r="B2999" t="str">
            <v>5500</v>
          </cell>
          <cell r="C2999">
            <v>475003</v>
          </cell>
          <cell r="D2999">
            <v>41244</v>
          </cell>
          <cell r="E2999">
            <v>2754000</v>
          </cell>
          <cell r="F2999">
            <v>2754000</v>
          </cell>
          <cell r="G2999">
            <v>1541975</v>
          </cell>
          <cell r="H2999">
            <v>229500</v>
          </cell>
          <cell r="I2999">
            <v>0</v>
          </cell>
        </row>
        <row r="3000">
          <cell r="A3000" t="str">
            <v>5500|475004</v>
          </cell>
          <cell r="B3000" t="str">
            <v>5500</v>
          </cell>
          <cell r="C3000">
            <v>475004</v>
          </cell>
          <cell r="D3000">
            <v>41244</v>
          </cell>
          <cell r="E3000">
            <v>25350000</v>
          </cell>
          <cell r="F3000">
            <v>25350000</v>
          </cell>
          <cell r="G3000">
            <v>38803773</v>
          </cell>
          <cell r="H3000">
            <v>2112501</v>
          </cell>
          <cell r="I3000">
            <v>3250700</v>
          </cell>
        </row>
        <row r="3001">
          <cell r="A3001" t="str">
            <v>5500|475006</v>
          </cell>
          <cell r="B3001" t="str">
            <v>5500</v>
          </cell>
          <cell r="C3001">
            <v>475006</v>
          </cell>
          <cell r="D3001">
            <v>41244</v>
          </cell>
          <cell r="E3001">
            <v>5872781</v>
          </cell>
          <cell r="F3001">
            <v>5872781</v>
          </cell>
          <cell r="G3001">
            <v>8063827</v>
          </cell>
          <cell r="H3001">
            <v>489398</v>
          </cell>
          <cell r="I3001">
            <v>639376</v>
          </cell>
        </row>
        <row r="3002">
          <cell r="A3002" t="str">
            <v>5500|476000</v>
          </cell>
          <cell r="B3002" t="str">
            <v>5500</v>
          </cell>
          <cell r="C3002">
            <v>476000</v>
          </cell>
          <cell r="D3002">
            <v>41244</v>
          </cell>
          <cell r="E3002">
            <v>12059411</v>
          </cell>
          <cell r="F3002">
            <v>12059411</v>
          </cell>
          <cell r="G3002">
            <v>12041608</v>
          </cell>
          <cell r="H3002">
            <v>1004952</v>
          </cell>
          <cell r="I3002">
            <v>0</v>
          </cell>
        </row>
        <row r="3003">
          <cell r="A3003" t="str">
            <v>5500|476001</v>
          </cell>
          <cell r="B3003" t="str">
            <v>5500</v>
          </cell>
          <cell r="C3003">
            <v>476001</v>
          </cell>
          <cell r="D3003">
            <v>41244</v>
          </cell>
          <cell r="E3003">
            <v>1159500</v>
          </cell>
          <cell r="F3003">
            <v>1159500</v>
          </cell>
          <cell r="G3003">
            <v>335000</v>
          </cell>
          <cell r="H3003">
            <v>96625</v>
          </cell>
          <cell r="I3003">
            <v>0</v>
          </cell>
        </row>
        <row r="3004">
          <cell r="A3004" t="str">
            <v>5500|476201</v>
          </cell>
          <cell r="B3004" t="str">
            <v>5500</v>
          </cell>
          <cell r="C3004">
            <v>476201</v>
          </cell>
          <cell r="D3004">
            <v>41244</v>
          </cell>
          <cell r="E3004">
            <v>1643337500</v>
          </cell>
          <cell r="F3004">
            <v>1643337500</v>
          </cell>
          <cell r="G3004">
            <v>-68175000</v>
          </cell>
          <cell r="H3004">
            <v>136944789</v>
          </cell>
          <cell r="I3004">
            <v>-221836500</v>
          </cell>
        </row>
        <row r="3005">
          <cell r="A3005" t="str">
            <v>5500|476220</v>
          </cell>
          <cell r="B3005" t="str">
            <v>5500</v>
          </cell>
          <cell r="C3005">
            <v>476220</v>
          </cell>
          <cell r="D3005">
            <v>41244</v>
          </cell>
          <cell r="E3005">
            <v>130176600</v>
          </cell>
          <cell r="F3005">
            <v>130176600</v>
          </cell>
          <cell r="G3005">
            <v>61180865</v>
          </cell>
          <cell r="H3005">
            <v>10848050</v>
          </cell>
          <cell r="I3005">
            <v>-299065472</v>
          </cell>
        </row>
        <row r="3006">
          <cell r="A3006" t="str">
            <v>5500|476223</v>
          </cell>
          <cell r="B3006" t="str">
            <v>5500</v>
          </cell>
          <cell r="C3006">
            <v>476223</v>
          </cell>
          <cell r="D3006">
            <v>41244</v>
          </cell>
          <cell r="E3006">
            <v>0</v>
          </cell>
          <cell r="F3006">
            <v>0</v>
          </cell>
          <cell r="G3006">
            <v>2302775718</v>
          </cell>
          <cell r="H3006">
            <v>0</v>
          </cell>
          <cell r="I3006">
            <v>2053110718</v>
          </cell>
        </row>
        <row r="3007">
          <cell r="A3007" t="str">
            <v>5500|476900</v>
          </cell>
          <cell r="B3007" t="str">
            <v>5500</v>
          </cell>
          <cell r="C3007">
            <v>476900</v>
          </cell>
          <cell r="D3007">
            <v>41244</v>
          </cell>
          <cell r="E3007">
            <v>8500000</v>
          </cell>
          <cell r="F3007">
            <v>8500000</v>
          </cell>
          <cell r="G3007">
            <v>26164777</v>
          </cell>
          <cell r="H3007">
            <v>708333</v>
          </cell>
          <cell r="I3007">
            <v>3456350</v>
          </cell>
        </row>
        <row r="3008">
          <cell r="A3008" t="str">
            <v>5500|476910</v>
          </cell>
          <cell r="B3008" t="str">
            <v>5500</v>
          </cell>
          <cell r="C3008">
            <v>476910</v>
          </cell>
          <cell r="D3008">
            <v>41244</v>
          </cell>
          <cell r="E3008">
            <v>496500</v>
          </cell>
          <cell r="F3008">
            <v>496500</v>
          </cell>
          <cell r="G3008">
            <v>916000</v>
          </cell>
          <cell r="H3008">
            <v>41375</v>
          </cell>
          <cell r="I3008">
            <v>0</v>
          </cell>
        </row>
        <row r="3009">
          <cell r="A3009" t="str">
            <v>5500|477310</v>
          </cell>
          <cell r="B3009" t="str">
            <v>5500</v>
          </cell>
          <cell r="C3009">
            <v>477310</v>
          </cell>
          <cell r="D3009">
            <v>41244</v>
          </cell>
          <cell r="E3009">
            <v>0</v>
          </cell>
          <cell r="F3009">
            <v>0</v>
          </cell>
          <cell r="G3009">
            <v>1227555</v>
          </cell>
          <cell r="H3009">
            <v>0</v>
          </cell>
          <cell r="I3009">
            <v>1227555</v>
          </cell>
        </row>
        <row r="3010">
          <cell r="A3010" t="str">
            <v>5520|211100</v>
          </cell>
          <cell r="B3010" t="str">
            <v>5520</v>
          </cell>
          <cell r="C3010">
            <v>211100</v>
          </cell>
          <cell r="D3010">
            <v>41244</v>
          </cell>
          <cell r="E3010">
            <v>0</v>
          </cell>
          <cell r="F3010">
            <v>0</v>
          </cell>
          <cell r="G3010">
            <v>0</v>
          </cell>
          <cell r="H3010">
            <v>0</v>
          </cell>
          <cell r="I3010">
            <v>0</v>
          </cell>
        </row>
        <row r="3011">
          <cell r="A3011" t="str">
            <v>5520|211104</v>
          </cell>
          <cell r="B3011" t="str">
            <v>5520</v>
          </cell>
          <cell r="C3011">
            <v>211104</v>
          </cell>
          <cell r="D3011">
            <v>41244</v>
          </cell>
          <cell r="E3011">
            <v>254630480</v>
          </cell>
          <cell r="F3011">
            <v>254630480</v>
          </cell>
          <cell r="G3011">
            <v>235440161</v>
          </cell>
          <cell r="H3011">
            <v>21219207</v>
          </cell>
          <cell r="I3011">
            <v>21975400</v>
          </cell>
        </row>
        <row r="3012">
          <cell r="A3012" t="str">
            <v>5520|400040</v>
          </cell>
          <cell r="B3012" t="str">
            <v>5520</v>
          </cell>
          <cell r="C3012">
            <v>400040</v>
          </cell>
          <cell r="D3012">
            <v>41244</v>
          </cell>
          <cell r="E3012">
            <v>18000000</v>
          </cell>
          <cell r="F3012">
            <v>18000000</v>
          </cell>
          <cell r="G3012">
            <v>36597097</v>
          </cell>
          <cell r="H3012">
            <v>1500000</v>
          </cell>
          <cell r="I3012">
            <v>23883450</v>
          </cell>
        </row>
        <row r="3013">
          <cell r="A3013" t="str">
            <v>5520|405200</v>
          </cell>
          <cell r="B3013" t="str">
            <v>5520</v>
          </cell>
          <cell r="C3013">
            <v>405200</v>
          </cell>
          <cell r="D3013">
            <v>41244</v>
          </cell>
          <cell r="E3013">
            <v>1000000</v>
          </cell>
          <cell r="F3013">
            <v>1000000</v>
          </cell>
          <cell r="G3013">
            <v>0</v>
          </cell>
          <cell r="H3013">
            <v>83335</v>
          </cell>
          <cell r="I3013">
            <v>0</v>
          </cell>
        </row>
        <row r="3014">
          <cell r="A3014" t="str">
            <v>5520|420001</v>
          </cell>
          <cell r="B3014" t="str">
            <v>5520</v>
          </cell>
          <cell r="C3014">
            <v>420001</v>
          </cell>
          <cell r="D3014">
            <v>41244</v>
          </cell>
          <cell r="E3014">
            <v>790265495</v>
          </cell>
          <cell r="F3014">
            <v>790265495</v>
          </cell>
          <cell r="G3014">
            <v>849051697</v>
          </cell>
          <cell r="H3014">
            <v>65855458</v>
          </cell>
          <cell r="I3014">
            <v>68972968</v>
          </cell>
        </row>
        <row r="3015">
          <cell r="A3015" t="str">
            <v>5520|422000</v>
          </cell>
          <cell r="B3015" t="str">
            <v>5520</v>
          </cell>
          <cell r="C3015">
            <v>422000</v>
          </cell>
          <cell r="D3015">
            <v>41244</v>
          </cell>
          <cell r="E3015">
            <v>725822</v>
          </cell>
          <cell r="F3015">
            <v>725822</v>
          </cell>
          <cell r="G3015">
            <v>0</v>
          </cell>
          <cell r="H3015">
            <v>60485</v>
          </cell>
          <cell r="I3015">
            <v>0</v>
          </cell>
        </row>
        <row r="3016">
          <cell r="A3016" t="str">
            <v>5520|422001</v>
          </cell>
          <cell r="B3016" t="str">
            <v>5520</v>
          </cell>
          <cell r="C3016">
            <v>422001</v>
          </cell>
          <cell r="D3016">
            <v>41244</v>
          </cell>
          <cell r="E3016">
            <v>790063</v>
          </cell>
          <cell r="F3016">
            <v>790063</v>
          </cell>
          <cell r="G3016">
            <v>876968</v>
          </cell>
          <cell r="H3016">
            <v>65839</v>
          </cell>
          <cell r="I3016">
            <v>0</v>
          </cell>
        </row>
        <row r="3017">
          <cell r="A3017" t="str">
            <v>5520|431000</v>
          </cell>
          <cell r="B3017" t="str">
            <v>5520</v>
          </cell>
          <cell r="C3017">
            <v>431000</v>
          </cell>
          <cell r="D3017">
            <v>41244</v>
          </cell>
          <cell r="E3017">
            <v>500000</v>
          </cell>
          <cell r="F3017">
            <v>500000</v>
          </cell>
          <cell r="G3017">
            <v>0</v>
          </cell>
          <cell r="H3017">
            <v>41667</v>
          </cell>
          <cell r="I3017">
            <v>0</v>
          </cell>
        </row>
        <row r="3018">
          <cell r="A3018" t="str">
            <v>5520|431001</v>
          </cell>
          <cell r="B3018" t="str">
            <v>5520</v>
          </cell>
          <cell r="C3018">
            <v>431001</v>
          </cell>
          <cell r="D3018">
            <v>41244</v>
          </cell>
          <cell r="E3018">
            <v>6194038</v>
          </cell>
          <cell r="F3018">
            <v>6194038</v>
          </cell>
          <cell r="G3018">
            <v>190785028</v>
          </cell>
          <cell r="H3018">
            <v>516170</v>
          </cell>
          <cell r="I3018">
            <v>22776185</v>
          </cell>
        </row>
        <row r="3019">
          <cell r="A3019" t="str">
            <v>5520|434011</v>
          </cell>
          <cell r="B3019" t="str">
            <v>5520</v>
          </cell>
          <cell r="C3019">
            <v>434011</v>
          </cell>
          <cell r="D3019">
            <v>41244</v>
          </cell>
          <cell r="E3019">
            <v>0</v>
          </cell>
          <cell r="F3019">
            <v>0</v>
          </cell>
          <cell r="G3019">
            <v>20851170</v>
          </cell>
          <cell r="H3019">
            <v>0</v>
          </cell>
          <cell r="I3019">
            <v>5049053</v>
          </cell>
        </row>
        <row r="3020">
          <cell r="A3020" t="str">
            <v>5520|435001</v>
          </cell>
          <cell r="B3020" t="str">
            <v>5520</v>
          </cell>
          <cell r="C3020">
            <v>435001</v>
          </cell>
          <cell r="D3020">
            <v>41244</v>
          </cell>
          <cell r="E3020">
            <v>71257561</v>
          </cell>
          <cell r="F3020">
            <v>71257561</v>
          </cell>
          <cell r="G3020">
            <v>77747729</v>
          </cell>
          <cell r="H3020">
            <v>5938130</v>
          </cell>
          <cell r="I3020">
            <v>54790250</v>
          </cell>
        </row>
        <row r="3021">
          <cell r="A3021" t="str">
            <v>5520|439001</v>
          </cell>
          <cell r="B3021" t="str">
            <v>5520</v>
          </cell>
          <cell r="C3021">
            <v>439001</v>
          </cell>
          <cell r="D3021">
            <v>41244</v>
          </cell>
          <cell r="E3021">
            <v>155176636</v>
          </cell>
          <cell r="F3021">
            <v>155176636</v>
          </cell>
          <cell r="G3021">
            <v>202563903</v>
          </cell>
          <cell r="H3021">
            <v>12931386</v>
          </cell>
          <cell r="I3021">
            <v>0</v>
          </cell>
        </row>
        <row r="3022">
          <cell r="A3022" t="str">
            <v>5520|439101</v>
          </cell>
          <cell r="B3022" t="str">
            <v>5520</v>
          </cell>
          <cell r="C3022">
            <v>439101</v>
          </cell>
          <cell r="D3022">
            <v>41244</v>
          </cell>
          <cell r="E3022">
            <v>0</v>
          </cell>
          <cell r="F3022">
            <v>0</v>
          </cell>
          <cell r="G3022">
            <v>500000</v>
          </cell>
          <cell r="H3022">
            <v>0</v>
          </cell>
          <cell r="I3022">
            <v>0</v>
          </cell>
        </row>
        <row r="3023">
          <cell r="A3023" t="str">
            <v>5520|439201</v>
          </cell>
          <cell r="B3023" t="str">
            <v>5520</v>
          </cell>
          <cell r="C3023">
            <v>439201</v>
          </cell>
          <cell r="D3023">
            <v>41244</v>
          </cell>
          <cell r="E3023">
            <v>0</v>
          </cell>
          <cell r="F3023">
            <v>0</v>
          </cell>
          <cell r="G3023">
            <v>3001000</v>
          </cell>
          <cell r="H3023">
            <v>0</v>
          </cell>
          <cell r="I3023">
            <v>0</v>
          </cell>
        </row>
        <row r="3024">
          <cell r="A3024" t="str">
            <v>5520|440001</v>
          </cell>
          <cell r="B3024" t="str">
            <v>5520</v>
          </cell>
          <cell r="C3024">
            <v>440001</v>
          </cell>
          <cell r="D3024">
            <v>41244</v>
          </cell>
          <cell r="E3024">
            <v>71257561</v>
          </cell>
          <cell r="F3024">
            <v>71257561</v>
          </cell>
          <cell r="G3024">
            <v>75715266</v>
          </cell>
          <cell r="H3024">
            <v>5938130</v>
          </cell>
          <cell r="I3024">
            <v>5351723</v>
          </cell>
        </row>
        <row r="3025">
          <cell r="A3025" t="str">
            <v>5520|446001</v>
          </cell>
          <cell r="B3025" t="str">
            <v>5520</v>
          </cell>
          <cell r="C3025">
            <v>446001</v>
          </cell>
          <cell r="D3025">
            <v>41244</v>
          </cell>
          <cell r="E3025">
            <v>18612645</v>
          </cell>
          <cell r="F3025">
            <v>18612645</v>
          </cell>
          <cell r="G3025">
            <v>76428413</v>
          </cell>
          <cell r="H3025">
            <v>1551054</v>
          </cell>
          <cell r="I3025">
            <v>3725000</v>
          </cell>
        </row>
        <row r="3026">
          <cell r="A3026" t="str">
            <v>5520|447001</v>
          </cell>
          <cell r="B3026" t="str">
            <v>5520</v>
          </cell>
          <cell r="C3026">
            <v>447001</v>
          </cell>
          <cell r="D3026">
            <v>41244</v>
          </cell>
          <cell r="E3026">
            <v>14060290</v>
          </cell>
          <cell r="F3026">
            <v>14060290</v>
          </cell>
          <cell r="G3026">
            <v>13041894</v>
          </cell>
          <cell r="H3026">
            <v>1171691</v>
          </cell>
          <cell r="I3026">
            <v>1100861</v>
          </cell>
        </row>
        <row r="3027">
          <cell r="A3027" t="str">
            <v>5520|447011</v>
          </cell>
          <cell r="B3027" t="str">
            <v>5520</v>
          </cell>
          <cell r="C3027">
            <v>447011</v>
          </cell>
          <cell r="D3027">
            <v>41244</v>
          </cell>
          <cell r="E3027">
            <v>33135715</v>
          </cell>
          <cell r="F3027">
            <v>33135715</v>
          </cell>
          <cell r="G3027">
            <v>30735685</v>
          </cell>
          <cell r="H3027">
            <v>2761310</v>
          </cell>
          <cell r="I3027">
            <v>2594385</v>
          </cell>
        </row>
        <row r="3028">
          <cell r="A3028" t="str">
            <v>5520|447021</v>
          </cell>
          <cell r="B3028" t="str">
            <v>5520</v>
          </cell>
          <cell r="C3028">
            <v>447021</v>
          </cell>
          <cell r="D3028">
            <v>41244</v>
          </cell>
          <cell r="E3028">
            <v>1406029</v>
          </cell>
          <cell r="F3028">
            <v>1406029</v>
          </cell>
          <cell r="G3028">
            <v>1375026</v>
          </cell>
          <cell r="H3028">
            <v>117169</v>
          </cell>
          <cell r="I3028">
            <v>149900</v>
          </cell>
        </row>
        <row r="3029">
          <cell r="A3029" t="str">
            <v>5520|448000</v>
          </cell>
          <cell r="B3029" t="str">
            <v>5520</v>
          </cell>
          <cell r="C3029">
            <v>448000</v>
          </cell>
          <cell r="D3029">
            <v>41244</v>
          </cell>
          <cell r="E3029">
            <v>0</v>
          </cell>
          <cell r="F3029">
            <v>0</v>
          </cell>
          <cell r="G3029">
            <v>649900</v>
          </cell>
          <cell r="H3029">
            <v>0</v>
          </cell>
          <cell r="I3029">
            <v>345000</v>
          </cell>
        </row>
        <row r="3030">
          <cell r="A3030" t="str">
            <v>5520|448001</v>
          </cell>
          <cell r="B3030" t="str">
            <v>5520</v>
          </cell>
          <cell r="C3030">
            <v>448001</v>
          </cell>
          <cell r="D3030">
            <v>41244</v>
          </cell>
          <cell r="E3030">
            <v>152404107</v>
          </cell>
          <cell r="F3030">
            <v>152404107</v>
          </cell>
          <cell r="G3030">
            <v>91762706</v>
          </cell>
          <cell r="H3030">
            <v>12700342</v>
          </cell>
          <cell r="I3030">
            <v>3710700</v>
          </cell>
        </row>
        <row r="3031">
          <cell r="A3031" t="str">
            <v>5520|449025</v>
          </cell>
          <cell r="B3031" t="str">
            <v>5520</v>
          </cell>
          <cell r="C3031">
            <v>449025</v>
          </cell>
          <cell r="D3031">
            <v>41244</v>
          </cell>
          <cell r="E3031">
            <v>59400000</v>
          </cell>
          <cell r="F3031">
            <v>59400000</v>
          </cell>
          <cell r="G3031">
            <v>69097500</v>
          </cell>
          <cell r="H3031">
            <v>4950000</v>
          </cell>
          <cell r="I3031">
            <v>6068500</v>
          </cell>
        </row>
        <row r="3032">
          <cell r="A3032" t="str">
            <v>5520|449032</v>
          </cell>
          <cell r="B3032" t="str">
            <v>5520</v>
          </cell>
          <cell r="C3032">
            <v>449032</v>
          </cell>
          <cell r="D3032">
            <v>41244</v>
          </cell>
          <cell r="E3032">
            <v>3728847</v>
          </cell>
          <cell r="F3032">
            <v>3728847</v>
          </cell>
          <cell r="G3032">
            <v>988000</v>
          </cell>
          <cell r="H3032">
            <v>310737</v>
          </cell>
          <cell r="I3032">
            <v>0</v>
          </cell>
        </row>
        <row r="3033">
          <cell r="A3033" t="str">
            <v>5520|449040</v>
          </cell>
          <cell r="B3033" t="str">
            <v>5520</v>
          </cell>
          <cell r="C3033">
            <v>449040</v>
          </cell>
          <cell r="D3033">
            <v>41244</v>
          </cell>
          <cell r="E3033">
            <v>750000</v>
          </cell>
          <cell r="F3033">
            <v>750000</v>
          </cell>
          <cell r="G3033">
            <v>650000</v>
          </cell>
          <cell r="H3033">
            <v>62500</v>
          </cell>
          <cell r="I3033">
            <v>0</v>
          </cell>
        </row>
        <row r="3034">
          <cell r="A3034" t="str">
            <v>5520|449060</v>
          </cell>
          <cell r="B3034" t="str">
            <v>5520</v>
          </cell>
          <cell r="C3034">
            <v>449060</v>
          </cell>
          <cell r="D3034">
            <v>41244</v>
          </cell>
          <cell r="E3034">
            <v>3300000</v>
          </cell>
          <cell r="F3034">
            <v>3300000</v>
          </cell>
          <cell r="G3034">
            <v>1746022</v>
          </cell>
          <cell r="H3034">
            <v>275000</v>
          </cell>
          <cell r="I3034">
            <v>264574</v>
          </cell>
        </row>
        <row r="3035">
          <cell r="A3035" t="str">
            <v>5520|449061</v>
          </cell>
          <cell r="B3035" t="str">
            <v>5520</v>
          </cell>
          <cell r="C3035">
            <v>449061</v>
          </cell>
          <cell r="D3035">
            <v>41244</v>
          </cell>
          <cell r="E3035">
            <v>1284400</v>
          </cell>
          <cell r="F3035">
            <v>1284400</v>
          </cell>
          <cell r="G3035">
            <v>3913700</v>
          </cell>
          <cell r="H3035">
            <v>107033</v>
          </cell>
          <cell r="I3035">
            <v>1606400</v>
          </cell>
        </row>
        <row r="3036">
          <cell r="A3036" t="str">
            <v>5520|451000</v>
          </cell>
          <cell r="B3036" t="str">
            <v>5520</v>
          </cell>
          <cell r="C3036">
            <v>451000</v>
          </cell>
          <cell r="D3036">
            <v>41244</v>
          </cell>
          <cell r="E3036">
            <v>1992500</v>
          </cell>
          <cell r="F3036">
            <v>1992500</v>
          </cell>
          <cell r="G3036">
            <v>434700</v>
          </cell>
          <cell r="H3036">
            <v>166042</v>
          </cell>
          <cell r="I3036">
            <v>579600</v>
          </cell>
        </row>
        <row r="3037">
          <cell r="A3037" t="str">
            <v>5520|451001</v>
          </cell>
          <cell r="B3037" t="str">
            <v>5520</v>
          </cell>
          <cell r="C3037">
            <v>451001</v>
          </cell>
          <cell r="D3037">
            <v>41244</v>
          </cell>
          <cell r="E3037">
            <v>0</v>
          </cell>
          <cell r="F3037">
            <v>0</v>
          </cell>
          <cell r="G3037">
            <v>56145000</v>
          </cell>
          <cell r="H3037">
            <v>0</v>
          </cell>
          <cell r="I3037">
            <v>0</v>
          </cell>
        </row>
        <row r="3038">
          <cell r="A3038" t="str">
            <v>5520|452000</v>
          </cell>
          <cell r="B3038" t="str">
            <v>5520</v>
          </cell>
          <cell r="C3038">
            <v>452000</v>
          </cell>
          <cell r="D3038">
            <v>41244</v>
          </cell>
          <cell r="E3038">
            <v>41500000</v>
          </cell>
          <cell r="F3038">
            <v>41500000</v>
          </cell>
          <cell r="G3038">
            <v>46905000</v>
          </cell>
          <cell r="H3038">
            <v>3458334</v>
          </cell>
          <cell r="I3038">
            <v>5937500</v>
          </cell>
        </row>
        <row r="3039">
          <cell r="A3039" t="str">
            <v>5520|452001</v>
          </cell>
          <cell r="B3039" t="str">
            <v>5520</v>
          </cell>
          <cell r="C3039">
            <v>452001</v>
          </cell>
          <cell r="D3039">
            <v>41244</v>
          </cell>
          <cell r="E3039">
            <v>1300000</v>
          </cell>
          <cell r="F3039">
            <v>1300000</v>
          </cell>
          <cell r="G3039">
            <v>450000</v>
          </cell>
          <cell r="H3039">
            <v>108332</v>
          </cell>
          <cell r="I3039">
            <v>0</v>
          </cell>
        </row>
        <row r="3040">
          <cell r="A3040" t="str">
            <v>5520|455000</v>
          </cell>
          <cell r="B3040" t="str">
            <v>5520</v>
          </cell>
          <cell r="C3040">
            <v>455000</v>
          </cell>
          <cell r="D3040">
            <v>41244</v>
          </cell>
          <cell r="E3040">
            <v>4500000</v>
          </cell>
          <cell r="F3040">
            <v>4500000</v>
          </cell>
          <cell r="G3040">
            <v>494985</v>
          </cell>
          <cell r="H3040">
            <v>375007</v>
          </cell>
          <cell r="I3040">
            <v>0</v>
          </cell>
        </row>
        <row r="3041">
          <cell r="A3041" t="str">
            <v>5520|455001</v>
          </cell>
          <cell r="B3041" t="str">
            <v>5520</v>
          </cell>
          <cell r="C3041">
            <v>455001</v>
          </cell>
          <cell r="D3041">
            <v>41244</v>
          </cell>
          <cell r="E3041">
            <v>2500000</v>
          </cell>
          <cell r="F3041">
            <v>2500000</v>
          </cell>
          <cell r="G3041">
            <v>0</v>
          </cell>
          <cell r="H3041">
            <v>208333</v>
          </cell>
          <cell r="I3041">
            <v>0</v>
          </cell>
        </row>
        <row r="3042">
          <cell r="A3042" t="str">
            <v>5520|455002</v>
          </cell>
          <cell r="B3042" t="str">
            <v>5520</v>
          </cell>
          <cell r="C3042">
            <v>455002</v>
          </cell>
          <cell r="D3042">
            <v>41244</v>
          </cell>
          <cell r="E3042">
            <v>0</v>
          </cell>
          <cell r="F3042">
            <v>0</v>
          </cell>
          <cell r="G3042">
            <v>712500</v>
          </cell>
          <cell r="H3042">
            <v>0</v>
          </cell>
          <cell r="I3042">
            <v>0</v>
          </cell>
        </row>
        <row r="3043">
          <cell r="A3043" t="str">
            <v>5520|470101</v>
          </cell>
          <cell r="B3043" t="str">
            <v>5520</v>
          </cell>
          <cell r="C3043">
            <v>470101</v>
          </cell>
          <cell r="D3043">
            <v>41244</v>
          </cell>
          <cell r="E3043">
            <v>654171</v>
          </cell>
          <cell r="F3043">
            <v>654171</v>
          </cell>
          <cell r="G3043">
            <v>0</v>
          </cell>
          <cell r="H3043">
            <v>54514</v>
          </cell>
          <cell r="I3043">
            <v>0</v>
          </cell>
        </row>
        <row r="3044">
          <cell r="A3044" t="str">
            <v>5520|470102</v>
          </cell>
          <cell r="B3044" t="str">
            <v>5520</v>
          </cell>
          <cell r="C3044">
            <v>470102</v>
          </cell>
          <cell r="D3044">
            <v>41244</v>
          </cell>
          <cell r="E3044">
            <v>988526</v>
          </cell>
          <cell r="F3044">
            <v>988526</v>
          </cell>
          <cell r="G3044">
            <v>1938502</v>
          </cell>
          <cell r="H3044">
            <v>82377</v>
          </cell>
          <cell r="I3044">
            <v>235001</v>
          </cell>
        </row>
        <row r="3045">
          <cell r="A3045" t="str">
            <v>5520|473120</v>
          </cell>
          <cell r="B3045" t="str">
            <v>5520</v>
          </cell>
          <cell r="C3045">
            <v>473120</v>
          </cell>
          <cell r="D3045">
            <v>41244</v>
          </cell>
          <cell r="E3045">
            <v>877478</v>
          </cell>
          <cell r="F3045">
            <v>877478</v>
          </cell>
          <cell r="G3045">
            <v>0</v>
          </cell>
          <cell r="H3045">
            <v>73123</v>
          </cell>
          <cell r="I3045">
            <v>0</v>
          </cell>
        </row>
        <row r="3046">
          <cell r="A3046" t="str">
            <v>5520|476000</v>
          </cell>
          <cell r="B3046" t="str">
            <v>5520</v>
          </cell>
          <cell r="C3046">
            <v>476000</v>
          </cell>
          <cell r="D3046">
            <v>41244</v>
          </cell>
          <cell r="E3046">
            <v>5846318</v>
          </cell>
          <cell r="F3046">
            <v>5846318</v>
          </cell>
          <cell r="G3046">
            <v>7456814</v>
          </cell>
          <cell r="H3046">
            <v>487193</v>
          </cell>
          <cell r="I3046">
            <v>0</v>
          </cell>
        </row>
        <row r="3047">
          <cell r="A3047" t="str">
            <v>5700|211100</v>
          </cell>
          <cell r="B3047" t="str">
            <v>5700</v>
          </cell>
          <cell r="C3047">
            <v>211100</v>
          </cell>
          <cell r="D3047">
            <v>41244</v>
          </cell>
          <cell r="E3047">
            <v>0</v>
          </cell>
          <cell r="F3047">
            <v>0</v>
          </cell>
          <cell r="G3047">
            <v>0</v>
          </cell>
          <cell r="H3047">
            <v>0</v>
          </cell>
          <cell r="I3047">
            <v>0</v>
          </cell>
        </row>
        <row r="3048">
          <cell r="A3048" t="str">
            <v>5700|211104</v>
          </cell>
          <cell r="B3048" t="str">
            <v>5700</v>
          </cell>
          <cell r="C3048">
            <v>211104</v>
          </cell>
          <cell r="D3048">
            <v>41244</v>
          </cell>
          <cell r="E3048">
            <v>9805743</v>
          </cell>
          <cell r="F3048">
            <v>9805743</v>
          </cell>
          <cell r="G3048">
            <v>9805743</v>
          </cell>
          <cell r="H3048">
            <v>817145</v>
          </cell>
          <cell r="I3048">
            <v>817154</v>
          </cell>
        </row>
        <row r="3049">
          <cell r="A3049" t="str">
            <v>5700|400040</v>
          </cell>
          <cell r="B3049" t="str">
            <v>5700</v>
          </cell>
          <cell r="C3049">
            <v>400040</v>
          </cell>
          <cell r="D3049">
            <v>41244</v>
          </cell>
          <cell r="E3049">
            <v>8000000</v>
          </cell>
          <cell r="F3049">
            <v>8000000</v>
          </cell>
          <cell r="G3049">
            <v>5028400</v>
          </cell>
          <cell r="H3049">
            <v>666667</v>
          </cell>
          <cell r="I3049">
            <v>0</v>
          </cell>
        </row>
        <row r="3050">
          <cell r="A3050" t="str">
            <v>5700|405200</v>
          </cell>
          <cell r="B3050" t="str">
            <v>5700</v>
          </cell>
          <cell r="C3050">
            <v>405200</v>
          </cell>
          <cell r="D3050">
            <v>41244</v>
          </cell>
          <cell r="E3050">
            <v>6000000</v>
          </cell>
          <cell r="F3050">
            <v>6000000</v>
          </cell>
          <cell r="G3050">
            <v>-442091</v>
          </cell>
          <cell r="H3050">
            <v>500000</v>
          </cell>
          <cell r="I3050">
            <v>0</v>
          </cell>
        </row>
        <row r="3051">
          <cell r="A3051" t="str">
            <v>5700|405251</v>
          </cell>
          <cell r="B3051" t="str">
            <v>5700</v>
          </cell>
          <cell r="C3051">
            <v>405251</v>
          </cell>
          <cell r="D3051">
            <v>41244</v>
          </cell>
          <cell r="E3051">
            <v>0</v>
          </cell>
          <cell r="F3051">
            <v>0</v>
          </cell>
          <cell r="G3051">
            <v>344257</v>
          </cell>
          <cell r="H3051">
            <v>0</v>
          </cell>
          <cell r="I3051">
            <v>0</v>
          </cell>
        </row>
        <row r="3052">
          <cell r="A3052" t="str">
            <v>5700|406000</v>
          </cell>
          <cell r="B3052" t="str">
            <v>5700</v>
          </cell>
          <cell r="C3052">
            <v>406000</v>
          </cell>
          <cell r="D3052">
            <v>41244</v>
          </cell>
          <cell r="E3052">
            <v>10000000</v>
          </cell>
          <cell r="F3052">
            <v>10000000</v>
          </cell>
          <cell r="G3052">
            <v>0</v>
          </cell>
          <cell r="H3052">
            <v>833333</v>
          </cell>
          <cell r="I3052">
            <v>0</v>
          </cell>
        </row>
        <row r="3053">
          <cell r="A3053" t="str">
            <v>5700|420002</v>
          </cell>
          <cell r="B3053" t="str">
            <v>5700</v>
          </cell>
          <cell r="C3053">
            <v>420002</v>
          </cell>
          <cell r="D3053">
            <v>41244</v>
          </cell>
          <cell r="E3053">
            <v>356519237</v>
          </cell>
          <cell r="F3053">
            <v>356519237</v>
          </cell>
          <cell r="G3053">
            <v>375200931</v>
          </cell>
          <cell r="H3053">
            <v>29709936</v>
          </cell>
          <cell r="I3053">
            <v>36047000</v>
          </cell>
        </row>
        <row r="3054">
          <cell r="A3054" t="str">
            <v>5700|420003</v>
          </cell>
          <cell r="B3054" t="str">
            <v>5700</v>
          </cell>
          <cell r="C3054">
            <v>420003</v>
          </cell>
          <cell r="D3054">
            <v>41244</v>
          </cell>
          <cell r="E3054">
            <v>861949835</v>
          </cell>
          <cell r="F3054">
            <v>861949835</v>
          </cell>
          <cell r="G3054">
            <v>849213762</v>
          </cell>
          <cell r="H3054">
            <v>71829153</v>
          </cell>
          <cell r="I3054">
            <v>71215726</v>
          </cell>
        </row>
        <row r="3055">
          <cell r="A3055" t="str">
            <v>5700|422002</v>
          </cell>
          <cell r="B3055" t="str">
            <v>5700</v>
          </cell>
          <cell r="C3055">
            <v>422002</v>
          </cell>
          <cell r="D3055">
            <v>41244</v>
          </cell>
          <cell r="E3055">
            <v>755136</v>
          </cell>
          <cell r="F3055">
            <v>755136</v>
          </cell>
          <cell r="G3055">
            <v>117350</v>
          </cell>
          <cell r="H3055">
            <v>62928</v>
          </cell>
          <cell r="I3055">
            <v>0</v>
          </cell>
        </row>
        <row r="3056">
          <cell r="A3056" t="str">
            <v>5700|422003</v>
          </cell>
          <cell r="B3056" t="str">
            <v>5700</v>
          </cell>
          <cell r="C3056">
            <v>422003</v>
          </cell>
          <cell r="D3056">
            <v>41244</v>
          </cell>
          <cell r="E3056">
            <v>529375</v>
          </cell>
          <cell r="F3056">
            <v>529375</v>
          </cell>
          <cell r="G3056">
            <v>0</v>
          </cell>
          <cell r="H3056">
            <v>44115</v>
          </cell>
          <cell r="I3056">
            <v>0</v>
          </cell>
        </row>
        <row r="3057">
          <cell r="A3057" t="str">
            <v>5700|431002</v>
          </cell>
          <cell r="B3057" t="str">
            <v>5700</v>
          </cell>
          <cell r="C3057">
            <v>431002</v>
          </cell>
          <cell r="D3057">
            <v>41244</v>
          </cell>
          <cell r="E3057">
            <v>22721624</v>
          </cell>
          <cell r="F3057">
            <v>22721624</v>
          </cell>
          <cell r="G3057">
            <v>28723667</v>
          </cell>
          <cell r="H3057">
            <v>1893469</v>
          </cell>
          <cell r="I3057">
            <v>2117179</v>
          </cell>
        </row>
        <row r="3058">
          <cell r="A3058" t="str">
            <v>5700|434012</v>
          </cell>
          <cell r="B3058" t="str">
            <v>5700</v>
          </cell>
          <cell r="C3058">
            <v>434012</v>
          </cell>
          <cell r="D3058">
            <v>41244</v>
          </cell>
          <cell r="E3058">
            <v>0</v>
          </cell>
          <cell r="F3058">
            <v>0</v>
          </cell>
          <cell r="G3058">
            <v>15962003</v>
          </cell>
          <cell r="H3058">
            <v>0</v>
          </cell>
          <cell r="I3058">
            <v>6875018</v>
          </cell>
        </row>
        <row r="3059">
          <cell r="A3059" t="str">
            <v>5700|434013</v>
          </cell>
          <cell r="B3059" t="str">
            <v>5700</v>
          </cell>
          <cell r="C3059">
            <v>434013</v>
          </cell>
          <cell r="D3059">
            <v>41244</v>
          </cell>
          <cell r="E3059">
            <v>0</v>
          </cell>
          <cell r="F3059">
            <v>0</v>
          </cell>
          <cell r="G3059">
            <v>16979550</v>
          </cell>
          <cell r="H3059">
            <v>0</v>
          </cell>
          <cell r="I3059">
            <v>5466384</v>
          </cell>
        </row>
        <row r="3060">
          <cell r="A3060" t="str">
            <v>5700|435002</v>
          </cell>
          <cell r="B3060" t="str">
            <v>5700</v>
          </cell>
          <cell r="C3060">
            <v>435002</v>
          </cell>
          <cell r="D3060">
            <v>41244</v>
          </cell>
          <cell r="E3060">
            <v>29709936</v>
          </cell>
          <cell r="F3060">
            <v>29709936</v>
          </cell>
          <cell r="G3060">
            <v>39765000</v>
          </cell>
          <cell r="H3060">
            <v>2475828</v>
          </cell>
          <cell r="I3060">
            <v>36047000</v>
          </cell>
        </row>
        <row r="3061">
          <cell r="A3061" t="str">
            <v>5700|435003</v>
          </cell>
          <cell r="B3061" t="str">
            <v>5700</v>
          </cell>
          <cell r="C3061">
            <v>435003</v>
          </cell>
          <cell r="D3061">
            <v>41244</v>
          </cell>
          <cell r="E3061">
            <v>107743729</v>
          </cell>
          <cell r="F3061">
            <v>107743729</v>
          </cell>
          <cell r="G3061">
            <v>120211502</v>
          </cell>
          <cell r="H3061">
            <v>8978644</v>
          </cell>
          <cell r="I3061">
            <v>0</v>
          </cell>
        </row>
        <row r="3062">
          <cell r="A3062" t="str">
            <v>5700|439003</v>
          </cell>
          <cell r="B3062" t="str">
            <v>5700</v>
          </cell>
          <cell r="C3062">
            <v>439003</v>
          </cell>
          <cell r="D3062">
            <v>41244</v>
          </cell>
          <cell r="E3062">
            <v>176222535</v>
          </cell>
          <cell r="F3062">
            <v>176222535</v>
          </cell>
          <cell r="G3062">
            <v>268913246</v>
          </cell>
          <cell r="H3062">
            <v>14685211</v>
          </cell>
          <cell r="I3062">
            <v>33186399</v>
          </cell>
        </row>
        <row r="3063">
          <cell r="A3063" t="str">
            <v>5700|439008</v>
          </cell>
          <cell r="B3063" t="str">
            <v>5700</v>
          </cell>
          <cell r="C3063">
            <v>439008</v>
          </cell>
          <cell r="D3063">
            <v>41244</v>
          </cell>
          <cell r="E3063">
            <v>81844525</v>
          </cell>
          <cell r="F3063">
            <v>81844525</v>
          </cell>
          <cell r="G3063">
            <v>124391963</v>
          </cell>
          <cell r="H3063">
            <v>6820377</v>
          </cell>
          <cell r="I3063">
            <v>0</v>
          </cell>
        </row>
        <row r="3064">
          <cell r="A3064" t="str">
            <v>5700|439202</v>
          </cell>
          <cell r="B3064" t="str">
            <v>5700</v>
          </cell>
          <cell r="C3064">
            <v>439202</v>
          </cell>
          <cell r="D3064">
            <v>41244</v>
          </cell>
          <cell r="E3064">
            <v>0</v>
          </cell>
          <cell r="F3064">
            <v>0</v>
          </cell>
          <cell r="G3064">
            <v>1221000</v>
          </cell>
          <cell r="H3064">
            <v>0</v>
          </cell>
          <cell r="I3064">
            <v>0</v>
          </cell>
        </row>
        <row r="3065">
          <cell r="A3065" t="str">
            <v>5700|439203</v>
          </cell>
          <cell r="B3065" t="str">
            <v>5700</v>
          </cell>
          <cell r="C3065">
            <v>439203</v>
          </cell>
          <cell r="D3065">
            <v>41244</v>
          </cell>
          <cell r="E3065">
            <v>0</v>
          </cell>
          <cell r="F3065">
            <v>0</v>
          </cell>
          <cell r="G3065">
            <v>697000</v>
          </cell>
          <cell r="H3065">
            <v>0</v>
          </cell>
          <cell r="I3065">
            <v>0</v>
          </cell>
        </row>
        <row r="3066">
          <cell r="A3066" t="str">
            <v>5700|440002</v>
          </cell>
          <cell r="B3066" t="str">
            <v>5700</v>
          </cell>
          <cell r="C3066">
            <v>440002</v>
          </cell>
          <cell r="D3066">
            <v>41244</v>
          </cell>
          <cell r="E3066">
            <v>44709936</v>
          </cell>
          <cell r="F3066">
            <v>44709936</v>
          </cell>
          <cell r="G3066">
            <v>31331009</v>
          </cell>
          <cell r="H3066">
            <v>3725828</v>
          </cell>
          <cell r="I3066">
            <v>3909392</v>
          </cell>
        </row>
        <row r="3067">
          <cell r="A3067" t="str">
            <v>5700|440003</v>
          </cell>
          <cell r="B3067" t="str">
            <v>5700</v>
          </cell>
          <cell r="C3067">
            <v>440003</v>
          </cell>
          <cell r="D3067">
            <v>41244</v>
          </cell>
          <cell r="E3067">
            <v>82633358</v>
          </cell>
          <cell r="F3067">
            <v>82633358</v>
          </cell>
          <cell r="G3067">
            <v>76072724</v>
          </cell>
          <cell r="H3067">
            <v>6886113</v>
          </cell>
          <cell r="I3067">
            <v>6579627</v>
          </cell>
        </row>
        <row r="3068">
          <cell r="A3068" t="str">
            <v>5700|446002</v>
          </cell>
          <cell r="B3068" t="str">
            <v>5700</v>
          </cell>
          <cell r="C3068">
            <v>446002</v>
          </cell>
          <cell r="D3068">
            <v>41244</v>
          </cell>
          <cell r="E3068">
            <v>14854968</v>
          </cell>
          <cell r="F3068">
            <v>14854968</v>
          </cell>
          <cell r="G3068">
            <v>5850727</v>
          </cell>
          <cell r="H3068">
            <v>1237914</v>
          </cell>
          <cell r="I3068">
            <v>850000</v>
          </cell>
        </row>
        <row r="3069">
          <cell r="A3069" t="str">
            <v>5700|447002</v>
          </cell>
          <cell r="B3069" t="str">
            <v>5700</v>
          </cell>
          <cell r="C3069">
            <v>447002</v>
          </cell>
          <cell r="D3069">
            <v>41244</v>
          </cell>
          <cell r="E3069">
            <v>10363258</v>
          </cell>
          <cell r="F3069">
            <v>10363258</v>
          </cell>
          <cell r="G3069">
            <v>5371536</v>
          </cell>
          <cell r="H3069">
            <v>863605</v>
          </cell>
          <cell r="I3069">
            <v>479920</v>
          </cell>
        </row>
        <row r="3070">
          <cell r="A3070" t="str">
            <v>5700|447003</v>
          </cell>
          <cell r="B3070" t="str">
            <v>5700</v>
          </cell>
          <cell r="C3070">
            <v>447003</v>
          </cell>
          <cell r="D3070">
            <v>41244</v>
          </cell>
          <cell r="E3070">
            <v>7321992</v>
          </cell>
          <cell r="F3070">
            <v>7321992</v>
          </cell>
          <cell r="G3070">
            <v>13840680</v>
          </cell>
          <cell r="H3070">
            <v>610166</v>
          </cell>
          <cell r="I3070">
            <v>1163630</v>
          </cell>
        </row>
        <row r="3071">
          <cell r="A3071" t="str">
            <v>5700|447012</v>
          </cell>
          <cell r="B3071" t="str">
            <v>5700</v>
          </cell>
          <cell r="C3071">
            <v>447012</v>
          </cell>
          <cell r="D3071">
            <v>41244</v>
          </cell>
          <cell r="E3071">
            <v>24422965</v>
          </cell>
          <cell r="F3071">
            <v>24422965</v>
          </cell>
          <cell r="G3071">
            <v>13064454</v>
          </cell>
          <cell r="H3071">
            <v>2035247</v>
          </cell>
          <cell r="I3071">
            <v>1333740</v>
          </cell>
        </row>
        <row r="3072">
          <cell r="A3072" t="str">
            <v>5700|447013</v>
          </cell>
          <cell r="B3072" t="str">
            <v>5700</v>
          </cell>
          <cell r="C3072">
            <v>447013</v>
          </cell>
          <cell r="D3072">
            <v>41244</v>
          </cell>
          <cell r="E3072">
            <v>17255650</v>
          </cell>
          <cell r="F3072">
            <v>17255650</v>
          </cell>
          <cell r="G3072">
            <v>32618142</v>
          </cell>
          <cell r="H3072">
            <v>1437971</v>
          </cell>
          <cell r="I3072">
            <v>2742311</v>
          </cell>
        </row>
        <row r="3073">
          <cell r="A3073" t="str">
            <v>5700|447022</v>
          </cell>
          <cell r="B3073" t="str">
            <v>5700</v>
          </cell>
          <cell r="C3073">
            <v>447022</v>
          </cell>
          <cell r="D3073">
            <v>41244</v>
          </cell>
          <cell r="E3073">
            <v>1036326</v>
          </cell>
          <cell r="F3073">
            <v>1036326</v>
          </cell>
          <cell r="G3073">
            <v>572945</v>
          </cell>
          <cell r="H3073">
            <v>86360</v>
          </cell>
          <cell r="I3073">
            <v>53050</v>
          </cell>
        </row>
        <row r="3074">
          <cell r="A3074" t="str">
            <v>5700|447023</v>
          </cell>
          <cell r="B3074" t="str">
            <v>5700</v>
          </cell>
          <cell r="C3074">
            <v>447023</v>
          </cell>
          <cell r="D3074">
            <v>41244</v>
          </cell>
          <cell r="E3074">
            <v>30732199</v>
          </cell>
          <cell r="F3074">
            <v>30732199</v>
          </cell>
          <cell r="G3074">
            <v>3300729</v>
          </cell>
          <cell r="H3074">
            <v>2561017</v>
          </cell>
          <cell r="I3074">
            <v>149250</v>
          </cell>
        </row>
        <row r="3075">
          <cell r="A3075" t="str">
            <v>5700|448001</v>
          </cell>
          <cell r="B3075" t="str">
            <v>5700</v>
          </cell>
          <cell r="C3075">
            <v>448001</v>
          </cell>
          <cell r="D3075">
            <v>41244</v>
          </cell>
          <cell r="E3075">
            <v>0</v>
          </cell>
          <cell r="F3075">
            <v>0</v>
          </cell>
          <cell r="G3075">
            <v>1806300</v>
          </cell>
          <cell r="H3075">
            <v>0</v>
          </cell>
          <cell r="I3075">
            <v>0</v>
          </cell>
        </row>
        <row r="3076">
          <cell r="A3076" t="str">
            <v>5700|448002</v>
          </cell>
          <cell r="B3076" t="str">
            <v>5700</v>
          </cell>
          <cell r="C3076">
            <v>448002</v>
          </cell>
          <cell r="D3076">
            <v>41244</v>
          </cell>
          <cell r="E3076">
            <v>46572084</v>
          </cell>
          <cell r="F3076">
            <v>46572084</v>
          </cell>
          <cell r="G3076">
            <v>36682765</v>
          </cell>
          <cell r="H3076">
            <v>3881007</v>
          </cell>
          <cell r="I3076">
            <v>954200</v>
          </cell>
        </row>
        <row r="3077">
          <cell r="A3077" t="str">
            <v>5700|448003</v>
          </cell>
          <cell r="B3077" t="str">
            <v>5700</v>
          </cell>
          <cell r="C3077">
            <v>448003</v>
          </cell>
          <cell r="D3077">
            <v>41244</v>
          </cell>
          <cell r="E3077">
            <v>47389289</v>
          </cell>
          <cell r="F3077">
            <v>47389289</v>
          </cell>
          <cell r="G3077">
            <v>33775800</v>
          </cell>
          <cell r="H3077">
            <v>3949107</v>
          </cell>
          <cell r="I3077">
            <v>7846600</v>
          </cell>
        </row>
        <row r="3078">
          <cell r="A3078" t="str">
            <v>5700|449022</v>
          </cell>
          <cell r="B3078" t="str">
            <v>5700</v>
          </cell>
          <cell r="C3078">
            <v>449022</v>
          </cell>
          <cell r="D3078">
            <v>41244</v>
          </cell>
          <cell r="E3078">
            <v>19800000</v>
          </cell>
          <cell r="F3078">
            <v>19800000</v>
          </cell>
          <cell r="G3078">
            <v>21881500</v>
          </cell>
          <cell r="H3078">
            <v>1650000</v>
          </cell>
          <cell r="I3078">
            <v>2532000</v>
          </cell>
        </row>
        <row r="3079">
          <cell r="A3079" t="str">
            <v>5700|449023</v>
          </cell>
          <cell r="B3079" t="str">
            <v>5700</v>
          </cell>
          <cell r="C3079">
            <v>449023</v>
          </cell>
          <cell r="D3079">
            <v>41244</v>
          </cell>
          <cell r="E3079">
            <v>41370000</v>
          </cell>
          <cell r="F3079">
            <v>41370000</v>
          </cell>
          <cell r="G3079">
            <v>41279572</v>
          </cell>
          <cell r="H3079">
            <v>3447500</v>
          </cell>
          <cell r="I3079">
            <v>3670250</v>
          </cell>
        </row>
        <row r="3080">
          <cell r="A3080" t="str">
            <v>5700|449032</v>
          </cell>
          <cell r="B3080" t="str">
            <v>5700</v>
          </cell>
          <cell r="C3080">
            <v>449032</v>
          </cell>
          <cell r="D3080">
            <v>41244</v>
          </cell>
          <cell r="E3080">
            <v>36050400</v>
          </cell>
          <cell r="F3080">
            <v>36050400</v>
          </cell>
          <cell r="G3080">
            <v>200000</v>
          </cell>
          <cell r="H3080">
            <v>3004201</v>
          </cell>
          <cell r="I3080">
            <v>0</v>
          </cell>
        </row>
        <row r="3081">
          <cell r="A3081" t="str">
            <v>5700|449040</v>
          </cell>
          <cell r="B3081" t="str">
            <v>5700</v>
          </cell>
          <cell r="C3081">
            <v>449040</v>
          </cell>
          <cell r="D3081">
            <v>41244</v>
          </cell>
          <cell r="E3081">
            <v>32241700</v>
          </cell>
          <cell r="F3081">
            <v>32241700</v>
          </cell>
          <cell r="G3081">
            <v>5562000</v>
          </cell>
          <cell r="H3081">
            <v>2686808</v>
          </cell>
          <cell r="I3081">
            <v>0</v>
          </cell>
        </row>
        <row r="3082">
          <cell r="A3082" t="str">
            <v>5700|449050</v>
          </cell>
          <cell r="B3082" t="str">
            <v>5700</v>
          </cell>
          <cell r="C3082">
            <v>449050</v>
          </cell>
          <cell r="D3082">
            <v>41244</v>
          </cell>
          <cell r="E3082">
            <v>70724800</v>
          </cell>
          <cell r="F3082">
            <v>70724800</v>
          </cell>
          <cell r="G3082">
            <v>55295286</v>
          </cell>
          <cell r="H3082">
            <v>5893733</v>
          </cell>
          <cell r="I3082">
            <v>28408623</v>
          </cell>
        </row>
        <row r="3083">
          <cell r="A3083" t="str">
            <v>5700|449060</v>
          </cell>
          <cell r="B3083" t="str">
            <v>5700</v>
          </cell>
          <cell r="C3083">
            <v>449060</v>
          </cell>
          <cell r="D3083">
            <v>41244</v>
          </cell>
          <cell r="E3083">
            <v>0</v>
          </cell>
          <cell r="F3083">
            <v>0</v>
          </cell>
          <cell r="G3083">
            <v>270884</v>
          </cell>
          <cell r="H3083">
            <v>0</v>
          </cell>
          <cell r="I3083">
            <v>0</v>
          </cell>
        </row>
        <row r="3084">
          <cell r="A3084" t="str">
            <v>5700|449061</v>
          </cell>
          <cell r="B3084" t="str">
            <v>5700</v>
          </cell>
          <cell r="C3084">
            <v>449061</v>
          </cell>
          <cell r="D3084">
            <v>41244</v>
          </cell>
          <cell r="E3084">
            <v>14328000</v>
          </cell>
          <cell r="F3084">
            <v>14328000</v>
          </cell>
          <cell r="G3084">
            <v>19119600</v>
          </cell>
          <cell r="H3084">
            <v>1194000</v>
          </cell>
          <cell r="I3084">
            <v>1416000</v>
          </cell>
        </row>
        <row r="3085">
          <cell r="A3085" t="str">
            <v>5700|451000</v>
          </cell>
          <cell r="B3085" t="str">
            <v>5700</v>
          </cell>
          <cell r="C3085">
            <v>451000</v>
          </cell>
          <cell r="D3085">
            <v>41244</v>
          </cell>
          <cell r="E3085">
            <v>10886000</v>
          </cell>
          <cell r="F3085">
            <v>10886000</v>
          </cell>
          <cell r="G3085">
            <v>6641900</v>
          </cell>
          <cell r="H3085">
            <v>907168</v>
          </cell>
          <cell r="I3085">
            <v>0</v>
          </cell>
        </row>
        <row r="3086">
          <cell r="A3086" t="str">
            <v>5700|455000</v>
          </cell>
          <cell r="B3086" t="str">
            <v>5700</v>
          </cell>
          <cell r="C3086">
            <v>455000</v>
          </cell>
          <cell r="D3086">
            <v>41244</v>
          </cell>
          <cell r="E3086">
            <v>1500000</v>
          </cell>
          <cell r="F3086">
            <v>1500000</v>
          </cell>
          <cell r="G3086">
            <v>1493850</v>
          </cell>
          <cell r="H3086">
            <v>125000</v>
          </cell>
          <cell r="I3086">
            <v>0</v>
          </cell>
        </row>
        <row r="3087">
          <cell r="A3087" t="str">
            <v>5700|459000</v>
          </cell>
          <cell r="B3087" t="str">
            <v>5700</v>
          </cell>
          <cell r="C3087">
            <v>459000</v>
          </cell>
          <cell r="D3087">
            <v>41244</v>
          </cell>
          <cell r="E3087">
            <v>1880000</v>
          </cell>
          <cell r="F3087">
            <v>1880000</v>
          </cell>
          <cell r="G3087">
            <v>1272730</v>
          </cell>
          <cell r="H3087">
            <v>156669</v>
          </cell>
          <cell r="I3087">
            <v>0</v>
          </cell>
        </row>
        <row r="3088">
          <cell r="A3088" t="str">
            <v>5700|459002</v>
          </cell>
          <cell r="B3088" t="str">
            <v>5700</v>
          </cell>
          <cell r="C3088">
            <v>459002</v>
          </cell>
          <cell r="D3088">
            <v>41244</v>
          </cell>
          <cell r="E3088">
            <v>2000000</v>
          </cell>
          <cell r="F3088">
            <v>2000000</v>
          </cell>
          <cell r="G3088">
            <v>0</v>
          </cell>
          <cell r="H3088">
            <v>166667</v>
          </cell>
          <cell r="I3088">
            <v>0</v>
          </cell>
        </row>
        <row r="3089">
          <cell r="A3089" t="str">
            <v>5700|459005</v>
          </cell>
          <cell r="B3089" t="str">
            <v>5700</v>
          </cell>
          <cell r="C3089">
            <v>459005</v>
          </cell>
          <cell r="D3089">
            <v>41244</v>
          </cell>
          <cell r="E3089">
            <v>2500000</v>
          </cell>
          <cell r="F3089">
            <v>2500000</v>
          </cell>
          <cell r="G3089">
            <v>400000</v>
          </cell>
          <cell r="H3089">
            <v>208333</v>
          </cell>
          <cell r="I3089">
            <v>0</v>
          </cell>
        </row>
        <row r="3090">
          <cell r="A3090" t="str">
            <v>5700|470102</v>
          </cell>
          <cell r="B3090" t="str">
            <v>5700</v>
          </cell>
          <cell r="C3090">
            <v>470102</v>
          </cell>
          <cell r="D3090">
            <v>41244</v>
          </cell>
          <cell r="E3090">
            <v>3746183</v>
          </cell>
          <cell r="F3090">
            <v>3746183</v>
          </cell>
          <cell r="G3090">
            <v>2636604</v>
          </cell>
          <cell r="H3090">
            <v>312181</v>
          </cell>
          <cell r="I3090">
            <v>205751</v>
          </cell>
        </row>
        <row r="3091">
          <cell r="A3091" t="str">
            <v>5700|471000</v>
          </cell>
          <cell r="B3091" t="str">
            <v>5700</v>
          </cell>
          <cell r="C3091">
            <v>471000</v>
          </cell>
          <cell r="D3091">
            <v>41244</v>
          </cell>
          <cell r="E3091">
            <v>38572640</v>
          </cell>
          <cell r="F3091">
            <v>38572640</v>
          </cell>
          <cell r="G3091">
            <v>52723200</v>
          </cell>
          <cell r="H3091">
            <v>3214387</v>
          </cell>
          <cell r="I3091">
            <v>10887170</v>
          </cell>
        </row>
        <row r="3092">
          <cell r="A3092" t="str">
            <v>5700|472000</v>
          </cell>
          <cell r="B3092" t="str">
            <v>5700</v>
          </cell>
          <cell r="C3092">
            <v>472000</v>
          </cell>
          <cell r="D3092">
            <v>41244</v>
          </cell>
          <cell r="E3092">
            <v>5000000</v>
          </cell>
          <cell r="F3092">
            <v>5000000</v>
          </cell>
          <cell r="G3092">
            <v>0</v>
          </cell>
          <cell r="H3092">
            <v>416667</v>
          </cell>
          <cell r="I3092">
            <v>0</v>
          </cell>
        </row>
        <row r="3093">
          <cell r="A3093" t="str">
            <v>5700|473000</v>
          </cell>
          <cell r="B3093" t="str">
            <v>5700</v>
          </cell>
          <cell r="C3093">
            <v>473000</v>
          </cell>
          <cell r="D3093">
            <v>41244</v>
          </cell>
          <cell r="E3093">
            <v>3315678</v>
          </cell>
          <cell r="F3093">
            <v>3315678</v>
          </cell>
          <cell r="G3093">
            <v>0</v>
          </cell>
          <cell r="H3093">
            <v>276306</v>
          </cell>
          <cell r="I3093">
            <v>0</v>
          </cell>
        </row>
        <row r="3094">
          <cell r="A3094" t="str">
            <v>5700|473120</v>
          </cell>
          <cell r="B3094" t="str">
            <v>5700</v>
          </cell>
          <cell r="C3094">
            <v>473120</v>
          </cell>
          <cell r="D3094">
            <v>41244</v>
          </cell>
          <cell r="E3094">
            <v>22585217</v>
          </cell>
          <cell r="F3094">
            <v>22585217</v>
          </cell>
          <cell r="G3094">
            <v>15747420</v>
          </cell>
          <cell r="H3094">
            <v>1882101</v>
          </cell>
          <cell r="I3094">
            <v>1826391</v>
          </cell>
        </row>
        <row r="3095">
          <cell r="A3095" t="str">
            <v>5700|474100</v>
          </cell>
          <cell r="B3095" t="str">
            <v>5700</v>
          </cell>
          <cell r="C3095">
            <v>474100</v>
          </cell>
          <cell r="D3095">
            <v>41244</v>
          </cell>
          <cell r="E3095">
            <v>67929147</v>
          </cell>
          <cell r="F3095">
            <v>67929147</v>
          </cell>
          <cell r="G3095">
            <v>71530701</v>
          </cell>
          <cell r="H3095">
            <v>5660763</v>
          </cell>
          <cell r="I3095">
            <v>4800000</v>
          </cell>
        </row>
        <row r="3096">
          <cell r="A3096" t="str">
            <v>5700|475002</v>
          </cell>
          <cell r="B3096" t="str">
            <v>5700</v>
          </cell>
          <cell r="C3096">
            <v>475002</v>
          </cell>
          <cell r="D3096">
            <v>41244</v>
          </cell>
          <cell r="E3096">
            <v>0</v>
          </cell>
          <cell r="F3096">
            <v>0</v>
          </cell>
          <cell r="G3096">
            <v>-1382123</v>
          </cell>
          <cell r="H3096">
            <v>0</v>
          </cell>
          <cell r="I3096">
            <v>0</v>
          </cell>
        </row>
        <row r="3097">
          <cell r="A3097" t="str">
            <v>5700|475003</v>
          </cell>
          <cell r="B3097" t="str">
            <v>5700</v>
          </cell>
          <cell r="C3097">
            <v>475003</v>
          </cell>
          <cell r="D3097">
            <v>41244</v>
          </cell>
          <cell r="E3097">
            <v>400000</v>
          </cell>
          <cell r="F3097">
            <v>400000</v>
          </cell>
          <cell r="G3097">
            <v>607000</v>
          </cell>
          <cell r="H3097">
            <v>33333</v>
          </cell>
          <cell r="I3097">
            <v>0</v>
          </cell>
        </row>
        <row r="3098">
          <cell r="A3098" t="str">
            <v>5700|475004</v>
          </cell>
          <cell r="B3098" t="str">
            <v>5700</v>
          </cell>
          <cell r="C3098">
            <v>475004</v>
          </cell>
          <cell r="D3098">
            <v>41244</v>
          </cell>
          <cell r="E3098">
            <v>49678828</v>
          </cell>
          <cell r="F3098">
            <v>49678828</v>
          </cell>
          <cell r="G3098">
            <v>25736857</v>
          </cell>
          <cell r="H3098">
            <v>4139902</v>
          </cell>
          <cell r="I3098">
            <v>2300000</v>
          </cell>
        </row>
        <row r="3099">
          <cell r="A3099" t="str">
            <v>5700|475005</v>
          </cell>
          <cell r="B3099" t="str">
            <v>5700</v>
          </cell>
          <cell r="C3099">
            <v>475005</v>
          </cell>
          <cell r="D3099">
            <v>41244</v>
          </cell>
          <cell r="E3099">
            <v>750396</v>
          </cell>
          <cell r="F3099">
            <v>750396</v>
          </cell>
          <cell r="G3099">
            <v>0</v>
          </cell>
          <cell r="H3099">
            <v>62533</v>
          </cell>
          <cell r="I3099">
            <v>0</v>
          </cell>
        </row>
        <row r="3100">
          <cell r="A3100" t="str">
            <v>5700|475006</v>
          </cell>
          <cell r="B3100" t="str">
            <v>5700</v>
          </cell>
          <cell r="C3100">
            <v>475006</v>
          </cell>
          <cell r="D3100">
            <v>41244</v>
          </cell>
          <cell r="E3100">
            <v>7261300</v>
          </cell>
          <cell r="F3100">
            <v>7261300</v>
          </cell>
          <cell r="G3100">
            <v>10434571</v>
          </cell>
          <cell r="H3100">
            <v>605108</v>
          </cell>
          <cell r="I3100">
            <v>836938</v>
          </cell>
        </row>
        <row r="3101">
          <cell r="A3101" t="str">
            <v>5700|476000</v>
          </cell>
          <cell r="B3101" t="str">
            <v>5700</v>
          </cell>
          <cell r="C3101">
            <v>476000</v>
          </cell>
          <cell r="D3101">
            <v>41244</v>
          </cell>
          <cell r="E3101">
            <v>16313527</v>
          </cell>
          <cell r="F3101">
            <v>16313527</v>
          </cell>
          <cell r="G3101">
            <v>11935422</v>
          </cell>
          <cell r="H3101">
            <v>1359461</v>
          </cell>
          <cell r="I3101">
            <v>0</v>
          </cell>
        </row>
        <row r="3102">
          <cell r="A3102" t="str">
            <v>5700|476001</v>
          </cell>
          <cell r="B3102" t="str">
            <v>5700</v>
          </cell>
          <cell r="C3102">
            <v>476001</v>
          </cell>
          <cell r="D3102">
            <v>41244</v>
          </cell>
          <cell r="E3102">
            <v>1510000</v>
          </cell>
          <cell r="F3102">
            <v>1510000</v>
          </cell>
          <cell r="G3102">
            <v>152500</v>
          </cell>
          <cell r="H3102">
            <v>125833</v>
          </cell>
          <cell r="I3102">
            <v>0</v>
          </cell>
        </row>
        <row r="3103">
          <cell r="A3103" t="str">
            <v>5700|476201</v>
          </cell>
          <cell r="B3103" t="str">
            <v>5700</v>
          </cell>
          <cell r="C3103">
            <v>476201</v>
          </cell>
          <cell r="D3103">
            <v>41244</v>
          </cell>
          <cell r="E3103">
            <v>410000000</v>
          </cell>
          <cell r="F3103">
            <v>410000000</v>
          </cell>
          <cell r="G3103">
            <v>0</v>
          </cell>
          <cell r="H3103">
            <v>34166666</v>
          </cell>
          <cell r="I3103">
            <v>-453700000</v>
          </cell>
        </row>
        <row r="3104">
          <cell r="A3104" t="str">
            <v>5700|476220</v>
          </cell>
          <cell r="B3104" t="str">
            <v>5700</v>
          </cell>
          <cell r="C3104">
            <v>476220</v>
          </cell>
          <cell r="D3104">
            <v>41244</v>
          </cell>
          <cell r="E3104">
            <v>194114</v>
          </cell>
          <cell r="F3104">
            <v>194114</v>
          </cell>
          <cell r="G3104">
            <v>1665221</v>
          </cell>
          <cell r="H3104">
            <v>16176</v>
          </cell>
          <cell r="I3104">
            <v>0</v>
          </cell>
        </row>
        <row r="3105">
          <cell r="A3105" t="str">
            <v>5700|476910</v>
          </cell>
          <cell r="B3105" t="str">
            <v>5700</v>
          </cell>
          <cell r="C3105">
            <v>476910</v>
          </cell>
          <cell r="D3105">
            <v>41244</v>
          </cell>
          <cell r="E3105">
            <v>1189400</v>
          </cell>
          <cell r="F3105">
            <v>1189400</v>
          </cell>
          <cell r="G3105">
            <v>0</v>
          </cell>
          <cell r="H3105">
            <v>99117</v>
          </cell>
          <cell r="I3105">
            <v>0</v>
          </cell>
        </row>
        <row r="3106">
          <cell r="A3106" t="str">
            <v>6000|211104</v>
          </cell>
          <cell r="B3106" t="str">
            <v>6000</v>
          </cell>
          <cell r="C3106">
            <v>211104</v>
          </cell>
          <cell r="D3106">
            <v>41244</v>
          </cell>
          <cell r="E3106">
            <v>3371005</v>
          </cell>
          <cell r="F3106">
            <v>3371005</v>
          </cell>
          <cell r="G3106">
            <v>3371005</v>
          </cell>
          <cell r="H3106">
            <v>280917</v>
          </cell>
          <cell r="I3106">
            <v>280914</v>
          </cell>
        </row>
        <row r="3107">
          <cell r="A3107" t="str">
            <v>6000|400040</v>
          </cell>
          <cell r="B3107" t="str">
            <v>6000</v>
          </cell>
          <cell r="C3107">
            <v>400040</v>
          </cell>
          <cell r="D3107">
            <v>41244</v>
          </cell>
          <cell r="E3107">
            <v>0</v>
          </cell>
          <cell r="F3107">
            <v>0</v>
          </cell>
          <cell r="G3107">
            <v>50740</v>
          </cell>
          <cell r="H3107">
            <v>0</v>
          </cell>
          <cell r="I3107">
            <v>0</v>
          </cell>
        </row>
        <row r="3108">
          <cell r="A3108" t="str">
            <v>6000|405200</v>
          </cell>
          <cell r="B3108" t="str">
            <v>6000</v>
          </cell>
          <cell r="C3108">
            <v>405200</v>
          </cell>
          <cell r="D3108">
            <v>41244</v>
          </cell>
          <cell r="E3108">
            <v>0</v>
          </cell>
          <cell r="F3108">
            <v>0</v>
          </cell>
          <cell r="G3108">
            <v>1683473</v>
          </cell>
          <cell r="H3108">
            <v>0</v>
          </cell>
          <cell r="I3108">
            <v>0</v>
          </cell>
        </row>
        <row r="3109">
          <cell r="A3109" t="str">
            <v>6000|405251</v>
          </cell>
          <cell r="B3109" t="str">
            <v>6000</v>
          </cell>
          <cell r="C3109">
            <v>405251</v>
          </cell>
          <cell r="D3109">
            <v>41244</v>
          </cell>
          <cell r="E3109">
            <v>0</v>
          </cell>
          <cell r="F3109">
            <v>0</v>
          </cell>
          <cell r="G3109">
            <v>518124</v>
          </cell>
          <cell r="H3109">
            <v>0</v>
          </cell>
          <cell r="I3109">
            <v>0</v>
          </cell>
        </row>
        <row r="3110">
          <cell r="A3110" t="str">
            <v>6000|420003</v>
          </cell>
          <cell r="B3110" t="str">
            <v>6000</v>
          </cell>
          <cell r="C3110">
            <v>420003</v>
          </cell>
          <cell r="D3110">
            <v>41244</v>
          </cell>
          <cell r="E3110">
            <v>371547013</v>
          </cell>
          <cell r="F3110">
            <v>371547013</v>
          </cell>
          <cell r="G3110">
            <v>366057075</v>
          </cell>
          <cell r="H3110">
            <v>30962251</v>
          </cell>
          <cell r="I3110">
            <v>30697831</v>
          </cell>
        </row>
        <row r="3111">
          <cell r="A3111" t="str">
            <v>6000|422003</v>
          </cell>
          <cell r="B3111" t="str">
            <v>6000</v>
          </cell>
          <cell r="C3111">
            <v>422003</v>
          </cell>
          <cell r="D3111">
            <v>41244</v>
          </cell>
          <cell r="E3111">
            <v>809654</v>
          </cell>
          <cell r="F3111">
            <v>809654</v>
          </cell>
          <cell r="G3111">
            <v>0</v>
          </cell>
          <cell r="H3111">
            <v>67471</v>
          </cell>
          <cell r="I3111">
            <v>0</v>
          </cell>
        </row>
        <row r="3112">
          <cell r="A3112" t="str">
            <v>6000|431001</v>
          </cell>
          <cell r="B3112" t="str">
            <v>6000</v>
          </cell>
          <cell r="C3112">
            <v>431001</v>
          </cell>
          <cell r="D3112">
            <v>41244</v>
          </cell>
          <cell r="E3112">
            <v>0</v>
          </cell>
          <cell r="F3112">
            <v>0</v>
          </cell>
          <cell r="G3112">
            <v>322819</v>
          </cell>
          <cell r="H3112">
            <v>0</v>
          </cell>
          <cell r="I3112">
            <v>0</v>
          </cell>
        </row>
        <row r="3113">
          <cell r="A3113" t="str">
            <v>6000|431002</v>
          </cell>
          <cell r="B3113" t="str">
            <v>6000</v>
          </cell>
          <cell r="C3113">
            <v>431002</v>
          </cell>
          <cell r="D3113">
            <v>41244</v>
          </cell>
          <cell r="E3113">
            <v>593553</v>
          </cell>
          <cell r="F3113">
            <v>593553</v>
          </cell>
          <cell r="G3113">
            <v>0</v>
          </cell>
          <cell r="H3113">
            <v>49463</v>
          </cell>
          <cell r="I3113">
            <v>0</v>
          </cell>
        </row>
        <row r="3114">
          <cell r="A3114" t="str">
            <v>6000|434013</v>
          </cell>
          <cell r="B3114" t="str">
            <v>6000</v>
          </cell>
          <cell r="C3114">
            <v>434013</v>
          </cell>
          <cell r="D3114">
            <v>41244</v>
          </cell>
          <cell r="E3114">
            <v>0</v>
          </cell>
          <cell r="F3114">
            <v>0</v>
          </cell>
          <cell r="G3114">
            <v>4244886</v>
          </cell>
          <cell r="H3114">
            <v>0</v>
          </cell>
          <cell r="I3114">
            <v>1366596</v>
          </cell>
        </row>
        <row r="3115">
          <cell r="A3115" t="str">
            <v>6000|435003</v>
          </cell>
          <cell r="B3115" t="str">
            <v>6000</v>
          </cell>
          <cell r="C3115">
            <v>435003</v>
          </cell>
          <cell r="D3115">
            <v>41244</v>
          </cell>
          <cell r="E3115">
            <v>46443377</v>
          </cell>
          <cell r="F3115">
            <v>46443377</v>
          </cell>
          <cell r="G3115">
            <v>40536383</v>
          </cell>
          <cell r="H3115">
            <v>3870281</v>
          </cell>
          <cell r="I3115">
            <v>0</v>
          </cell>
        </row>
        <row r="3116">
          <cell r="A3116" t="str">
            <v>6000|439003</v>
          </cell>
          <cell r="B3116" t="str">
            <v>6000</v>
          </cell>
          <cell r="C3116">
            <v>439003</v>
          </cell>
          <cell r="D3116">
            <v>41244</v>
          </cell>
          <cell r="E3116">
            <v>44055634</v>
          </cell>
          <cell r="F3116">
            <v>44055634</v>
          </cell>
          <cell r="G3116">
            <v>67228313</v>
          </cell>
          <cell r="H3116">
            <v>3671303</v>
          </cell>
          <cell r="I3116">
            <v>8296600</v>
          </cell>
        </row>
        <row r="3117">
          <cell r="A3117" t="str">
            <v>6000|439203</v>
          </cell>
          <cell r="B3117" t="str">
            <v>6000</v>
          </cell>
          <cell r="C3117">
            <v>439203</v>
          </cell>
          <cell r="D3117">
            <v>41244</v>
          </cell>
          <cell r="E3117">
            <v>0</v>
          </cell>
          <cell r="F3117">
            <v>0</v>
          </cell>
          <cell r="G3117">
            <v>209000</v>
          </cell>
          <cell r="H3117">
            <v>0</v>
          </cell>
          <cell r="I3117">
            <v>0</v>
          </cell>
        </row>
        <row r="3118">
          <cell r="A3118" t="str">
            <v>6000|440003</v>
          </cell>
          <cell r="B3118" t="str">
            <v>6000</v>
          </cell>
          <cell r="C3118">
            <v>440003</v>
          </cell>
          <cell r="D3118">
            <v>41244</v>
          </cell>
          <cell r="E3118">
            <v>30962251</v>
          </cell>
          <cell r="F3118">
            <v>30962251</v>
          </cell>
          <cell r="G3118">
            <v>23290739</v>
          </cell>
          <cell r="H3118">
            <v>2580188</v>
          </cell>
          <cell r="I3118">
            <v>2836175</v>
          </cell>
        </row>
        <row r="3119">
          <cell r="A3119" t="str">
            <v>6000|447003</v>
          </cell>
          <cell r="B3119" t="str">
            <v>6000</v>
          </cell>
          <cell r="C3119">
            <v>447003</v>
          </cell>
          <cell r="D3119">
            <v>41244</v>
          </cell>
          <cell r="E3119">
            <v>3628300</v>
          </cell>
          <cell r="F3119">
            <v>3628300</v>
          </cell>
          <cell r="G3119">
            <v>4191906</v>
          </cell>
          <cell r="H3119">
            <v>302358</v>
          </cell>
          <cell r="I3119">
            <v>352426</v>
          </cell>
        </row>
        <row r="3120">
          <cell r="A3120" t="str">
            <v>6000|447013</v>
          </cell>
          <cell r="B3120" t="str">
            <v>6000</v>
          </cell>
          <cell r="C3120">
            <v>447013</v>
          </cell>
          <cell r="D3120">
            <v>41244</v>
          </cell>
          <cell r="E3120">
            <v>8550770</v>
          </cell>
          <cell r="F3120">
            <v>8550770</v>
          </cell>
          <cell r="G3120">
            <v>9879006</v>
          </cell>
          <cell r="H3120">
            <v>712564</v>
          </cell>
          <cell r="I3120">
            <v>830558</v>
          </cell>
        </row>
        <row r="3121">
          <cell r="A3121" t="str">
            <v>6000|447023</v>
          </cell>
          <cell r="B3121" t="str">
            <v>6000</v>
          </cell>
          <cell r="C3121">
            <v>447023</v>
          </cell>
          <cell r="D3121">
            <v>41244</v>
          </cell>
          <cell r="E3121">
            <v>362830</v>
          </cell>
          <cell r="F3121">
            <v>362830</v>
          </cell>
          <cell r="G3121">
            <v>739811</v>
          </cell>
          <cell r="H3121">
            <v>30236</v>
          </cell>
          <cell r="I3121">
            <v>62100</v>
          </cell>
        </row>
        <row r="3122">
          <cell r="A3122" t="str">
            <v>6000|448003</v>
          </cell>
          <cell r="B3122" t="str">
            <v>6000</v>
          </cell>
          <cell r="C3122">
            <v>448003</v>
          </cell>
          <cell r="D3122">
            <v>41244</v>
          </cell>
          <cell r="E3122">
            <v>27014726</v>
          </cell>
          <cell r="F3122">
            <v>27014726</v>
          </cell>
          <cell r="G3122">
            <v>588000</v>
          </cell>
          <cell r="H3122">
            <v>2251227</v>
          </cell>
          <cell r="I3122">
            <v>0</v>
          </cell>
        </row>
        <row r="3123">
          <cell r="A3123" t="str">
            <v>6000|449032</v>
          </cell>
          <cell r="B3123" t="str">
            <v>6000</v>
          </cell>
          <cell r="C3123">
            <v>449032</v>
          </cell>
          <cell r="D3123">
            <v>41244</v>
          </cell>
          <cell r="E3123">
            <v>2480000</v>
          </cell>
          <cell r="F3123">
            <v>2480000</v>
          </cell>
          <cell r="G3123">
            <v>0</v>
          </cell>
          <cell r="H3123">
            <v>206666</v>
          </cell>
          <cell r="I3123">
            <v>0</v>
          </cell>
        </row>
        <row r="3124">
          <cell r="A3124" t="str">
            <v>6000|449050</v>
          </cell>
          <cell r="B3124" t="str">
            <v>6000</v>
          </cell>
          <cell r="C3124">
            <v>449050</v>
          </cell>
          <cell r="D3124">
            <v>41244</v>
          </cell>
          <cell r="E3124">
            <v>12052522</v>
          </cell>
          <cell r="F3124">
            <v>12052522</v>
          </cell>
          <cell r="G3124">
            <v>29536008</v>
          </cell>
          <cell r="H3124">
            <v>1004377</v>
          </cell>
          <cell r="I3124">
            <v>2461334</v>
          </cell>
        </row>
        <row r="3125">
          <cell r="A3125" t="str">
            <v>6000|449061</v>
          </cell>
          <cell r="B3125" t="str">
            <v>6000</v>
          </cell>
          <cell r="C3125">
            <v>449061</v>
          </cell>
          <cell r="D3125">
            <v>41244</v>
          </cell>
          <cell r="E3125">
            <v>10134400</v>
          </cell>
          <cell r="F3125">
            <v>10134400</v>
          </cell>
          <cell r="G3125">
            <v>9371850</v>
          </cell>
          <cell r="H3125">
            <v>844533</v>
          </cell>
          <cell r="I3125">
            <v>713500</v>
          </cell>
        </row>
        <row r="3126">
          <cell r="A3126" t="str">
            <v>6000|451000</v>
          </cell>
          <cell r="B3126" t="str">
            <v>6000</v>
          </cell>
          <cell r="C3126">
            <v>451000</v>
          </cell>
          <cell r="D3126">
            <v>41244</v>
          </cell>
          <cell r="E3126">
            <v>5</v>
          </cell>
          <cell r="F3126">
            <v>5</v>
          </cell>
          <cell r="G3126">
            <v>0</v>
          </cell>
          <cell r="H3126">
            <v>0</v>
          </cell>
          <cell r="I3126">
            <v>0</v>
          </cell>
        </row>
        <row r="3127">
          <cell r="A3127" t="str">
            <v>6000|455000</v>
          </cell>
          <cell r="B3127" t="str">
            <v>6000</v>
          </cell>
          <cell r="C3127">
            <v>455000</v>
          </cell>
          <cell r="D3127">
            <v>41244</v>
          </cell>
          <cell r="E3127">
            <v>0</v>
          </cell>
          <cell r="F3127">
            <v>0</v>
          </cell>
          <cell r="G3127">
            <v>332500</v>
          </cell>
          <cell r="H3127">
            <v>0</v>
          </cell>
          <cell r="I3127">
            <v>0</v>
          </cell>
        </row>
        <row r="3128">
          <cell r="A3128" t="str">
            <v>6000|459000</v>
          </cell>
          <cell r="B3128" t="str">
            <v>6000</v>
          </cell>
          <cell r="C3128">
            <v>459000</v>
          </cell>
          <cell r="D3128">
            <v>41244</v>
          </cell>
          <cell r="E3128">
            <v>1700000</v>
          </cell>
          <cell r="F3128">
            <v>1700000</v>
          </cell>
          <cell r="G3128">
            <v>1272730</v>
          </cell>
          <cell r="H3128">
            <v>141667</v>
          </cell>
          <cell r="I3128">
            <v>0</v>
          </cell>
        </row>
        <row r="3129">
          <cell r="A3129" t="str">
            <v>6000|459005</v>
          </cell>
          <cell r="B3129" t="str">
            <v>6000</v>
          </cell>
          <cell r="C3129">
            <v>459005</v>
          </cell>
          <cell r="D3129">
            <v>41244</v>
          </cell>
          <cell r="E3129">
            <v>1</v>
          </cell>
          <cell r="F3129">
            <v>1</v>
          </cell>
          <cell r="G3129">
            <v>0</v>
          </cell>
          <cell r="H3129">
            <v>0</v>
          </cell>
          <cell r="I3129">
            <v>0</v>
          </cell>
        </row>
        <row r="3130">
          <cell r="A3130" t="str">
            <v>6000|470101</v>
          </cell>
          <cell r="B3130" t="str">
            <v>6000</v>
          </cell>
          <cell r="C3130">
            <v>470101</v>
          </cell>
          <cell r="D3130">
            <v>41244</v>
          </cell>
          <cell r="E3130">
            <v>45343166</v>
          </cell>
          <cell r="F3130">
            <v>45343166</v>
          </cell>
          <cell r="G3130">
            <v>56090750</v>
          </cell>
          <cell r="H3130">
            <v>3778597</v>
          </cell>
          <cell r="I3130">
            <v>9449000</v>
          </cell>
        </row>
        <row r="3131">
          <cell r="A3131" t="str">
            <v>6000|471000</v>
          </cell>
          <cell r="B3131" t="str">
            <v>6000</v>
          </cell>
          <cell r="C3131">
            <v>471000</v>
          </cell>
          <cell r="D3131">
            <v>41244</v>
          </cell>
          <cell r="E3131">
            <v>19152450</v>
          </cell>
          <cell r="F3131">
            <v>19152450</v>
          </cell>
          <cell r="G3131">
            <v>34590310</v>
          </cell>
          <cell r="H3131">
            <v>1596037</v>
          </cell>
          <cell r="I3131">
            <v>2229590</v>
          </cell>
        </row>
        <row r="3132">
          <cell r="A3132" t="str">
            <v>6000|473000</v>
          </cell>
          <cell r="B3132" t="str">
            <v>6000</v>
          </cell>
          <cell r="C3132">
            <v>473000</v>
          </cell>
          <cell r="D3132">
            <v>41244</v>
          </cell>
          <cell r="E3132">
            <v>10000</v>
          </cell>
          <cell r="F3132">
            <v>10000</v>
          </cell>
          <cell r="G3132">
            <v>6000</v>
          </cell>
          <cell r="H3132">
            <v>833</v>
          </cell>
          <cell r="I3132">
            <v>0</v>
          </cell>
        </row>
        <row r="3133">
          <cell r="A3133" t="str">
            <v>6000|473120</v>
          </cell>
          <cell r="B3133" t="str">
            <v>6000</v>
          </cell>
          <cell r="C3133">
            <v>473120</v>
          </cell>
          <cell r="D3133">
            <v>41244</v>
          </cell>
          <cell r="E3133">
            <v>4324107</v>
          </cell>
          <cell r="F3133">
            <v>4324107</v>
          </cell>
          <cell r="G3133">
            <v>6263091</v>
          </cell>
          <cell r="H3133">
            <v>360342</v>
          </cell>
          <cell r="I3133">
            <v>80197</v>
          </cell>
        </row>
        <row r="3134">
          <cell r="A3134" t="str">
            <v>6000|474100</v>
          </cell>
          <cell r="B3134" t="str">
            <v>6000</v>
          </cell>
          <cell r="C3134">
            <v>474100</v>
          </cell>
          <cell r="D3134">
            <v>41244</v>
          </cell>
          <cell r="E3134">
            <v>15616800</v>
          </cell>
          <cell r="F3134">
            <v>15616800</v>
          </cell>
          <cell r="G3134">
            <v>15002331</v>
          </cell>
          <cell r="H3134">
            <v>1301401</v>
          </cell>
          <cell r="I3134">
            <v>0</v>
          </cell>
        </row>
        <row r="3135">
          <cell r="A3135" t="str">
            <v>6000|475002</v>
          </cell>
          <cell r="B3135" t="str">
            <v>6000</v>
          </cell>
          <cell r="C3135">
            <v>475002</v>
          </cell>
          <cell r="D3135">
            <v>41244</v>
          </cell>
          <cell r="E3135">
            <v>599167</v>
          </cell>
          <cell r="F3135">
            <v>599167</v>
          </cell>
          <cell r="G3135">
            <v>-690564</v>
          </cell>
          <cell r="H3135">
            <v>49931</v>
          </cell>
          <cell r="I3135">
            <v>0</v>
          </cell>
        </row>
        <row r="3136">
          <cell r="A3136" t="str">
            <v>6000|475004</v>
          </cell>
          <cell r="B3136" t="str">
            <v>6000</v>
          </cell>
          <cell r="C3136">
            <v>475004</v>
          </cell>
          <cell r="D3136">
            <v>41244</v>
          </cell>
          <cell r="E3136">
            <v>31824348</v>
          </cell>
          <cell r="F3136">
            <v>31824348</v>
          </cell>
          <cell r="G3136">
            <v>37319879</v>
          </cell>
          <cell r="H3136">
            <v>2652029</v>
          </cell>
          <cell r="I3136">
            <v>2627144</v>
          </cell>
        </row>
        <row r="3137">
          <cell r="A3137" t="str">
            <v>6000|475005</v>
          </cell>
          <cell r="B3137" t="str">
            <v>6000</v>
          </cell>
          <cell r="C3137">
            <v>475005</v>
          </cell>
          <cell r="D3137">
            <v>41244</v>
          </cell>
          <cell r="E3137">
            <v>0</v>
          </cell>
          <cell r="F3137">
            <v>0</v>
          </cell>
          <cell r="G3137">
            <v>650146</v>
          </cell>
          <cell r="H3137">
            <v>0</v>
          </cell>
          <cell r="I3137">
            <v>0</v>
          </cell>
        </row>
        <row r="3138">
          <cell r="A3138" t="str">
            <v>6000|475006</v>
          </cell>
          <cell r="B3138" t="str">
            <v>6000</v>
          </cell>
          <cell r="C3138">
            <v>475006</v>
          </cell>
          <cell r="D3138">
            <v>41244</v>
          </cell>
          <cell r="E3138">
            <v>5813156</v>
          </cell>
          <cell r="F3138">
            <v>5813156</v>
          </cell>
          <cell r="G3138">
            <v>8063815</v>
          </cell>
          <cell r="H3138">
            <v>484430</v>
          </cell>
          <cell r="I3138">
            <v>639375</v>
          </cell>
        </row>
        <row r="3139">
          <cell r="A3139" t="str">
            <v>6000|476000</v>
          </cell>
          <cell r="B3139" t="str">
            <v>6000</v>
          </cell>
          <cell r="C3139">
            <v>476000</v>
          </cell>
          <cell r="D3139">
            <v>41244</v>
          </cell>
          <cell r="E3139">
            <v>26961090</v>
          </cell>
          <cell r="F3139">
            <v>26961090</v>
          </cell>
          <cell r="G3139">
            <v>25709207</v>
          </cell>
          <cell r="H3139">
            <v>2246757</v>
          </cell>
          <cell r="I3139">
            <v>3411749</v>
          </cell>
        </row>
        <row r="3140">
          <cell r="A3140" t="str">
            <v>6000|476001</v>
          </cell>
          <cell r="B3140" t="str">
            <v>6000</v>
          </cell>
          <cell r="C3140">
            <v>476001</v>
          </cell>
          <cell r="D3140">
            <v>41244</v>
          </cell>
          <cell r="E3140">
            <v>340000</v>
          </cell>
          <cell r="F3140">
            <v>340000</v>
          </cell>
          <cell r="G3140">
            <v>318500</v>
          </cell>
          <cell r="H3140">
            <v>28333</v>
          </cell>
          <cell r="I3140">
            <v>0</v>
          </cell>
        </row>
        <row r="3141">
          <cell r="A3141" t="str">
            <v>6000|476220</v>
          </cell>
          <cell r="B3141" t="str">
            <v>6000</v>
          </cell>
          <cell r="C3141">
            <v>476220</v>
          </cell>
          <cell r="D3141">
            <v>41244</v>
          </cell>
          <cell r="E3141">
            <v>224080</v>
          </cell>
          <cell r="F3141">
            <v>224080</v>
          </cell>
          <cell r="G3141">
            <v>0</v>
          </cell>
          <cell r="H3141">
            <v>18673</v>
          </cell>
          <cell r="I3141">
            <v>0</v>
          </cell>
        </row>
        <row r="3142">
          <cell r="A3142" t="str">
            <v>6110|211104</v>
          </cell>
          <cell r="B3142" t="str">
            <v>6110</v>
          </cell>
          <cell r="C3142">
            <v>211104</v>
          </cell>
          <cell r="D3142">
            <v>41244</v>
          </cell>
          <cell r="E3142">
            <v>21008394</v>
          </cell>
          <cell r="F3142">
            <v>21008394</v>
          </cell>
          <cell r="G3142">
            <v>19564942</v>
          </cell>
          <cell r="H3142">
            <v>1750699</v>
          </cell>
          <cell r="I3142">
            <v>1630414</v>
          </cell>
        </row>
        <row r="3143">
          <cell r="A3143" t="str">
            <v>6110|400040</v>
          </cell>
          <cell r="B3143" t="str">
            <v>6110</v>
          </cell>
          <cell r="C3143">
            <v>400040</v>
          </cell>
          <cell r="D3143">
            <v>41244</v>
          </cell>
          <cell r="E3143">
            <v>1500000</v>
          </cell>
          <cell r="F3143">
            <v>1500000</v>
          </cell>
          <cell r="G3143">
            <v>49400</v>
          </cell>
          <cell r="H3143">
            <v>125001</v>
          </cell>
          <cell r="I3143">
            <v>0</v>
          </cell>
        </row>
        <row r="3144">
          <cell r="A3144" t="str">
            <v>6110|420000</v>
          </cell>
          <cell r="B3144" t="str">
            <v>6110</v>
          </cell>
          <cell r="C3144">
            <v>420000</v>
          </cell>
          <cell r="D3144">
            <v>41244</v>
          </cell>
          <cell r="E3144">
            <v>272258160</v>
          </cell>
          <cell r="F3144">
            <v>272258160</v>
          </cell>
          <cell r="G3144">
            <v>148419000</v>
          </cell>
          <cell r="H3144">
            <v>22688180</v>
          </cell>
          <cell r="I3144">
            <v>4344500</v>
          </cell>
        </row>
        <row r="3145">
          <cell r="A3145" t="str">
            <v>6110|420003</v>
          </cell>
          <cell r="B3145" t="str">
            <v>6110</v>
          </cell>
          <cell r="C3145">
            <v>420003</v>
          </cell>
          <cell r="D3145">
            <v>41244</v>
          </cell>
          <cell r="E3145">
            <v>231101892</v>
          </cell>
          <cell r="F3145">
            <v>231101892</v>
          </cell>
          <cell r="G3145">
            <v>227687156</v>
          </cell>
          <cell r="H3145">
            <v>19258491</v>
          </cell>
          <cell r="I3145">
            <v>19094022</v>
          </cell>
        </row>
        <row r="3146">
          <cell r="A3146" t="str">
            <v>6110|422000</v>
          </cell>
          <cell r="B3146" t="str">
            <v>6110</v>
          </cell>
          <cell r="C3146">
            <v>422000</v>
          </cell>
          <cell r="D3146">
            <v>41244</v>
          </cell>
          <cell r="E3146">
            <v>825002</v>
          </cell>
          <cell r="F3146">
            <v>825002</v>
          </cell>
          <cell r="G3146">
            <v>353150</v>
          </cell>
          <cell r="H3146">
            <v>68750</v>
          </cell>
          <cell r="I3146">
            <v>0</v>
          </cell>
        </row>
        <row r="3147">
          <cell r="A3147" t="str">
            <v>6110|431000</v>
          </cell>
          <cell r="B3147" t="str">
            <v>6110</v>
          </cell>
          <cell r="C3147">
            <v>431000</v>
          </cell>
          <cell r="D3147">
            <v>41244</v>
          </cell>
          <cell r="E3147">
            <v>35000000</v>
          </cell>
          <cell r="F3147">
            <v>35000000</v>
          </cell>
          <cell r="G3147">
            <v>6252261</v>
          </cell>
          <cell r="H3147">
            <v>2916667</v>
          </cell>
          <cell r="I3147">
            <v>0</v>
          </cell>
        </row>
        <row r="3148">
          <cell r="A3148" t="str">
            <v>6110|434010</v>
          </cell>
          <cell r="B3148" t="str">
            <v>6110</v>
          </cell>
          <cell r="C3148">
            <v>434010</v>
          </cell>
          <cell r="D3148">
            <v>41244</v>
          </cell>
          <cell r="E3148">
            <v>5095500</v>
          </cell>
          <cell r="F3148">
            <v>5095500</v>
          </cell>
          <cell r="G3148">
            <v>629103</v>
          </cell>
          <cell r="H3148">
            <v>424625</v>
          </cell>
          <cell r="I3148">
            <v>189452</v>
          </cell>
        </row>
        <row r="3149">
          <cell r="A3149" t="str">
            <v>6110|434013</v>
          </cell>
          <cell r="B3149" t="str">
            <v>6110</v>
          </cell>
          <cell r="C3149">
            <v>434013</v>
          </cell>
          <cell r="D3149">
            <v>41244</v>
          </cell>
          <cell r="E3149">
            <v>0</v>
          </cell>
          <cell r="F3149">
            <v>0</v>
          </cell>
          <cell r="G3149">
            <v>4244886</v>
          </cell>
          <cell r="H3149">
            <v>0</v>
          </cell>
          <cell r="I3149">
            <v>1366596</v>
          </cell>
        </row>
        <row r="3150">
          <cell r="A3150" t="str">
            <v>6110|435000</v>
          </cell>
          <cell r="B3150" t="str">
            <v>6110</v>
          </cell>
          <cell r="C3150">
            <v>435000</v>
          </cell>
          <cell r="D3150">
            <v>41244</v>
          </cell>
          <cell r="E3150">
            <v>28090283</v>
          </cell>
          <cell r="F3150">
            <v>28090283</v>
          </cell>
          <cell r="G3150">
            <v>28878968</v>
          </cell>
          <cell r="H3150">
            <v>2340857</v>
          </cell>
          <cell r="I3150">
            <v>4344500</v>
          </cell>
        </row>
        <row r="3151">
          <cell r="A3151" t="str">
            <v>6110|435003</v>
          </cell>
          <cell r="B3151" t="str">
            <v>6110</v>
          </cell>
          <cell r="C3151">
            <v>435003</v>
          </cell>
          <cell r="D3151">
            <v>41244</v>
          </cell>
          <cell r="E3151">
            <v>28887737</v>
          </cell>
          <cell r="F3151">
            <v>28887737</v>
          </cell>
          <cell r="G3151">
            <v>24929838</v>
          </cell>
          <cell r="H3151">
            <v>2407311</v>
          </cell>
          <cell r="I3151">
            <v>0</v>
          </cell>
        </row>
        <row r="3152">
          <cell r="A3152" t="str">
            <v>6110|439000</v>
          </cell>
          <cell r="B3152" t="str">
            <v>6110</v>
          </cell>
          <cell r="C3152">
            <v>439000</v>
          </cell>
          <cell r="D3152">
            <v>41244</v>
          </cell>
          <cell r="E3152">
            <v>76793444</v>
          </cell>
          <cell r="F3152">
            <v>76793444</v>
          </cell>
          <cell r="G3152">
            <v>13443127</v>
          </cell>
          <cell r="H3152">
            <v>6399454</v>
          </cell>
          <cell r="I3152">
            <v>0</v>
          </cell>
        </row>
        <row r="3153">
          <cell r="A3153" t="str">
            <v>6110|439003</v>
          </cell>
          <cell r="B3153" t="str">
            <v>6110</v>
          </cell>
          <cell r="C3153">
            <v>439003</v>
          </cell>
          <cell r="D3153">
            <v>41244</v>
          </cell>
          <cell r="E3153">
            <v>44055634</v>
          </cell>
          <cell r="F3153">
            <v>44055634</v>
          </cell>
          <cell r="G3153">
            <v>67228313</v>
          </cell>
          <cell r="H3153">
            <v>3671303</v>
          </cell>
          <cell r="I3153">
            <v>8296600</v>
          </cell>
        </row>
        <row r="3154">
          <cell r="A3154" t="str">
            <v>6110|439200</v>
          </cell>
          <cell r="B3154" t="str">
            <v>6110</v>
          </cell>
          <cell r="C3154">
            <v>439200</v>
          </cell>
          <cell r="D3154">
            <v>41244</v>
          </cell>
          <cell r="E3154">
            <v>85714</v>
          </cell>
          <cell r="F3154">
            <v>85714</v>
          </cell>
          <cell r="G3154">
            <v>198000</v>
          </cell>
          <cell r="H3154">
            <v>7143</v>
          </cell>
          <cell r="I3154">
            <v>0</v>
          </cell>
        </row>
        <row r="3155">
          <cell r="A3155" t="str">
            <v>6110|439203</v>
          </cell>
          <cell r="B3155" t="str">
            <v>6110</v>
          </cell>
          <cell r="C3155">
            <v>439203</v>
          </cell>
          <cell r="D3155">
            <v>41244</v>
          </cell>
          <cell r="E3155">
            <v>0</v>
          </cell>
          <cell r="F3155">
            <v>0</v>
          </cell>
          <cell r="G3155">
            <v>209000</v>
          </cell>
          <cell r="H3155">
            <v>0</v>
          </cell>
          <cell r="I3155">
            <v>0</v>
          </cell>
        </row>
        <row r="3156">
          <cell r="A3156" t="str">
            <v>6110|440000</v>
          </cell>
          <cell r="B3156" t="str">
            <v>6110</v>
          </cell>
          <cell r="C3156">
            <v>440000</v>
          </cell>
          <cell r="D3156">
            <v>41244</v>
          </cell>
          <cell r="E3156">
            <v>28090283</v>
          </cell>
          <cell r="F3156">
            <v>28090283</v>
          </cell>
          <cell r="G3156">
            <v>8290077</v>
          </cell>
          <cell r="H3156">
            <v>2340857</v>
          </cell>
          <cell r="I3156">
            <v>334498</v>
          </cell>
        </row>
        <row r="3157">
          <cell r="A3157" t="str">
            <v>6110|440003</v>
          </cell>
          <cell r="B3157" t="str">
            <v>6110</v>
          </cell>
          <cell r="C3157">
            <v>440003</v>
          </cell>
          <cell r="D3157">
            <v>41244</v>
          </cell>
          <cell r="E3157">
            <v>19258491</v>
          </cell>
          <cell r="F3157">
            <v>19258491</v>
          </cell>
          <cell r="G3157">
            <v>17247993</v>
          </cell>
          <cell r="H3157">
            <v>1604874</v>
          </cell>
          <cell r="I3157">
            <v>1764098</v>
          </cell>
        </row>
        <row r="3158">
          <cell r="A3158" t="str">
            <v>6110|446000</v>
          </cell>
          <cell r="B3158" t="str">
            <v>6110</v>
          </cell>
          <cell r="C3158">
            <v>446000</v>
          </cell>
          <cell r="D3158">
            <v>41244</v>
          </cell>
          <cell r="E3158">
            <v>0</v>
          </cell>
          <cell r="F3158">
            <v>0</v>
          </cell>
          <cell r="G3158">
            <v>4921106</v>
          </cell>
          <cell r="H3158">
            <v>0</v>
          </cell>
          <cell r="I3158">
            <v>200000</v>
          </cell>
        </row>
        <row r="3159">
          <cell r="A3159" t="str">
            <v>6110|447000</v>
          </cell>
          <cell r="B3159" t="str">
            <v>6110</v>
          </cell>
          <cell r="C3159">
            <v>447000</v>
          </cell>
          <cell r="D3159">
            <v>41244</v>
          </cell>
          <cell r="E3159">
            <v>4974393</v>
          </cell>
          <cell r="F3159">
            <v>4974393</v>
          </cell>
          <cell r="G3159">
            <v>2330182</v>
          </cell>
          <cell r="H3159">
            <v>414533</v>
          </cell>
          <cell r="I3159">
            <v>68209</v>
          </cell>
        </row>
        <row r="3160">
          <cell r="A3160" t="str">
            <v>6110|447003</v>
          </cell>
          <cell r="B3160" t="str">
            <v>6110</v>
          </cell>
          <cell r="C3160">
            <v>447003</v>
          </cell>
          <cell r="D3160">
            <v>41244</v>
          </cell>
          <cell r="E3160">
            <v>2035512</v>
          </cell>
          <cell r="F3160">
            <v>2035512</v>
          </cell>
          <cell r="G3160">
            <v>3122964</v>
          </cell>
          <cell r="H3160">
            <v>169626</v>
          </cell>
          <cell r="I3160">
            <v>262559</v>
          </cell>
        </row>
        <row r="3161">
          <cell r="A3161" t="str">
            <v>6110|447010</v>
          </cell>
          <cell r="B3161" t="str">
            <v>6110</v>
          </cell>
          <cell r="C3161">
            <v>447010</v>
          </cell>
          <cell r="D3161">
            <v>41244</v>
          </cell>
          <cell r="E3161">
            <v>11723093</v>
          </cell>
          <cell r="F3161">
            <v>11723093</v>
          </cell>
          <cell r="G3161">
            <v>5491510</v>
          </cell>
          <cell r="H3161">
            <v>976924</v>
          </cell>
          <cell r="I3161">
            <v>160747</v>
          </cell>
        </row>
        <row r="3162">
          <cell r="A3162" t="str">
            <v>6110|447013</v>
          </cell>
          <cell r="B3162" t="str">
            <v>6110</v>
          </cell>
          <cell r="C3162">
            <v>447013</v>
          </cell>
          <cell r="D3162">
            <v>41244</v>
          </cell>
          <cell r="E3162">
            <v>4797067</v>
          </cell>
          <cell r="F3162">
            <v>4797067</v>
          </cell>
          <cell r="G3162">
            <v>7359858</v>
          </cell>
          <cell r="H3162">
            <v>399756</v>
          </cell>
          <cell r="I3162">
            <v>618770</v>
          </cell>
        </row>
        <row r="3163">
          <cell r="A3163" t="str">
            <v>6110|447020</v>
          </cell>
          <cell r="B3163" t="str">
            <v>6110</v>
          </cell>
          <cell r="C3163">
            <v>447020</v>
          </cell>
          <cell r="D3163">
            <v>41244</v>
          </cell>
          <cell r="E3163">
            <v>497439</v>
          </cell>
          <cell r="F3163">
            <v>497439</v>
          </cell>
          <cell r="G3163">
            <v>306578</v>
          </cell>
          <cell r="H3163">
            <v>41453</v>
          </cell>
          <cell r="I3163">
            <v>3400</v>
          </cell>
        </row>
        <row r="3164">
          <cell r="A3164" t="str">
            <v>6110|447023</v>
          </cell>
          <cell r="B3164" t="str">
            <v>6110</v>
          </cell>
          <cell r="C3164">
            <v>447023</v>
          </cell>
          <cell r="D3164">
            <v>41244</v>
          </cell>
          <cell r="E3164">
            <v>203551</v>
          </cell>
          <cell r="F3164">
            <v>203551</v>
          </cell>
          <cell r="G3164">
            <v>551074</v>
          </cell>
          <cell r="H3164">
            <v>16963</v>
          </cell>
          <cell r="I3164">
            <v>46350</v>
          </cell>
        </row>
        <row r="3165">
          <cell r="A3165" t="str">
            <v>6110|448000</v>
          </cell>
          <cell r="B3165" t="str">
            <v>6110</v>
          </cell>
          <cell r="C3165">
            <v>448000</v>
          </cell>
          <cell r="D3165">
            <v>41244</v>
          </cell>
          <cell r="E3165">
            <v>40011113</v>
          </cell>
          <cell r="F3165">
            <v>40011113</v>
          </cell>
          <cell r="G3165">
            <v>8870655</v>
          </cell>
          <cell r="H3165">
            <v>3334259</v>
          </cell>
          <cell r="I3165">
            <v>237100</v>
          </cell>
        </row>
        <row r="3166">
          <cell r="A3166" t="str">
            <v>6110|448003</v>
          </cell>
          <cell r="B3166" t="str">
            <v>6110</v>
          </cell>
          <cell r="C3166">
            <v>448003</v>
          </cell>
          <cell r="D3166">
            <v>41244</v>
          </cell>
          <cell r="E3166">
            <v>19610005</v>
          </cell>
          <cell r="F3166">
            <v>19610005</v>
          </cell>
          <cell r="G3166">
            <v>56000</v>
          </cell>
          <cell r="H3166">
            <v>1634167</v>
          </cell>
          <cell r="I3166">
            <v>0</v>
          </cell>
        </row>
        <row r="3167">
          <cell r="A3167" t="str">
            <v>6110|449020</v>
          </cell>
          <cell r="B3167" t="str">
            <v>6110</v>
          </cell>
          <cell r="C3167">
            <v>449020</v>
          </cell>
          <cell r="D3167">
            <v>41244</v>
          </cell>
          <cell r="E3167">
            <v>11880000</v>
          </cell>
          <cell r="F3167">
            <v>11880000</v>
          </cell>
          <cell r="G3167">
            <v>7187500</v>
          </cell>
          <cell r="H3167">
            <v>990000</v>
          </cell>
          <cell r="I3167">
            <v>389500</v>
          </cell>
        </row>
        <row r="3168">
          <cell r="A3168" t="str">
            <v>6110|449023</v>
          </cell>
          <cell r="B3168" t="str">
            <v>6110</v>
          </cell>
          <cell r="C3168">
            <v>449023</v>
          </cell>
          <cell r="D3168">
            <v>41244</v>
          </cell>
          <cell r="E3168">
            <v>33450000</v>
          </cell>
          <cell r="F3168">
            <v>33450000</v>
          </cell>
          <cell r="G3168">
            <v>70588138</v>
          </cell>
          <cell r="H3168">
            <v>2787500</v>
          </cell>
          <cell r="I3168">
            <v>5882300</v>
          </cell>
        </row>
        <row r="3169">
          <cell r="A3169" t="str">
            <v>6110|449032</v>
          </cell>
          <cell r="B3169" t="str">
            <v>6110</v>
          </cell>
          <cell r="C3169">
            <v>449032</v>
          </cell>
          <cell r="D3169">
            <v>41244</v>
          </cell>
          <cell r="E3169">
            <v>8543600</v>
          </cell>
          <cell r="F3169">
            <v>8543600</v>
          </cell>
          <cell r="G3169">
            <v>8531364</v>
          </cell>
          <cell r="H3169">
            <v>711966</v>
          </cell>
          <cell r="I3169">
            <v>2980000</v>
          </cell>
        </row>
        <row r="3170">
          <cell r="A3170" t="str">
            <v>6110|449060</v>
          </cell>
          <cell r="B3170" t="str">
            <v>6110</v>
          </cell>
          <cell r="C3170">
            <v>449060</v>
          </cell>
          <cell r="D3170">
            <v>41244</v>
          </cell>
          <cell r="E3170">
            <v>45000000</v>
          </cell>
          <cell r="F3170">
            <v>45000000</v>
          </cell>
          <cell r="G3170">
            <v>168491</v>
          </cell>
          <cell r="H3170">
            <v>3750000</v>
          </cell>
          <cell r="I3170">
            <v>52915</v>
          </cell>
        </row>
        <row r="3171">
          <cell r="A3171" t="str">
            <v>6110|449061</v>
          </cell>
          <cell r="B3171" t="str">
            <v>6110</v>
          </cell>
          <cell r="C3171">
            <v>449061</v>
          </cell>
          <cell r="D3171">
            <v>41244</v>
          </cell>
          <cell r="E3171">
            <v>3391400</v>
          </cell>
          <cell r="F3171">
            <v>3391400</v>
          </cell>
          <cell r="G3171">
            <v>7767000</v>
          </cell>
          <cell r="H3171">
            <v>282617</v>
          </cell>
          <cell r="I3171">
            <v>195600</v>
          </cell>
        </row>
        <row r="3172">
          <cell r="A3172" t="str">
            <v>6110|455000</v>
          </cell>
          <cell r="B3172" t="str">
            <v>6110</v>
          </cell>
          <cell r="C3172">
            <v>455000</v>
          </cell>
          <cell r="D3172">
            <v>41244</v>
          </cell>
          <cell r="E3172">
            <v>4500000</v>
          </cell>
          <cell r="F3172">
            <v>4500000</v>
          </cell>
          <cell r="G3172">
            <v>279760</v>
          </cell>
          <cell r="H3172">
            <v>375000</v>
          </cell>
          <cell r="I3172">
            <v>0</v>
          </cell>
        </row>
        <row r="3173">
          <cell r="A3173" t="str">
            <v>6110|455001</v>
          </cell>
          <cell r="B3173" t="str">
            <v>6110</v>
          </cell>
          <cell r="C3173">
            <v>455001</v>
          </cell>
          <cell r="D3173">
            <v>41244</v>
          </cell>
          <cell r="E3173">
            <v>0</v>
          </cell>
          <cell r="F3173">
            <v>0</v>
          </cell>
          <cell r="G3173">
            <v>2061722</v>
          </cell>
          <cell r="H3173">
            <v>0</v>
          </cell>
          <cell r="I3173">
            <v>0</v>
          </cell>
        </row>
        <row r="3174">
          <cell r="A3174" t="str">
            <v>6110|459000</v>
          </cell>
          <cell r="B3174" t="str">
            <v>6110</v>
          </cell>
          <cell r="C3174">
            <v>459000</v>
          </cell>
          <cell r="D3174">
            <v>41244</v>
          </cell>
          <cell r="E3174">
            <v>3658600</v>
          </cell>
          <cell r="F3174">
            <v>3658600</v>
          </cell>
          <cell r="G3174">
            <v>3557400</v>
          </cell>
          <cell r="H3174">
            <v>304883</v>
          </cell>
          <cell r="I3174">
            <v>889000</v>
          </cell>
        </row>
        <row r="3175">
          <cell r="A3175" t="str">
            <v>6110|459003</v>
          </cell>
          <cell r="B3175" t="str">
            <v>6110</v>
          </cell>
          <cell r="C3175">
            <v>459003</v>
          </cell>
          <cell r="D3175">
            <v>41244</v>
          </cell>
          <cell r="E3175">
            <v>1400000</v>
          </cell>
          <cell r="F3175">
            <v>1400000</v>
          </cell>
          <cell r="G3175">
            <v>0</v>
          </cell>
          <cell r="H3175">
            <v>116667</v>
          </cell>
          <cell r="I3175">
            <v>0</v>
          </cell>
        </row>
        <row r="3176">
          <cell r="A3176" t="str">
            <v>6110|470102</v>
          </cell>
          <cell r="B3176" t="str">
            <v>6110</v>
          </cell>
          <cell r="C3176">
            <v>470102</v>
          </cell>
          <cell r="D3176">
            <v>41244</v>
          </cell>
          <cell r="E3176">
            <v>1599086</v>
          </cell>
          <cell r="F3176">
            <v>1599086</v>
          </cell>
          <cell r="G3176">
            <v>1313474</v>
          </cell>
          <cell r="H3176">
            <v>133257</v>
          </cell>
          <cell r="I3176">
            <v>88752</v>
          </cell>
        </row>
        <row r="3177">
          <cell r="A3177" t="str">
            <v>6110|473120</v>
          </cell>
          <cell r="B3177" t="str">
            <v>6110</v>
          </cell>
          <cell r="C3177">
            <v>473120</v>
          </cell>
          <cell r="D3177">
            <v>41244</v>
          </cell>
          <cell r="E3177">
            <v>558017</v>
          </cell>
          <cell r="F3177">
            <v>558017</v>
          </cell>
          <cell r="G3177">
            <v>1065624</v>
          </cell>
          <cell r="H3177">
            <v>46502</v>
          </cell>
          <cell r="I3177">
            <v>273742</v>
          </cell>
        </row>
        <row r="3178">
          <cell r="A3178" t="str">
            <v>6110|476000</v>
          </cell>
          <cell r="B3178" t="str">
            <v>6110</v>
          </cell>
          <cell r="C3178">
            <v>476000</v>
          </cell>
          <cell r="D3178">
            <v>41244</v>
          </cell>
          <cell r="E3178">
            <v>1962490</v>
          </cell>
          <cell r="F3178">
            <v>1962490</v>
          </cell>
          <cell r="G3178">
            <v>2862393</v>
          </cell>
          <cell r="H3178">
            <v>163541</v>
          </cell>
          <cell r="I3178">
            <v>318650</v>
          </cell>
        </row>
        <row r="3179">
          <cell r="A3179" t="str">
            <v>6126|211100</v>
          </cell>
          <cell r="B3179" t="str">
            <v>6126</v>
          </cell>
          <cell r="C3179">
            <v>211100</v>
          </cell>
          <cell r="D3179">
            <v>41244</v>
          </cell>
          <cell r="E3179">
            <v>0</v>
          </cell>
          <cell r="F3179">
            <v>0</v>
          </cell>
          <cell r="G3179">
            <v>0</v>
          </cell>
          <cell r="H3179">
            <v>0</v>
          </cell>
          <cell r="I3179">
            <v>0</v>
          </cell>
        </row>
        <row r="3180">
          <cell r="A3180" t="str">
            <v>6126|211104</v>
          </cell>
          <cell r="B3180" t="str">
            <v>6126</v>
          </cell>
          <cell r="C3180">
            <v>211104</v>
          </cell>
          <cell r="D3180">
            <v>41244</v>
          </cell>
          <cell r="E3180">
            <v>1723217823</v>
          </cell>
          <cell r="F3180">
            <v>1723217823</v>
          </cell>
          <cell r="G3180">
            <v>1578803483</v>
          </cell>
          <cell r="H3180">
            <v>143601485</v>
          </cell>
          <cell r="I3180">
            <v>152948154</v>
          </cell>
        </row>
        <row r="3181">
          <cell r="A3181" t="str">
            <v>6126|400040</v>
          </cell>
          <cell r="B3181" t="str">
            <v>6126</v>
          </cell>
          <cell r="C3181">
            <v>400040</v>
          </cell>
          <cell r="D3181">
            <v>41244</v>
          </cell>
          <cell r="E3181">
            <v>181800000</v>
          </cell>
          <cell r="F3181">
            <v>181800000</v>
          </cell>
          <cell r="G3181">
            <v>127698770</v>
          </cell>
          <cell r="H3181">
            <v>15150000</v>
          </cell>
          <cell r="I3181">
            <v>44696151</v>
          </cell>
        </row>
        <row r="3182">
          <cell r="A3182" t="str">
            <v>6126|405200</v>
          </cell>
          <cell r="B3182" t="str">
            <v>6126</v>
          </cell>
          <cell r="C3182">
            <v>405200</v>
          </cell>
          <cell r="D3182">
            <v>41244</v>
          </cell>
          <cell r="E3182">
            <v>550000</v>
          </cell>
          <cell r="F3182">
            <v>550000</v>
          </cell>
          <cell r="G3182">
            <v>500000</v>
          </cell>
          <cell r="H3182">
            <v>45833</v>
          </cell>
          <cell r="I3182">
            <v>500000</v>
          </cell>
        </row>
        <row r="3183">
          <cell r="A3183" t="str">
            <v>6126|405250</v>
          </cell>
          <cell r="B3183" t="str">
            <v>6126</v>
          </cell>
          <cell r="C3183">
            <v>405250</v>
          </cell>
          <cell r="D3183">
            <v>41244</v>
          </cell>
          <cell r="E3183">
            <v>0</v>
          </cell>
          <cell r="F3183">
            <v>0</v>
          </cell>
          <cell r="G3183">
            <v>-1</v>
          </cell>
          <cell r="H3183">
            <v>0</v>
          </cell>
          <cell r="I3183">
            <v>0</v>
          </cell>
        </row>
        <row r="3184">
          <cell r="A3184" t="str">
            <v>6126|405251</v>
          </cell>
          <cell r="B3184" t="str">
            <v>6126</v>
          </cell>
          <cell r="C3184">
            <v>405251</v>
          </cell>
          <cell r="D3184">
            <v>41244</v>
          </cell>
          <cell r="E3184">
            <v>50000000</v>
          </cell>
          <cell r="F3184">
            <v>50000000</v>
          </cell>
          <cell r="G3184">
            <v>163461202</v>
          </cell>
          <cell r="H3184">
            <v>4166667</v>
          </cell>
          <cell r="I3184">
            <v>198800</v>
          </cell>
        </row>
        <row r="3185">
          <cell r="A3185" t="str">
            <v>6126|420000</v>
          </cell>
          <cell r="B3185" t="str">
            <v>6126</v>
          </cell>
          <cell r="C3185">
            <v>420000</v>
          </cell>
          <cell r="D3185">
            <v>41244</v>
          </cell>
          <cell r="E3185">
            <v>611634273</v>
          </cell>
          <cell r="F3185">
            <v>611634273</v>
          </cell>
          <cell r="G3185">
            <v>649866771</v>
          </cell>
          <cell r="H3185">
            <v>50969523</v>
          </cell>
          <cell r="I3185">
            <v>48192966</v>
          </cell>
        </row>
        <row r="3186">
          <cell r="A3186" t="str">
            <v>6126|420001</v>
          </cell>
          <cell r="B3186" t="str">
            <v>6126</v>
          </cell>
          <cell r="C3186">
            <v>420001</v>
          </cell>
          <cell r="D3186">
            <v>41244</v>
          </cell>
          <cell r="E3186">
            <v>40609408</v>
          </cell>
          <cell r="F3186">
            <v>40609408</v>
          </cell>
          <cell r="G3186">
            <v>0</v>
          </cell>
          <cell r="H3186">
            <v>3384117</v>
          </cell>
          <cell r="I3186">
            <v>0</v>
          </cell>
        </row>
        <row r="3187">
          <cell r="A3187" t="str">
            <v>6126|422000</v>
          </cell>
          <cell r="B3187" t="str">
            <v>6126</v>
          </cell>
          <cell r="C3187">
            <v>422000</v>
          </cell>
          <cell r="D3187">
            <v>41244</v>
          </cell>
          <cell r="E3187">
            <v>1223944</v>
          </cell>
          <cell r="F3187">
            <v>1223944</v>
          </cell>
          <cell r="G3187">
            <v>927673</v>
          </cell>
          <cell r="H3187">
            <v>101995</v>
          </cell>
          <cell r="I3187">
            <v>0</v>
          </cell>
        </row>
        <row r="3188">
          <cell r="A3188" t="str">
            <v>6126|422001</v>
          </cell>
          <cell r="B3188" t="str">
            <v>6126</v>
          </cell>
          <cell r="C3188">
            <v>422001</v>
          </cell>
          <cell r="D3188">
            <v>41244</v>
          </cell>
          <cell r="E3188">
            <v>91558</v>
          </cell>
          <cell r="F3188">
            <v>91558</v>
          </cell>
          <cell r="G3188">
            <v>0</v>
          </cell>
          <cell r="H3188">
            <v>7630</v>
          </cell>
          <cell r="I3188">
            <v>0</v>
          </cell>
        </row>
        <row r="3189">
          <cell r="A3189" t="str">
            <v>6126|431000</v>
          </cell>
          <cell r="B3189" t="str">
            <v>6126</v>
          </cell>
          <cell r="C3189">
            <v>431000</v>
          </cell>
          <cell r="D3189">
            <v>41244</v>
          </cell>
          <cell r="E3189">
            <v>164550000</v>
          </cell>
          <cell r="F3189">
            <v>164550000</v>
          </cell>
          <cell r="G3189">
            <v>171585448</v>
          </cell>
          <cell r="H3189">
            <v>13712500</v>
          </cell>
          <cell r="I3189">
            <v>3168869</v>
          </cell>
        </row>
        <row r="3190">
          <cell r="A3190" t="str">
            <v>6126|431001</v>
          </cell>
          <cell r="B3190" t="str">
            <v>6126</v>
          </cell>
          <cell r="C3190">
            <v>431001</v>
          </cell>
          <cell r="D3190">
            <v>41244</v>
          </cell>
          <cell r="E3190">
            <v>24412339</v>
          </cell>
          <cell r="F3190">
            <v>24412339</v>
          </cell>
          <cell r="G3190">
            <v>2329076</v>
          </cell>
          <cell r="H3190">
            <v>2034362</v>
          </cell>
          <cell r="I3190">
            <v>0</v>
          </cell>
        </row>
        <row r="3191">
          <cell r="A3191" t="str">
            <v>6126|434010</v>
          </cell>
          <cell r="B3191" t="str">
            <v>6126</v>
          </cell>
          <cell r="C3191">
            <v>434010</v>
          </cell>
          <cell r="D3191">
            <v>41244</v>
          </cell>
          <cell r="E3191">
            <v>35051184</v>
          </cell>
          <cell r="F3191">
            <v>35051184</v>
          </cell>
          <cell r="G3191">
            <v>20967807</v>
          </cell>
          <cell r="H3191">
            <v>2920932</v>
          </cell>
          <cell r="I3191">
            <v>2841774</v>
          </cell>
        </row>
        <row r="3192">
          <cell r="A3192" t="str">
            <v>6126|435000</v>
          </cell>
          <cell r="B3192" t="str">
            <v>6126</v>
          </cell>
          <cell r="C3192">
            <v>435000</v>
          </cell>
          <cell r="D3192">
            <v>41244</v>
          </cell>
          <cell r="E3192">
            <v>50969523</v>
          </cell>
          <cell r="F3192">
            <v>50969523</v>
          </cell>
          <cell r="G3192">
            <v>39401114</v>
          </cell>
          <cell r="H3192">
            <v>4247460</v>
          </cell>
          <cell r="I3192">
            <v>39401114</v>
          </cell>
        </row>
        <row r="3193">
          <cell r="A3193" t="str">
            <v>6126|435001</v>
          </cell>
          <cell r="B3193" t="str">
            <v>6126</v>
          </cell>
          <cell r="C3193">
            <v>435001</v>
          </cell>
          <cell r="D3193">
            <v>41244</v>
          </cell>
          <cell r="E3193">
            <v>3384117</v>
          </cell>
          <cell r="F3193">
            <v>3384117</v>
          </cell>
          <cell r="G3193">
            <v>0</v>
          </cell>
          <cell r="H3193">
            <v>282010</v>
          </cell>
          <cell r="I3193">
            <v>0</v>
          </cell>
        </row>
        <row r="3194">
          <cell r="A3194" t="str">
            <v>6126|439000</v>
          </cell>
          <cell r="B3194" t="str">
            <v>6126</v>
          </cell>
          <cell r="C3194">
            <v>439000</v>
          </cell>
          <cell r="D3194">
            <v>41244</v>
          </cell>
          <cell r="E3194">
            <v>43635805</v>
          </cell>
          <cell r="F3194">
            <v>43635805</v>
          </cell>
          <cell r="G3194">
            <v>164474284</v>
          </cell>
          <cell r="H3194">
            <v>3636317</v>
          </cell>
          <cell r="I3194">
            <v>0</v>
          </cell>
        </row>
        <row r="3195">
          <cell r="A3195" t="str">
            <v>6126|439001</v>
          </cell>
          <cell r="B3195" t="str">
            <v>6126</v>
          </cell>
          <cell r="C3195">
            <v>439001</v>
          </cell>
          <cell r="D3195">
            <v>41244</v>
          </cell>
          <cell r="E3195">
            <v>5637663</v>
          </cell>
          <cell r="F3195">
            <v>5637663</v>
          </cell>
          <cell r="G3195">
            <v>0</v>
          </cell>
          <cell r="H3195">
            <v>469805</v>
          </cell>
          <cell r="I3195">
            <v>0</v>
          </cell>
        </row>
        <row r="3196">
          <cell r="A3196" t="str">
            <v>6126|439100</v>
          </cell>
          <cell r="B3196" t="str">
            <v>6126</v>
          </cell>
          <cell r="C3196">
            <v>439100</v>
          </cell>
          <cell r="D3196">
            <v>41244</v>
          </cell>
          <cell r="E3196">
            <v>0</v>
          </cell>
          <cell r="F3196">
            <v>0</v>
          </cell>
          <cell r="G3196">
            <v>500000</v>
          </cell>
          <cell r="H3196">
            <v>0</v>
          </cell>
          <cell r="I3196">
            <v>0</v>
          </cell>
        </row>
        <row r="3197">
          <cell r="A3197" t="str">
            <v>6126|439200</v>
          </cell>
          <cell r="B3197" t="str">
            <v>6126</v>
          </cell>
          <cell r="C3197">
            <v>439200</v>
          </cell>
          <cell r="D3197">
            <v>41244</v>
          </cell>
          <cell r="E3197">
            <v>349714</v>
          </cell>
          <cell r="F3197">
            <v>349714</v>
          </cell>
          <cell r="G3197">
            <v>3652000</v>
          </cell>
          <cell r="H3197">
            <v>29143</v>
          </cell>
          <cell r="I3197">
            <v>0</v>
          </cell>
        </row>
        <row r="3198">
          <cell r="A3198" t="str">
            <v>6126|440000</v>
          </cell>
          <cell r="B3198" t="str">
            <v>6126</v>
          </cell>
          <cell r="C3198">
            <v>440000</v>
          </cell>
          <cell r="D3198">
            <v>41244</v>
          </cell>
          <cell r="E3198">
            <v>50969523</v>
          </cell>
          <cell r="F3198">
            <v>50969523</v>
          </cell>
          <cell r="G3198">
            <v>59569100</v>
          </cell>
          <cell r="H3198">
            <v>4247460</v>
          </cell>
          <cell r="I3198">
            <v>5017469</v>
          </cell>
        </row>
        <row r="3199">
          <cell r="A3199" t="str">
            <v>6126|440001</v>
          </cell>
          <cell r="B3199" t="str">
            <v>6126</v>
          </cell>
          <cell r="C3199">
            <v>440001</v>
          </cell>
          <cell r="D3199">
            <v>41244</v>
          </cell>
          <cell r="E3199">
            <v>3384117</v>
          </cell>
          <cell r="F3199">
            <v>3384117</v>
          </cell>
          <cell r="G3199">
            <v>0</v>
          </cell>
          <cell r="H3199">
            <v>282010</v>
          </cell>
          <cell r="I3199">
            <v>0</v>
          </cell>
        </row>
        <row r="3200">
          <cell r="A3200" t="str">
            <v>6126|446000</v>
          </cell>
          <cell r="B3200" t="str">
            <v>6126</v>
          </cell>
          <cell r="C3200">
            <v>446000</v>
          </cell>
          <cell r="D3200">
            <v>41244</v>
          </cell>
          <cell r="E3200">
            <v>15290857</v>
          </cell>
          <cell r="F3200">
            <v>15290857</v>
          </cell>
          <cell r="G3200">
            <v>28995530</v>
          </cell>
          <cell r="H3200">
            <v>1274238</v>
          </cell>
          <cell r="I3200">
            <v>1550000</v>
          </cell>
        </row>
        <row r="3201">
          <cell r="A3201" t="str">
            <v>6126|446001</v>
          </cell>
          <cell r="B3201" t="str">
            <v>6126</v>
          </cell>
          <cell r="C3201">
            <v>446001</v>
          </cell>
          <cell r="D3201">
            <v>41244</v>
          </cell>
          <cell r="E3201">
            <v>1692059</v>
          </cell>
          <cell r="F3201">
            <v>1692059</v>
          </cell>
          <cell r="G3201">
            <v>0</v>
          </cell>
          <cell r="H3201">
            <v>141005</v>
          </cell>
          <cell r="I3201">
            <v>0</v>
          </cell>
        </row>
        <row r="3202">
          <cell r="A3202" t="str">
            <v>6126|447000</v>
          </cell>
          <cell r="B3202" t="str">
            <v>6126</v>
          </cell>
          <cell r="C3202">
            <v>447000</v>
          </cell>
          <cell r="D3202">
            <v>41244</v>
          </cell>
          <cell r="E3202">
            <v>9602658</v>
          </cell>
          <cell r="F3202">
            <v>9602658</v>
          </cell>
          <cell r="G3202">
            <v>9975678</v>
          </cell>
          <cell r="H3202">
            <v>800221</v>
          </cell>
          <cell r="I3202">
            <v>772910</v>
          </cell>
        </row>
        <row r="3203">
          <cell r="A3203" t="str">
            <v>6126|447001</v>
          </cell>
          <cell r="B3203" t="str">
            <v>6126</v>
          </cell>
          <cell r="C3203">
            <v>447001</v>
          </cell>
          <cell r="D3203">
            <v>41244</v>
          </cell>
          <cell r="E3203">
            <v>637568</v>
          </cell>
          <cell r="F3203">
            <v>637568</v>
          </cell>
          <cell r="G3203">
            <v>0</v>
          </cell>
          <cell r="H3203">
            <v>53131</v>
          </cell>
          <cell r="I3203">
            <v>0</v>
          </cell>
        </row>
        <row r="3204">
          <cell r="A3204" t="str">
            <v>6126|447010</v>
          </cell>
          <cell r="B3204" t="str">
            <v>6126</v>
          </cell>
          <cell r="C3204">
            <v>447010</v>
          </cell>
          <cell r="D3204">
            <v>41244</v>
          </cell>
          <cell r="E3204">
            <v>22630468</v>
          </cell>
          <cell r="F3204">
            <v>22630468</v>
          </cell>
          <cell r="G3204">
            <v>23556120</v>
          </cell>
          <cell r="H3204">
            <v>1885872</v>
          </cell>
          <cell r="I3204">
            <v>1821506</v>
          </cell>
        </row>
        <row r="3205">
          <cell r="A3205" t="str">
            <v>6126|447011</v>
          </cell>
          <cell r="B3205" t="str">
            <v>6126</v>
          </cell>
          <cell r="C3205">
            <v>447011</v>
          </cell>
          <cell r="D3205">
            <v>41244</v>
          </cell>
          <cell r="E3205">
            <v>1502548</v>
          </cell>
          <cell r="F3205">
            <v>1502548</v>
          </cell>
          <cell r="G3205">
            <v>0</v>
          </cell>
          <cell r="H3205">
            <v>125212</v>
          </cell>
          <cell r="I3205">
            <v>0</v>
          </cell>
        </row>
        <row r="3206">
          <cell r="A3206" t="str">
            <v>6126|447020</v>
          </cell>
          <cell r="B3206" t="str">
            <v>6126</v>
          </cell>
          <cell r="C3206">
            <v>447020</v>
          </cell>
          <cell r="D3206">
            <v>41244</v>
          </cell>
          <cell r="E3206">
            <v>960266</v>
          </cell>
          <cell r="F3206">
            <v>960266</v>
          </cell>
          <cell r="G3206">
            <v>613166</v>
          </cell>
          <cell r="H3206">
            <v>80022</v>
          </cell>
          <cell r="I3206">
            <v>30000</v>
          </cell>
        </row>
        <row r="3207">
          <cell r="A3207" t="str">
            <v>6126|447021</v>
          </cell>
          <cell r="B3207" t="str">
            <v>6126</v>
          </cell>
          <cell r="C3207">
            <v>447021</v>
          </cell>
          <cell r="D3207">
            <v>41244</v>
          </cell>
          <cell r="E3207">
            <v>63757</v>
          </cell>
          <cell r="F3207">
            <v>63757</v>
          </cell>
          <cell r="G3207">
            <v>0</v>
          </cell>
          <cell r="H3207">
            <v>5313</v>
          </cell>
          <cell r="I3207">
            <v>0</v>
          </cell>
        </row>
        <row r="3208">
          <cell r="A3208" t="str">
            <v>6126|448000</v>
          </cell>
          <cell r="B3208" t="str">
            <v>6126</v>
          </cell>
          <cell r="C3208">
            <v>448000</v>
          </cell>
          <cell r="D3208">
            <v>41244</v>
          </cell>
          <cell r="E3208">
            <v>117178700</v>
          </cell>
          <cell r="F3208">
            <v>117178700</v>
          </cell>
          <cell r="G3208">
            <v>42617908</v>
          </cell>
          <cell r="H3208">
            <v>9764892</v>
          </cell>
          <cell r="I3208">
            <v>1274400</v>
          </cell>
        </row>
        <row r="3209">
          <cell r="A3209" t="str">
            <v>6126|448001</v>
          </cell>
          <cell r="B3209" t="str">
            <v>6126</v>
          </cell>
          <cell r="C3209">
            <v>448001</v>
          </cell>
          <cell r="D3209">
            <v>41244</v>
          </cell>
          <cell r="E3209">
            <v>9098052</v>
          </cell>
          <cell r="F3209">
            <v>9098052</v>
          </cell>
          <cell r="G3209">
            <v>702115</v>
          </cell>
          <cell r="H3209">
            <v>758171</v>
          </cell>
          <cell r="I3209">
            <v>45000</v>
          </cell>
        </row>
        <row r="3210">
          <cell r="A3210" t="str">
            <v>6126|449004</v>
          </cell>
          <cell r="B3210" t="str">
            <v>6126</v>
          </cell>
          <cell r="C3210">
            <v>449004</v>
          </cell>
          <cell r="D3210">
            <v>41244</v>
          </cell>
          <cell r="E3210">
            <v>3500000</v>
          </cell>
          <cell r="F3210">
            <v>3500000</v>
          </cell>
          <cell r="G3210">
            <v>2325000</v>
          </cell>
          <cell r="H3210">
            <v>291667</v>
          </cell>
          <cell r="I3210">
            <v>2325000</v>
          </cell>
        </row>
        <row r="3211">
          <cell r="A3211" t="str">
            <v>6126|449020</v>
          </cell>
          <cell r="B3211" t="str">
            <v>6126</v>
          </cell>
          <cell r="C3211">
            <v>449020</v>
          </cell>
          <cell r="D3211">
            <v>41244</v>
          </cell>
          <cell r="E3211">
            <v>59400000</v>
          </cell>
          <cell r="F3211">
            <v>59400000</v>
          </cell>
          <cell r="G3211">
            <v>73195000</v>
          </cell>
          <cell r="H3211">
            <v>4950000</v>
          </cell>
          <cell r="I3211">
            <v>5455000</v>
          </cell>
        </row>
        <row r="3212">
          <cell r="A3212" t="str">
            <v>6126|449025</v>
          </cell>
          <cell r="B3212" t="str">
            <v>6126</v>
          </cell>
          <cell r="C3212">
            <v>449025</v>
          </cell>
          <cell r="D3212">
            <v>41244</v>
          </cell>
          <cell r="E3212">
            <v>3960000</v>
          </cell>
          <cell r="F3212">
            <v>3960000</v>
          </cell>
          <cell r="G3212">
            <v>0</v>
          </cell>
          <cell r="H3212">
            <v>330000</v>
          </cell>
          <cell r="I3212">
            <v>0</v>
          </cell>
        </row>
        <row r="3213">
          <cell r="A3213" t="str">
            <v>6126|449032</v>
          </cell>
          <cell r="B3213" t="str">
            <v>6126</v>
          </cell>
          <cell r="C3213">
            <v>449032</v>
          </cell>
          <cell r="D3213">
            <v>41244</v>
          </cell>
          <cell r="E3213">
            <v>0</v>
          </cell>
          <cell r="F3213">
            <v>0</v>
          </cell>
          <cell r="G3213">
            <v>184092</v>
          </cell>
          <cell r="H3213">
            <v>0</v>
          </cell>
          <cell r="I3213">
            <v>0</v>
          </cell>
        </row>
        <row r="3214">
          <cell r="A3214" t="str">
            <v>6126|449060</v>
          </cell>
          <cell r="B3214" t="str">
            <v>6126</v>
          </cell>
          <cell r="C3214">
            <v>449060</v>
          </cell>
          <cell r="D3214">
            <v>41244</v>
          </cell>
          <cell r="E3214">
            <v>4500000</v>
          </cell>
          <cell r="F3214">
            <v>4500000</v>
          </cell>
          <cell r="G3214">
            <v>8094548</v>
          </cell>
          <cell r="H3214">
            <v>375000</v>
          </cell>
          <cell r="I3214">
            <v>228741</v>
          </cell>
        </row>
        <row r="3215">
          <cell r="A3215" t="str">
            <v>6126|449061</v>
          </cell>
          <cell r="B3215" t="str">
            <v>6126</v>
          </cell>
          <cell r="C3215">
            <v>449061</v>
          </cell>
          <cell r="D3215">
            <v>41244</v>
          </cell>
          <cell r="E3215">
            <v>904900</v>
          </cell>
          <cell r="F3215">
            <v>904900</v>
          </cell>
          <cell r="G3215">
            <v>4169900</v>
          </cell>
          <cell r="H3215">
            <v>75408</v>
          </cell>
          <cell r="I3215">
            <v>1184400</v>
          </cell>
        </row>
        <row r="3216">
          <cell r="A3216" t="str">
            <v>6126|451000</v>
          </cell>
          <cell r="B3216" t="str">
            <v>6126</v>
          </cell>
          <cell r="C3216">
            <v>451000</v>
          </cell>
          <cell r="D3216">
            <v>41244</v>
          </cell>
          <cell r="E3216">
            <v>700000</v>
          </cell>
          <cell r="F3216">
            <v>700000</v>
          </cell>
          <cell r="G3216">
            <v>700000</v>
          </cell>
          <cell r="H3216">
            <v>58333</v>
          </cell>
          <cell r="I3216">
            <v>0</v>
          </cell>
        </row>
        <row r="3217">
          <cell r="A3217" t="str">
            <v>6126|452000</v>
          </cell>
          <cell r="B3217" t="str">
            <v>6126</v>
          </cell>
          <cell r="C3217">
            <v>452000</v>
          </cell>
          <cell r="D3217">
            <v>41244</v>
          </cell>
          <cell r="E3217">
            <v>125000000</v>
          </cell>
          <cell r="F3217">
            <v>125000000</v>
          </cell>
          <cell r="G3217">
            <v>234226285</v>
          </cell>
          <cell r="H3217">
            <v>10416667</v>
          </cell>
          <cell r="I3217">
            <v>0</v>
          </cell>
        </row>
        <row r="3218">
          <cell r="A3218" t="str">
            <v>6126|452001</v>
          </cell>
          <cell r="B3218" t="str">
            <v>6126</v>
          </cell>
          <cell r="C3218">
            <v>452001</v>
          </cell>
          <cell r="D3218">
            <v>41244</v>
          </cell>
          <cell r="E3218">
            <v>17820000</v>
          </cell>
          <cell r="F3218">
            <v>17820000</v>
          </cell>
          <cell r="G3218">
            <v>16899300</v>
          </cell>
          <cell r="H3218">
            <v>1485000</v>
          </cell>
          <cell r="I3218">
            <v>12791300</v>
          </cell>
        </row>
        <row r="3219">
          <cell r="A3219" t="str">
            <v>6126|455000</v>
          </cell>
          <cell r="B3219" t="str">
            <v>6126</v>
          </cell>
          <cell r="C3219">
            <v>455000</v>
          </cell>
          <cell r="D3219">
            <v>41244</v>
          </cell>
          <cell r="E3219">
            <v>15000000</v>
          </cell>
          <cell r="F3219">
            <v>15000000</v>
          </cell>
          <cell r="G3219">
            <v>35632806</v>
          </cell>
          <cell r="H3219">
            <v>1250000</v>
          </cell>
          <cell r="I3219">
            <v>0</v>
          </cell>
        </row>
        <row r="3220">
          <cell r="A3220" t="str">
            <v>6126|455001</v>
          </cell>
          <cell r="B3220" t="str">
            <v>6126</v>
          </cell>
          <cell r="C3220">
            <v>455001</v>
          </cell>
          <cell r="D3220">
            <v>41244</v>
          </cell>
          <cell r="E3220">
            <v>3830000</v>
          </cell>
          <cell r="F3220">
            <v>3830000</v>
          </cell>
          <cell r="G3220">
            <v>0</v>
          </cell>
          <cell r="H3220">
            <v>319167</v>
          </cell>
          <cell r="I3220">
            <v>0</v>
          </cell>
        </row>
        <row r="3221">
          <cell r="A3221" t="str">
            <v>6126|455002</v>
          </cell>
          <cell r="B3221" t="str">
            <v>6126</v>
          </cell>
          <cell r="C3221">
            <v>455002</v>
          </cell>
          <cell r="D3221">
            <v>41244</v>
          </cell>
          <cell r="E3221">
            <v>20000000</v>
          </cell>
          <cell r="F3221">
            <v>20000000</v>
          </cell>
          <cell r="G3221">
            <v>10873684</v>
          </cell>
          <cell r="H3221">
            <v>1666667</v>
          </cell>
          <cell r="I3221">
            <v>0</v>
          </cell>
        </row>
        <row r="3222">
          <cell r="A3222" t="str">
            <v>6126|476000</v>
          </cell>
          <cell r="B3222" t="str">
            <v>6126</v>
          </cell>
          <cell r="C3222">
            <v>476000</v>
          </cell>
          <cell r="D3222">
            <v>41244</v>
          </cell>
          <cell r="E3222">
            <v>539280</v>
          </cell>
          <cell r="F3222">
            <v>539280</v>
          </cell>
          <cell r="G3222">
            <v>515500</v>
          </cell>
          <cell r="H3222">
            <v>44940</v>
          </cell>
          <cell r="I3222">
            <v>0</v>
          </cell>
        </row>
        <row r="3223">
          <cell r="A3223" t="str">
            <v>6310|211100</v>
          </cell>
          <cell r="B3223" t="str">
            <v>6310</v>
          </cell>
          <cell r="C3223">
            <v>211100</v>
          </cell>
          <cell r="D3223">
            <v>41244</v>
          </cell>
          <cell r="E3223">
            <v>0</v>
          </cell>
          <cell r="F3223">
            <v>0</v>
          </cell>
          <cell r="G3223">
            <v>0</v>
          </cell>
          <cell r="H3223">
            <v>0</v>
          </cell>
          <cell r="I3223">
            <v>0</v>
          </cell>
        </row>
        <row r="3224">
          <cell r="A3224" t="str">
            <v>6310|211104</v>
          </cell>
          <cell r="B3224" t="str">
            <v>6310</v>
          </cell>
          <cell r="C3224">
            <v>211104</v>
          </cell>
          <cell r="D3224">
            <v>41244</v>
          </cell>
          <cell r="E3224">
            <v>153395073</v>
          </cell>
          <cell r="F3224">
            <v>153395073</v>
          </cell>
          <cell r="G3224">
            <v>152132157</v>
          </cell>
          <cell r="H3224">
            <v>12782923</v>
          </cell>
          <cell r="I3224">
            <v>13131874</v>
          </cell>
        </row>
        <row r="3225">
          <cell r="A3225" t="str">
            <v>6310|420000</v>
          </cell>
          <cell r="B3225" t="str">
            <v>6310</v>
          </cell>
          <cell r="C3225">
            <v>420000</v>
          </cell>
          <cell r="D3225">
            <v>41244</v>
          </cell>
          <cell r="E3225">
            <v>643638556</v>
          </cell>
          <cell r="F3225">
            <v>643638556</v>
          </cell>
          <cell r="G3225">
            <v>529601809</v>
          </cell>
          <cell r="H3225">
            <v>53636546</v>
          </cell>
          <cell r="I3225">
            <v>44555000</v>
          </cell>
        </row>
        <row r="3226">
          <cell r="A3226" t="str">
            <v>6310|420003</v>
          </cell>
          <cell r="B3226" t="str">
            <v>6310</v>
          </cell>
          <cell r="C3226">
            <v>420003</v>
          </cell>
          <cell r="D3226">
            <v>41244</v>
          </cell>
          <cell r="E3226">
            <v>693305677</v>
          </cell>
          <cell r="F3226">
            <v>693305677</v>
          </cell>
          <cell r="G3226">
            <v>683061469</v>
          </cell>
          <cell r="H3226">
            <v>57775473</v>
          </cell>
          <cell r="I3226">
            <v>57282066</v>
          </cell>
        </row>
        <row r="3227">
          <cell r="A3227" t="str">
            <v>6310|422000</v>
          </cell>
          <cell r="B3227" t="str">
            <v>6310</v>
          </cell>
          <cell r="C3227">
            <v>422000</v>
          </cell>
          <cell r="D3227">
            <v>41244</v>
          </cell>
          <cell r="E3227">
            <v>2062260</v>
          </cell>
          <cell r="F3227">
            <v>2062260</v>
          </cell>
          <cell r="G3227">
            <v>554050</v>
          </cell>
          <cell r="H3227">
            <v>171855</v>
          </cell>
          <cell r="I3227">
            <v>0</v>
          </cell>
        </row>
        <row r="3228">
          <cell r="A3228" t="str">
            <v>6310|422003</v>
          </cell>
          <cell r="B3228" t="str">
            <v>6310</v>
          </cell>
          <cell r="C3228">
            <v>422003</v>
          </cell>
          <cell r="D3228">
            <v>41244</v>
          </cell>
          <cell r="E3228">
            <v>900543</v>
          </cell>
          <cell r="F3228">
            <v>900543</v>
          </cell>
          <cell r="G3228">
            <v>603700</v>
          </cell>
          <cell r="H3228">
            <v>75045</v>
          </cell>
          <cell r="I3228">
            <v>0</v>
          </cell>
        </row>
        <row r="3229">
          <cell r="A3229" t="str">
            <v>6310|431000</v>
          </cell>
          <cell r="B3229" t="str">
            <v>6310</v>
          </cell>
          <cell r="C3229">
            <v>431000</v>
          </cell>
          <cell r="D3229">
            <v>41244</v>
          </cell>
          <cell r="E3229">
            <v>10000000</v>
          </cell>
          <cell r="F3229">
            <v>10000000</v>
          </cell>
          <cell r="G3229">
            <v>47736948</v>
          </cell>
          <cell r="H3229">
            <v>833333</v>
          </cell>
          <cell r="I3229">
            <v>77000</v>
          </cell>
        </row>
        <row r="3230">
          <cell r="A3230" t="str">
            <v>6310|431002</v>
          </cell>
          <cell r="B3230" t="str">
            <v>6310</v>
          </cell>
          <cell r="C3230">
            <v>431002</v>
          </cell>
          <cell r="D3230">
            <v>41244</v>
          </cell>
          <cell r="E3230">
            <v>0</v>
          </cell>
          <cell r="F3230">
            <v>0</v>
          </cell>
          <cell r="G3230">
            <v>621085</v>
          </cell>
          <cell r="H3230">
            <v>0</v>
          </cell>
          <cell r="I3230">
            <v>0</v>
          </cell>
        </row>
        <row r="3231">
          <cell r="A3231" t="str">
            <v>6310|434010</v>
          </cell>
          <cell r="B3231" t="str">
            <v>6310</v>
          </cell>
          <cell r="C3231">
            <v>434010</v>
          </cell>
          <cell r="D3231">
            <v>41244</v>
          </cell>
          <cell r="E3231">
            <v>0</v>
          </cell>
          <cell r="F3231">
            <v>0</v>
          </cell>
          <cell r="G3231">
            <v>3774611</v>
          </cell>
          <cell r="H3231">
            <v>0</v>
          </cell>
          <cell r="I3231">
            <v>1136710</v>
          </cell>
        </row>
        <row r="3232">
          <cell r="A3232" t="str">
            <v>6310|434013</v>
          </cell>
          <cell r="B3232" t="str">
            <v>6310</v>
          </cell>
          <cell r="C3232">
            <v>434013</v>
          </cell>
          <cell r="D3232">
            <v>41244</v>
          </cell>
          <cell r="E3232">
            <v>26524500</v>
          </cell>
          <cell r="F3232">
            <v>26524500</v>
          </cell>
          <cell r="G3232">
            <v>29019072</v>
          </cell>
          <cell r="H3232">
            <v>2210375</v>
          </cell>
          <cell r="I3232">
            <v>4099789</v>
          </cell>
        </row>
        <row r="3233">
          <cell r="A3233" t="str">
            <v>6310|435000</v>
          </cell>
          <cell r="B3233" t="str">
            <v>6310</v>
          </cell>
          <cell r="C3233">
            <v>435000</v>
          </cell>
          <cell r="D3233">
            <v>41244</v>
          </cell>
          <cell r="E3233">
            <v>69842854</v>
          </cell>
          <cell r="F3233">
            <v>69842854</v>
          </cell>
          <cell r="G3233">
            <v>67931651</v>
          </cell>
          <cell r="H3233">
            <v>5820238</v>
          </cell>
          <cell r="I3233">
            <v>18848000</v>
          </cell>
        </row>
        <row r="3234">
          <cell r="A3234" t="str">
            <v>6310|435003</v>
          </cell>
          <cell r="B3234" t="str">
            <v>6310</v>
          </cell>
          <cell r="C3234">
            <v>435003</v>
          </cell>
          <cell r="D3234">
            <v>41244</v>
          </cell>
          <cell r="E3234">
            <v>86663210</v>
          </cell>
          <cell r="F3234">
            <v>86663210</v>
          </cell>
          <cell r="G3234">
            <v>75851025</v>
          </cell>
          <cell r="H3234">
            <v>7221934</v>
          </cell>
          <cell r="I3234">
            <v>0</v>
          </cell>
        </row>
        <row r="3235">
          <cell r="A3235" t="str">
            <v>6310|439000</v>
          </cell>
          <cell r="B3235" t="str">
            <v>6310</v>
          </cell>
          <cell r="C3235">
            <v>439000</v>
          </cell>
          <cell r="D3235">
            <v>41244</v>
          </cell>
          <cell r="E3235">
            <v>186122039</v>
          </cell>
          <cell r="F3235">
            <v>186122039</v>
          </cell>
          <cell r="G3235">
            <v>60299780</v>
          </cell>
          <cell r="H3235">
            <v>15510170</v>
          </cell>
          <cell r="I3235">
            <v>0</v>
          </cell>
        </row>
        <row r="3236">
          <cell r="A3236" t="str">
            <v>6310|439003</v>
          </cell>
          <cell r="B3236" t="str">
            <v>6310</v>
          </cell>
          <cell r="C3236">
            <v>439003</v>
          </cell>
          <cell r="D3236">
            <v>41244</v>
          </cell>
          <cell r="E3236">
            <v>132166901</v>
          </cell>
          <cell r="F3236">
            <v>132166901</v>
          </cell>
          <cell r="G3236">
            <v>201684934</v>
          </cell>
          <cell r="H3236">
            <v>11013908</v>
          </cell>
          <cell r="I3236">
            <v>24889799</v>
          </cell>
        </row>
        <row r="3237">
          <cell r="A3237" t="str">
            <v>6310|439200</v>
          </cell>
          <cell r="B3237" t="str">
            <v>6310</v>
          </cell>
          <cell r="C3237">
            <v>439200</v>
          </cell>
          <cell r="D3237">
            <v>41244</v>
          </cell>
          <cell r="E3237">
            <v>1046571</v>
          </cell>
          <cell r="F3237">
            <v>1046571</v>
          </cell>
          <cell r="G3237">
            <v>1287000</v>
          </cell>
          <cell r="H3237">
            <v>87214</v>
          </cell>
          <cell r="I3237">
            <v>0</v>
          </cell>
        </row>
        <row r="3238">
          <cell r="A3238" t="str">
            <v>6310|439203</v>
          </cell>
          <cell r="B3238" t="str">
            <v>6310</v>
          </cell>
          <cell r="C3238">
            <v>439203</v>
          </cell>
          <cell r="D3238">
            <v>41244</v>
          </cell>
          <cell r="E3238">
            <v>0</v>
          </cell>
          <cell r="F3238">
            <v>0</v>
          </cell>
          <cell r="G3238">
            <v>636000</v>
          </cell>
          <cell r="H3238">
            <v>0</v>
          </cell>
          <cell r="I3238">
            <v>0</v>
          </cell>
        </row>
        <row r="3239">
          <cell r="A3239" t="str">
            <v>6310|440000</v>
          </cell>
          <cell r="B3239" t="str">
            <v>6310</v>
          </cell>
          <cell r="C3239">
            <v>440000</v>
          </cell>
          <cell r="D3239">
            <v>41244</v>
          </cell>
          <cell r="E3239">
            <v>69842854</v>
          </cell>
          <cell r="F3239">
            <v>69842854</v>
          </cell>
          <cell r="G3239">
            <v>46851830</v>
          </cell>
          <cell r="H3239">
            <v>5820238</v>
          </cell>
          <cell r="I3239">
            <v>2006988</v>
          </cell>
        </row>
        <row r="3240">
          <cell r="A3240" t="str">
            <v>6310|440003</v>
          </cell>
          <cell r="B3240" t="str">
            <v>6310</v>
          </cell>
          <cell r="C3240">
            <v>440003</v>
          </cell>
          <cell r="D3240">
            <v>41244</v>
          </cell>
          <cell r="E3240">
            <v>57775473</v>
          </cell>
          <cell r="F3240">
            <v>57775473</v>
          </cell>
          <cell r="G3240">
            <v>59622482</v>
          </cell>
          <cell r="H3240">
            <v>4814623</v>
          </cell>
          <cell r="I3240">
            <v>5292295</v>
          </cell>
        </row>
        <row r="3241">
          <cell r="A3241" t="str">
            <v>6310|446000</v>
          </cell>
          <cell r="B3241" t="str">
            <v>6310</v>
          </cell>
          <cell r="C3241">
            <v>446000</v>
          </cell>
          <cell r="D3241">
            <v>41244</v>
          </cell>
          <cell r="E3241">
            <v>1698984</v>
          </cell>
          <cell r="F3241">
            <v>1698984</v>
          </cell>
          <cell r="G3241">
            <v>8900667</v>
          </cell>
          <cell r="H3241">
            <v>141582</v>
          </cell>
          <cell r="I3241">
            <v>1350000</v>
          </cell>
        </row>
        <row r="3242">
          <cell r="A3242" t="str">
            <v>6310|447000</v>
          </cell>
          <cell r="B3242" t="str">
            <v>6310</v>
          </cell>
          <cell r="C3242">
            <v>447000</v>
          </cell>
          <cell r="D3242">
            <v>41244</v>
          </cell>
          <cell r="E3242">
            <v>9345403</v>
          </cell>
          <cell r="F3242">
            <v>9345403</v>
          </cell>
          <cell r="G3242">
            <v>7373190</v>
          </cell>
          <cell r="H3242">
            <v>778784</v>
          </cell>
          <cell r="I3242">
            <v>619890</v>
          </cell>
        </row>
        <row r="3243">
          <cell r="A3243" t="str">
            <v>6310|447003</v>
          </cell>
          <cell r="B3243" t="str">
            <v>6310</v>
          </cell>
          <cell r="C3243">
            <v>447003</v>
          </cell>
          <cell r="D3243">
            <v>41244</v>
          </cell>
          <cell r="E3243">
            <v>6106537</v>
          </cell>
          <cell r="F3243">
            <v>6106537</v>
          </cell>
          <cell r="G3243">
            <v>10968522</v>
          </cell>
          <cell r="H3243">
            <v>508878</v>
          </cell>
          <cell r="I3243">
            <v>911371</v>
          </cell>
        </row>
        <row r="3244">
          <cell r="A3244" t="str">
            <v>6310|447010</v>
          </cell>
          <cell r="B3244" t="str">
            <v>6310</v>
          </cell>
          <cell r="C3244">
            <v>447010</v>
          </cell>
          <cell r="D3244">
            <v>41244</v>
          </cell>
          <cell r="E3244">
            <v>22024197</v>
          </cell>
          <cell r="F3244">
            <v>22024197</v>
          </cell>
          <cell r="G3244">
            <v>19608282</v>
          </cell>
          <cell r="H3244">
            <v>1835350</v>
          </cell>
          <cell r="I3244">
            <v>1648537</v>
          </cell>
        </row>
        <row r="3245">
          <cell r="A3245" t="str">
            <v>6310|447013</v>
          </cell>
          <cell r="B3245" t="str">
            <v>6310</v>
          </cell>
          <cell r="C3245">
            <v>447013</v>
          </cell>
          <cell r="D3245">
            <v>41244</v>
          </cell>
          <cell r="E3245">
            <v>14391202</v>
          </cell>
          <cell r="F3245">
            <v>14391202</v>
          </cell>
          <cell r="G3245">
            <v>25849356</v>
          </cell>
          <cell r="H3245">
            <v>1199267</v>
          </cell>
          <cell r="I3245">
            <v>2147814</v>
          </cell>
        </row>
        <row r="3246">
          <cell r="A3246" t="str">
            <v>6310|447020</v>
          </cell>
          <cell r="B3246" t="str">
            <v>6310</v>
          </cell>
          <cell r="C3246">
            <v>447020</v>
          </cell>
          <cell r="D3246">
            <v>41244</v>
          </cell>
          <cell r="E3246">
            <v>934540</v>
          </cell>
          <cell r="F3246">
            <v>934540</v>
          </cell>
          <cell r="G3246">
            <v>1172207</v>
          </cell>
          <cell r="H3246">
            <v>77878</v>
          </cell>
          <cell r="I3246">
            <v>52200</v>
          </cell>
        </row>
        <row r="3247">
          <cell r="A3247" t="str">
            <v>6310|447023</v>
          </cell>
          <cell r="B3247" t="str">
            <v>6310</v>
          </cell>
          <cell r="C3247">
            <v>447023</v>
          </cell>
          <cell r="D3247">
            <v>41244</v>
          </cell>
          <cell r="E3247">
            <v>610654</v>
          </cell>
          <cell r="F3247">
            <v>610654</v>
          </cell>
          <cell r="G3247">
            <v>2193835</v>
          </cell>
          <cell r="H3247">
            <v>50888</v>
          </cell>
          <cell r="I3247">
            <v>212500</v>
          </cell>
        </row>
        <row r="3248">
          <cell r="A3248" t="str">
            <v>6310|448000</v>
          </cell>
          <cell r="B3248" t="str">
            <v>6310</v>
          </cell>
          <cell r="C3248">
            <v>448000</v>
          </cell>
          <cell r="D3248">
            <v>41244</v>
          </cell>
          <cell r="E3248">
            <v>90902002</v>
          </cell>
          <cell r="F3248">
            <v>90902002</v>
          </cell>
          <cell r="G3248">
            <v>37321550</v>
          </cell>
          <cell r="H3248">
            <v>7575167</v>
          </cell>
          <cell r="I3248">
            <v>1004600</v>
          </cell>
        </row>
        <row r="3249">
          <cell r="A3249" t="str">
            <v>6310|448002</v>
          </cell>
          <cell r="B3249" t="str">
            <v>6310</v>
          </cell>
          <cell r="C3249">
            <v>448002</v>
          </cell>
          <cell r="D3249">
            <v>41244</v>
          </cell>
          <cell r="E3249">
            <v>0</v>
          </cell>
          <cell r="F3249">
            <v>0</v>
          </cell>
          <cell r="G3249">
            <v>2404</v>
          </cell>
          <cell r="H3249">
            <v>0</v>
          </cell>
          <cell r="I3249">
            <v>0</v>
          </cell>
        </row>
        <row r="3250">
          <cell r="A3250" t="str">
            <v>6310|448003</v>
          </cell>
          <cell r="B3250" t="str">
            <v>6310</v>
          </cell>
          <cell r="C3250">
            <v>448003</v>
          </cell>
          <cell r="D3250">
            <v>41244</v>
          </cell>
          <cell r="E3250">
            <v>58830014</v>
          </cell>
          <cell r="F3250">
            <v>58830014</v>
          </cell>
          <cell r="G3250">
            <v>16293742</v>
          </cell>
          <cell r="H3250">
            <v>4902501</v>
          </cell>
          <cell r="I3250">
            <v>1984400</v>
          </cell>
        </row>
        <row r="3251">
          <cell r="A3251" t="str">
            <v>6310|449020</v>
          </cell>
          <cell r="B3251" t="str">
            <v>6310</v>
          </cell>
          <cell r="C3251">
            <v>449020</v>
          </cell>
          <cell r="D3251">
            <v>41244</v>
          </cell>
          <cell r="E3251">
            <v>27720000</v>
          </cell>
          <cell r="F3251">
            <v>27720000</v>
          </cell>
          <cell r="G3251">
            <v>24757000</v>
          </cell>
          <cell r="H3251">
            <v>2310000</v>
          </cell>
          <cell r="I3251">
            <v>2608000</v>
          </cell>
        </row>
        <row r="3252">
          <cell r="A3252" t="str">
            <v>6310|449023</v>
          </cell>
          <cell r="B3252" t="str">
            <v>6310</v>
          </cell>
          <cell r="C3252">
            <v>449023</v>
          </cell>
          <cell r="D3252">
            <v>41244</v>
          </cell>
          <cell r="E3252">
            <v>100350000</v>
          </cell>
          <cell r="F3252">
            <v>100350000</v>
          </cell>
          <cell r="G3252">
            <v>96961411</v>
          </cell>
          <cell r="H3252">
            <v>8362500</v>
          </cell>
          <cell r="I3252">
            <v>8220300</v>
          </cell>
        </row>
        <row r="3253">
          <cell r="A3253" t="str">
            <v>6310|449032</v>
          </cell>
          <cell r="B3253" t="str">
            <v>6310</v>
          </cell>
          <cell r="C3253">
            <v>449032</v>
          </cell>
          <cell r="D3253">
            <v>41244</v>
          </cell>
          <cell r="E3253">
            <v>5261541</v>
          </cell>
          <cell r="F3253">
            <v>5261541</v>
          </cell>
          <cell r="G3253">
            <v>1294000</v>
          </cell>
          <cell r="H3253">
            <v>438462</v>
          </cell>
          <cell r="I3253">
            <v>0</v>
          </cell>
        </row>
        <row r="3254">
          <cell r="A3254" t="str">
            <v>6310|449040</v>
          </cell>
          <cell r="B3254" t="str">
            <v>6310</v>
          </cell>
          <cell r="C3254">
            <v>449040</v>
          </cell>
          <cell r="D3254">
            <v>41244</v>
          </cell>
          <cell r="E3254">
            <v>0</v>
          </cell>
          <cell r="F3254">
            <v>0</v>
          </cell>
          <cell r="G3254">
            <v>1757000</v>
          </cell>
          <cell r="H3254">
            <v>0</v>
          </cell>
          <cell r="I3254">
            <v>0</v>
          </cell>
        </row>
        <row r="3255">
          <cell r="A3255" t="str">
            <v>6310|449050</v>
          </cell>
          <cell r="B3255" t="str">
            <v>6310</v>
          </cell>
          <cell r="C3255">
            <v>449050</v>
          </cell>
          <cell r="D3255">
            <v>41244</v>
          </cell>
          <cell r="E3255">
            <v>72328537</v>
          </cell>
          <cell r="F3255">
            <v>72328537</v>
          </cell>
          <cell r="G3255">
            <v>59200008</v>
          </cell>
          <cell r="H3255">
            <v>6027378</v>
          </cell>
          <cell r="I3255">
            <v>4933334</v>
          </cell>
        </row>
        <row r="3256">
          <cell r="A3256" t="str">
            <v>6310|449060</v>
          </cell>
          <cell r="B3256" t="str">
            <v>6310</v>
          </cell>
          <cell r="C3256">
            <v>449060</v>
          </cell>
          <cell r="D3256">
            <v>41244</v>
          </cell>
          <cell r="E3256">
            <v>0</v>
          </cell>
          <cell r="F3256">
            <v>0</v>
          </cell>
          <cell r="G3256">
            <v>203185</v>
          </cell>
          <cell r="H3256">
            <v>0</v>
          </cell>
          <cell r="I3256">
            <v>20485</v>
          </cell>
        </row>
        <row r="3257">
          <cell r="A3257" t="str">
            <v>6310|449061</v>
          </cell>
          <cell r="B3257" t="str">
            <v>6310</v>
          </cell>
          <cell r="C3257">
            <v>449061</v>
          </cell>
          <cell r="D3257">
            <v>41244</v>
          </cell>
          <cell r="E3257">
            <v>7184000</v>
          </cell>
          <cell r="F3257">
            <v>7184000</v>
          </cell>
          <cell r="G3257">
            <v>10100500</v>
          </cell>
          <cell r="H3257">
            <v>598667</v>
          </cell>
          <cell r="I3257">
            <v>4257000</v>
          </cell>
        </row>
        <row r="3258">
          <cell r="A3258" t="str">
            <v>6310|451000</v>
          </cell>
          <cell r="B3258" t="str">
            <v>6310</v>
          </cell>
          <cell r="C3258">
            <v>451000</v>
          </cell>
          <cell r="D3258">
            <v>41244</v>
          </cell>
          <cell r="E3258">
            <v>11435000</v>
          </cell>
          <cell r="F3258">
            <v>11435000</v>
          </cell>
          <cell r="G3258">
            <v>0</v>
          </cell>
          <cell r="H3258">
            <v>952917</v>
          </cell>
          <cell r="I3258">
            <v>0</v>
          </cell>
        </row>
        <row r="3259">
          <cell r="A3259" t="str">
            <v>6310|455000</v>
          </cell>
          <cell r="B3259" t="str">
            <v>6310</v>
          </cell>
          <cell r="C3259">
            <v>455000</v>
          </cell>
          <cell r="D3259">
            <v>41244</v>
          </cell>
          <cell r="E3259">
            <v>16981642</v>
          </cell>
          <cell r="F3259">
            <v>16981642</v>
          </cell>
          <cell r="G3259">
            <v>83000</v>
          </cell>
          <cell r="H3259">
            <v>1415148</v>
          </cell>
          <cell r="I3259">
            <v>0</v>
          </cell>
        </row>
        <row r="3260">
          <cell r="A3260" t="str">
            <v>6310|459000</v>
          </cell>
          <cell r="B3260" t="str">
            <v>6310</v>
          </cell>
          <cell r="C3260">
            <v>459000</v>
          </cell>
          <cell r="D3260">
            <v>41244</v>
          </cell>
          <cell r="E3260">
            <v>0</v>
          </cell>
          <cell r="F3260">
            <v>0</v>
          </cell>
          <cell r="G3260">
            <v>2600000</v>
          </cell>
          <cell r="H3260">
            <v>0</v>
          </cell>
          <cell r="I3260">
            <v>0</v>
          </cell>
        </row>
        <row r="3261">
          <cell r="A3261" t="str">
            <v>6310|470101</v>
          </cell>
          <cell r="B3261" t="str">
            <v>6310</v>
          </cell>
          <cell r="C3261">
            <v>470101</v>
          </cell>
          <cell r="D3261">
            <v>41244</v>
          </cell>
          <cell r="E3261">
            <v>145371</v>
          </cell>
          <cell r="F3261">
            <v>145371</v>
          </cell>
          <cell r="G3261">
            <v>0</v>
          </cell>
          <cell r="H3261">
            <v>12114</v>
          </cell>
          <cell r="I3261">
            <v>0</v>
          </cell>
        </row>
        <row r="3262">
          <cell r="A3262" t="str">
            <v>6310|470102</v>
          </cell>
          <cell r="B3262" t="str">
            <v>6310</v>
          </cell>
          <cell r="C3262">
            <v>470102</v>
          </cell>
          <cell r="D3262">
            <v>41244</v>
          </cell>
          <cell r="E3262">
            <v>4565753</v>
          </cell>
          <cell r="F3262">
            <v>4565753</v>
          </cell>
          <cell r="G3262">
            <v>8215502</v>
          </cell>
          <cell r="H3262">
            <v>380479</v>
          </cell>
          <cell r="I3262">
            <v>697251</v>
          </cell>
        </row>
        <row r="3263">
          <cell r="A3263" t="str">
            <v>6310|471000</v>
          </cell>
          <cell r="B3263" t="str">
            <v>6310</v>
          </cell>
          <cell r="C3263">
            <v>471000</v>
          </cell>
          <cell r="D3263">
            <v>41244</v>
          </cell>
          <cell r="E3263">
            <v>4539710</v>
          </cell>
          <cell r="F3263">
            <v>4539710</v>
          </cell>
          <cell r="G3263">
            <v>1141720</v>
          </cell>
          <cell r="H3263">
            <v>378309</v>
          </cell>
          <cell r="I3263">
            <v>0</v>
          </cell>
        </row>
        <row r="3264">
          <cell r="A3264" t="str">
            <v>6310|473120</v>
          </cell>
          <cell r="B3264" t="str">
            <v>6310</v>
          </cell>
          <cell r="C3264">
            <v>473120</v>
          </cell>
          <cell r="D3264">
            <v>41244</v>
          </cell>
          <cell r="E3264">
            <v>4957417</v>
          </cell>
          <cell r="F3264">
            <v>4957417</v>
          </cell>
          <cell r="G3264">
            <v>4762683</v>
          </cell>
          <cell r="H3264">
            <v>413118</v>
          </cell>
          <cell r="I3264">
            <v>602152</v>
          </cell>
        </row>
        <row r="3265">
          <cell r="A3265" t="str">
            <v>6310|475006</v>
          </cell>
          <cell r="B3265" t="str">
            <v>6310</v>
          </cell>
          <cell r="C3265">
            <v>475006</v>
          </cell>
          <cell r="D3265">
            <v>41244</v>
          </cell>
          <cell r="E3265">
            <v>3268062</v>
          </cell>
          <cell r="F3265">
            <v>3268062</v>
          </cell>
          <cell r="G3265">
            <v>5047488</v>
          </cell>
          <cell r="H3265">
            <v>272338</v>
          </cell>
          <cell r="I3265">
            <v>420624</v>
          </cell>
        </row>
        <row r="3266">
          <cell r="A3266" t="str">
            <v>6310|476000</v>
          </cell>
          <cell r="B3266" t="str">
            <v>6310</v>
          </cell>
          <cell r="C3266">
            <v>476000</v>
          </cell>
          <cell r="D3266">
            <v>41244</v>
          </cell>
          <cell r="E3266">
            <v>11526748</v>
          </cell>
          <cell r="F3266">
            <v>11526748</v>
          </cell>
          <cell r="G3266">
            <v>10132630</v>
          </cell>
          <cell r="H3266">
            <v>960562</v>
          </cell>
          <cell r="I3266">
            <v>756500</v>
          </cell>
        </row>
        <row r="3267">
          <cell r="A3267" t="str">
            <v>6310|476220</v>
          </cell>
          <cell r="B3267" t="str">
            <v>6310</v>
          </cell>
          <cell r="C3267">
            <v>476220</v>
          </cell>
          <cell r="D3267">
            <v>41244</v>
          </cell>
          <cell r="E3267">
            <v>6247344</v>
          </cell>
          <cell r="F3267">
            <v>6247344</v>
          </cell>
          <cell r="G3267">
            <v>7718588</v>
          </cell>
          <cell r="H3267">
            <v>520612</v>
          </cell>
          <cell r="I3267">
            <v>0</v>
          </cell>
        </row>
        <row r="3268">
          <cell r="A3268" t="str">
            <v>6310|477800</v>
          </cell>
          <cell r="B3268" t="str">
            <v>6310</v>
          </cell>
          <cell r="C3268">
            <v>477800</v>
          </cell>
          <cell r="D3268">
            <v>41244</v>
          </cell>
          <cell r="E3268">
            <v>550000000</v>
          </cell>
          <cell r="F3268">
            <v>550000000</v>
          </cell>
          <cell r="G3268">
            <v>465910590</v>
          </cell>
          <cell r="H3268">
            <v>45833334</v>
          </cell>
          <cell r="I3268">
            <v>28321080</v>
          </cell>
        </row>
        <row r="3269">
          <cell r="A3269" t="str">
            <v>6321|211100</v>
          </cell>
          <cell r="B3269" t="str">
            <v>6321</v>
          </cell>
          <cell r="C3269">
            <v>211100</v>
          </cell>
          <cell r="D3269">
            <v>41244</v>
          </cell>
          <cell r="E3269">
            <v>0</v>
          </cell>
          <cell r="F3269">
            <v>0</v>
          </cell>
          <cell r="G3269">
            <v>0</v>
          </cell>
          <cell r="H3269">
            <v>0</v>
          </cell>
          <cell r="I3269">
            <v>0</v>
          </cell>
        </row>
        <row r="3270">
          <cell r="A3270" t="str">
            <v>6321|211104</v>
          </cell>
          <cell r="B3270" t="str">
            <v>6321</v>
          </cell>
          <cell r="C3270">
            <v>211104</v>
          </cell>
          <cell r="D3270">
            <v>41244</v>
          </cell>
          <cell r="E3270">
            <v>3865347925</v>
          </cell>
          <cell r="F3270">
            <v>3865347925</v>
          </cell>
          <cell r="G3270">
            <v>3882998689</v>
          </cell>
          <cell r="H3270">
            <v>322112327</v>
          </cell>
          <cell r="I3270">
            <v>472354633</v>
          </cell>
        </row>
        <row r="3271">
          <cell r="A3271" t="str">
            <v>6321|246000</v>
          </cell>
          <cell r="B3271" t="str">
            <v>6321</v>
          </cell>
          <cell r="C3271">
            <v>246000</v>
          </cell>
          <cell r="D3271">
            <v>41244</v>
          </cell>
          <cell r="E3271">
            <v>3000000</v>
          </cell>
          <cell r="F3271">
            <v>3000000</v>
          </cell>
          <cell r="G3271">
            <v>830000</v>
          </cell>
          <cell r="H3271">
            <v>250000</v>
          </cell>
          <cell r="I3271">
            <v>0</v>
          </cell>
        </row>
        <row r="3272">
          <cell r="A3272" t="str">
            <v>6321|400040</v>
          </cell>
          <cell r="B3272" t="str">
            <v>6321</v>
          </cell>
          <cell r="C3272">
            <v>400040</v>
          </cell>
          <cell r="D3272">
            <v>41244</v>
          </cell>
          <cell r="E3272">
            <v>1950000000</v>
          </cell>
          <cell r="F3272">
            <v>1950000000</v>
          </cell>
          <cell r="G3272">
            <v>1977350409</v>
          </cell>
          <cell r="H3272">
            <v>162500001</v>
          </cell>
          <cell r="I3272">
            <v>409148825</v>
          </cell>
        </row>
        <row r="3273">
          <cell r="A3273" t="str">
            <v>6321|405200</v>
          </cell>
          <cell r="B3273" t="str">
            <v>6321</v>
          </cell>
          <cell r="C3273">
            <v>405200</v>
          </cell>
          <cell r="D3273">
            <v>41244</v>
          </cell>
          <cell r="E3273">
            <v>9000000</v>
          </cell>
          <cell r="F3273">
            <v>9000000</v>
          </cell>
          <cell r="G3273">
            <v>8731423</v>
          </cell>
          <cell r="H3273">
            <v>750001</v>
          </cell>
          <cell r="I3273">
            <v>0</v>
          </cell>
        </row>
        <row r="3274">
          <cell r="A3274" t="str">
            <v>6321|405251</v>
          </cell>
          <cell r="B3274" t="str">
            <v>6321</v>
          </cell>
          <cell r="C3274">
            <v>405251</v>
          </cell>
          <cell r="D3274">
            <v>41244</v>
          </cell>
          <cell r="E3274">
            <v>514000000</v>
          </cell>
          <cell r="F3274">
            <v>514000000</v>
          </cell>
          <cell r="G3274">
            <v>164992208</v>
          </cell>
          <cell r="H3274">
            <v>42833332</v>
          </cell>
          <cell r="I3274">
            <v>3908368</v>
          </cell>
        </row>
        <row r="3275">
          <cell r="A3275" t="str">
            <v>6321|405253</v>
          </cell>
          <cell r="B3275" t="str">
            <v>6321</v>
          </cell>
          <cell r="C3275">
            <v>405253</v>
          </cell>
          <cell r="D3275">
            <v>41244</v>
          </cell>
          <cell r="E3275">
            <v>4500000</v>
          </cell>
          <cell r="F3275">
            <v>4500000</v>
          </cell>
          <cell r="G3275">
            <v>0</v>
          </cell>
          <cell r="H3275">
            <v>375000</v>
          </cell>
          <cell r="I3275">
            <v>0</v>
          </cell>
        </row>
        <row r="3276">
          <cell r="A3276" t="str">
            <v>6321|420000</v>
          </cell>
          <cell r="B3276" t="str">
            <v>6321</v>
          </cell>
          <cell r="C3276">
            <v>420000</v>
          </cell>
          <cell r="D3276">
            <v>41244</v>
          </cell>
          <cell r="E3276">
            <v>3095809267</v>
          </cell>
          <cell r="F3276">
            <v>3095809267</v>
          </cell>
          <cell r="G3276">
            <v>2395495545</v>
          </cell>
          <cell r="H3276">
            <v>257984106</v>
          </cell>
          <cell r="I3276">
            <v>200832850</v>
          </cell>
        </row>
        <row r="3277">
          <cell r="A3277" t="str">
            <v>6321|420001</v>
          </cell>
          <cell r="B3277" t="str">
            <v>6321</v>
          </cell>
          <cell r="C3277">
            <v>420001</v>
          </cell>
          <cell r="D3277">
            <v>41244</v>
          </cell>
          <cell r="E3277">
            <v>243656448</v>
          </cell>
          <cell r="F3277">
            <v>243656448</v>
          </cell>
          <cell r="G3277">
            <v>25122397</v>
          </cell>
          <cell r="H3277">
            <v>20304704</v>
          </cell>
          <cell r="I3277">
            <v>0</v>
          </cell>
        </row>
        <row r="3278">
          <cell r="A3278" t="str">
            <v>6321|420003</v>
          </cell>
          <cell r="B3278" t="str">
            <v>6321</v>
          </cell>
          <cell r="C3278">
            <v>420003</v>
          </cell>
          <cell r="D3278">
            <v>41244</v>
          </cell>
          <cell r="E3278">
            <v>0</v>
          </cell>
          <cell r="F3278">
            <v>0</v>
          </cell>
          <cell r="G3278">
            <v>10665456</v>
          </cell>
          <cell r="H3278">
            <v>0</v>
          </cell>
          <cell r="I3278">
            <v>0</v>
          </cell>
        </row>
        <row r="3279">
          <cell r="A3279" t="str">
            <v>6321|422000</v>
          </cell>
          <cell r="B3279" t="str">
            <v>6321</v>
          </cell>
          <cell r="C3279">
            <v>422000</v>
          </cell>
          <cell r="D3279">
            <v>41244</v>
          </cell>
          <cell r="E3279">
            <v>4220182</v>
          </cell>
          <cell r="F3279">
            <v>4220182</v>
          </cell>
          <cell r="G3279">
            <v>3266300</v>
          </cell>
          <cell r="H3279">
            <v>351682</v>
          </cell>
          <cell r="I3279">
            <v>29950</v>
          </cell>
        </row>
        <row r="3280">
          <cell r="A3280" t="str">
            <v>6321|422001</v>
          </cell>
          <cell r="B3280" t="str">
            <v>6321</v>
          </cell>
          <cell r="C3280">
            <v>422001</v>
          </cell>
          <cell r="D3280">
            <v>41244</v>
          </cell>
          <cell r="E3280">
            <v>41822</v>
          </cell>
          <cell r="F3280">
            <v>41822</v>
          </cell>
          <cell r="G3280">
            <v>34500</v>
          </cell>
          <cell r="H3280">
            <v>3485</v>
          </cell>
          <cell r="I3280">
            <v>0</v>
          </cell>
        </row>
        <row r="3281">
          <cell r="A3281" t="str">
            <v>6321|431000</v>
          </cell>
          <cell r="B3281" t="str">
            <v>6321</v>
          </cell>
          <cell r="C3281">
            <v>431000</v>
          </cell>
          <cell r="D3281">
            <v>41244</v>
          </cell>
          <cell r="E3281">
            <v>150000000</v>
          </cell>
          <cell r="F3281">
            <v>150000000</v>
          </cell>
          <cell r="G3281">
            <v>466532344</v>
          </cell>
          <cell r="H3281">
            <v>12500000</v>
          </cell>
          <cell r="I3281">
            <v>56975102</v>
          </cell>
        </row>
        <row r="3282">
          <cell r="A3282" t="str">
            <v>6321|431001</v>
          </cell>
          <cell r="B3282" t="str">
            <v>6321</v>
          </cell>
          <cell r="C3282">
            <v>431001</v>
          </cell>
          <cell r="D3282">
            <v>41244</v>
          </cell>
          <cell r="E3282">
            <v>18487632</v>
          </cell>
          <cell r="F3282">
            <v>18487632</v>
          </cell>
          <cell r="G3282">
            <v>4522574</v>
          </cell>
          <cell r="H3282">
            <v>1540636</v>
          </cell>
          <cell r="I3282">
            <v>0</v>
          </cell>
        </row>
        <row r="3283">
          <cell r="A3283" t="str">
            <v>6321|431002</v>
          </cell>
          <cell r="B3283" t="str">
            <v>6321</v>
          </cell>
          <cell r="C3283">
            <v>431002</v>
          </cell>
          <cell r="D3283">
            <v>41244</v>
          </cell>
          <cell r="E3283">
            <v>550484</v>
          </cell>
          <cell r="F3283">
            <v>550484</v>
          </cell>
          <cell r="G3283">
            <v>0</v>
          </cell>
          <cell r="H3283">
            <v>45874</v>
          </cell>
          <cell r="I3283">
            <v>0</v>
          </cell>
        </row>
        <row r="3284">
          <cell r="A3284" t="str">
            <v>6321|434010</v>
          </cell>
          <cell r="B3284" t="str">
            <v>6321</v>
          </cell>
          <cell r="C3284">
            <v>434010</v>
          </cell>
          <cell r="D3284">
            <v>41244</v>
          </cell>
          <cell r="E3284">
            <v>66340580</v>
          </cell>
          <cell r="F3284">
            <v>66340580</v>
          </cell>
          <cell r="G3284">
            <v>65527746</v>
          </cell>
          <cell r="H3284">
            <v>5528382</v>
          </cell>
          <cell r="I3284">
            <v>14966678</v>
          </cell>
        </row>
        <row r="3285">
          <cell r="A3285" t="str">
            <v>6321|434011</v>
          </cell>
          <cell r="B3285" t="str">
            <v>6321</v>
          </cell>
          <cell r="C3285">
            <v>434011</v>
          </cell>
          <cell r="D3285">
            <v>41244</v>
          </cell>
          <cell r="E3285">
            <v>8127021</v>
          </cell>
          <cell r="F3285">
            <v>8127021</v>
          </cell>
          <cell r="G3285">
            <v>3786944</v>
          </cell>
          <cell r="H3285">
            <v>677252</v>
          </cell>
          <cell r="I3285">
            <v>0</v>
          </cell>
        </row>
        <row r="3286">
          <cell r="A3286" t="str">
            <v>6321|434012</v>
          </cell>
          <cell r="B3286" t="str">
            <v>6321</v>
          </cell>
          <cell r="C3286">
            <v>434012</v>
          </cell>
          <cell r="D3286">
            <v>41244</v>
          </cell>
          <cell r="E3286">
            <v>0</v>
          </cell>
          <cell r="F3286">
            <v>0</v>
          </cell>
          <cell r="G3286">
            <v>403933</v>
          </cell>
          <cell r="H3286">
            <v>0</v>
          </cell>
          <cell r="I3286">
            <v>0</v>
          </cell>
        </row>
        <row r="3287">
          <cell r="A3287" t="str">
            <v>6321|434013</v>
          </cell>
          <cell r="B3287" t="str">
            <v>6321</v>
          </cell>
          <cell r="C3287">
            <v>434013</v>
          </cell>
          <cell r="D3287">
            <v>41244</v>
          </cell>
          <cell r="E3287">
            <v>0</v>
          </cell>
          <cell r="F3287">
            <v>0</v>
          </cell>
          <cell r="G3287">
            <v>476146</v>
          </cell>
          <cell r="H3287">
            <v>0</v>
          </cell>
          <cell r="I3287">
            <v>0</v>
          </cell>
        </row>
        <row r="3288">
          <cell r="A3288" t="str">
            <v>6321|435000</v>
          </cell>
          <cell r="B3288" t="str">
            <v>6321</v>
          </cell>
          <cell r="C3288">
            <v>435000</v>
          </cell>
          <cell r="D3288">
            <v>41244</v>
          </cell>
          <cell r="E3288">
            <v>263386208</v>
          </cell>
          <cell r="F3288">
            <v>263386208</v>
          </cell>
          <cell r="G3288">
            <v>217879714</v>
          </cell>
          <cell r="H3288">
            <v>21948851</v>
          </cell>
          <cell r="I3288">
            <v>188808615</v>
          </cell>
        </row>
        <row r="3289">
          <cell r="A3289" t="str">
            <v>6321|435001</v>
          </cell>
          <cell r="B3289" t="str">
            <v>6321</v>
          </cell>
          <cell r="C3289">
            <v>435001</v>
          </cell>
          <cell r="D3289">
            <v>41244</v>
          </cell>
          <cell r="E3289">
            <v>20304704</v>
          </cell>
          <cell r="F3289">
            <v>20304704</v>
          </cell>
          <cell r="G3289">
            <v>0</v>
          </cell>
          <cell r="H3289">
            <v>1692059</v>
          </cell>
          <cell r="I3289">
            <v>0</v>
          </cell>
        </row>
        <row r="3290">
          <cell r="A3290" t="str">
            <v>6321|439000</v>
          </cell>
          <cell r="B3290" t="str">
            <v>6321</v>
          </cell>
          <cell r="C3290">
            <v>439000</v>
          </cell>
          <cell r="D3290">
            <v>41244</v>
          </cell>
          <cell r="E3290">
            <v>324685491</v>
          </cell>
          <cell r="F3290">
            <v>324685491</v>
          </cell>
          <cell r="G3290">
            <v>674732405</v>
          </cell>
          <cell r="H3290">
            <v>27057124</v>
          </cell>
          <cell r="I3290">
            <v>-609511</v>
          </cell>
        </row>
        <row r="3291">
          <cell r="A3291" t="str">
            <v>6321|439001</v>
          </cell>
          <cell r="B3291" t="str">
            <v>6321</v>
          </cell>
          <cell r="C3291">
            <v>439001</v>
          </cell>
          <cell r="D3291">
            <v>41244</v>
          </cell>
          <cell r="E3291">
            <v>33825975</v>
          </cell>
          <cell r="F3291">
            <v>33825975</v>
          </cell>
          <cell r="G3291">
            <v>4447740</v>
          </cell>
          <cell r="H3291">
            <v>2818831</v>
          </cell>
          <cell r="I3291">
            <v>0</v>
          </cell>
        </row>
        <row r="3292">
          <cell r="A3292" t="str">
            <v>6321|439003</v>
          </cell>
          <cell r="B3292" t="str">
            <v>6321</v>
          </cell>
          <cell r="C3292">
            <v>439003</v>
          </cell>
          <cell r="D3292">
            <v>41244</v>
          </cell>
          <cell r="E3292">
            <v>0</v>
          </cell>
          <cell r="F3292">
            <v>0</v>
          </cell>
          <cell r="G3292">
            <v>4091498</v>
          </cell>
          <cell r="H3292">
            <v>0</v>
          </cell>
          <cell r="I3292">
            <v>0</v>
          </cell>
        </row>
        <row r="3293">
          <cell r="A3293" t="str">
            <v>6321|439008</v>
          </cell>
          <cell r="B3293" t="str">
            <v>6321</v>
          </cell>
          <cell r="C3293">
            <v>439008</v>
          </cell>
          <cell r="D3293">
            <v>41244</v>
          </cell>
          <cell r="E3293">
            <v>0</v>
          </cell>
          <cell r="F3293">
            <v>0</v>
          </cell>
          <cell r="G3293">
            <v>1641184</v>
          </cell>
          <cell r="H3293">
            <v>0</v>
          </cell>
          <cell r="I3293">
            <v>0</v>
          </cell>
        </row>
        <row r="3294">
          <cell r="A3294" t="str">
            <v>6321|439100</v>
          </cell>
          <cell r="B3294" t="str">
            <v>6321</v>
          </cell>
          <cell r="C3294">
            <v>439100</v>
          </cell>
          <cell r="D3294">
            <v>41244</v>
          </cell>
          <cell r="E3294">
            <v>0</v>
          </cell>
          <cell r="F3294">
            <v>0</v>
          </cell>
          <cell r="G3294">
            <v>4000000</v>
          </cell>
          <cell r="H3294">
            <v>0</v>
          </cell>
          <cell r="I3294">
            <v>1000000</v>
          </cell>
        </row>
        <row r="3295">
          <cell r="A3295" t="str">
            <v>6321|439200</v>
          </cell>
          <cell r="B3295" t="str">
            <v>6321</v>
          </cell>
          <cell r="C3295">
            <v>439200</v>
          </cell>
          <cell r="D3295">
            <v>41244</v>
          </cell>
          <cell r="E3295">
            <v>3475714</v>
          </cell>
          <cell r="F3295">
            <v>3475714</v>
          </cell>
          <cell r="G3295">
            <v>15590000</v>
          </cell>
          <cell r="H3295">
            <v>289643</v>
          </cell>
          <cell r="I3295">
            <v>0</v>
          </cell>
        </row>
        <row r="3296">
          <cell r="A3296" t="str">
            <v>6321|439201</v>
          </cell>
          <cell r="B3296" t="str">
            <v>6321</v>
          </cell>
          <cell r="C3296">
            <v>439201</v>
          </cell>
          <cell r="D3296">
            <v>41244</v>
          </cell>
          <cell r="E3296">
            <v>0</v>
          </cell>
          <cell r="F3296">
            <v>0</v>
          </cell>
          <cell r="G3296">
            <v>100000</v>
          </cell>
          <cell r="H3296">
            <v>0</v>
          </cell>
          <cell r="I3296">
            <v>0</v>
          </cell>
        </row>
        <row r="3297">
          <cell r="A3297" t="str">
            <v>6321|440000</v>
          </cell>
          <cell r="B3297" t="str">
            <v>6321</v>
          </cell>
          <cell r="C3297">
            <v>440000</v>
          </cell>
          <cell r="D3297">
            <v>41244</v>
          </cell>
          <cell r="E3297">
            <v>263386208</v>
          </cell>
          <cell r="F3297">
            <v>263386208</v>
          </cell>
          <cell r="G3297">
            <v>219434416</v>
          </cell>
          <cell r="H3297">
            <v>21948851</v>
          </cell>
          <cell r="I3297">
            <v>26425336</v>
          </cell>
        </row>
        <row r="3298">
          <cell r="A3298" t="str">
            <v>6321|440001</v>
          </cell>
          <cell r="B3298" t="str">
            <v>6321</v>
          </cell>
          <cell r="C3298">
            <v>440001</v>
          </cell>
          <cell r="D3298">
            <v>41244</v>
          </cell>
          <cell r="E3298">
            <v>20304704</v>
          </cell>
          <cell r="F3298">
            <v>20304704</v>
          </cell>
          <cell r="G3298">
            <v>3205155</v>
          </cell>
          <cell r="H3298">
            <v>1692059</v>
          </cell>
          <cell r="I3298">
            <v>0</v>
          </cell>
        </row>
        <row r="3299">
          <cell r="A3299" t="str">
            <v>6321|440002</v>
          </cell>
          <cell r="B3299" t="str">
            <v>6321</v>
          </cell>
          <cell r="C3299">
            <v>440002</v>
          </cell>
          <cell r="D3299">
            <v>41244</v>
          </cell>
          <cell r="E3299">
            <v>0</v>
          </cell>
          <cell r="F3299">
            <v>0</v>
          </cell>
          <cell r="G3299">
            <v>577176</v>
          </cell>
          <cell r="H3299">
            <v>0</v>
          </cell>
          <cell r="I3299">
            <v>0</v>
          </cell>
        </row>
        <row r="3300">
          <cell r="A3300" t="str">
            <v>6321|440003</v>
          </cell>
          <cell r="B3300" t="str">
            <v>6321</v>
          </cell>
          <cell r="C3300">
            <v>440003</v>
          </cell>
          <cell r="D3300">
            <v>41244</v>
          </cell>
          <cell r="E3300">
            <v>0</v>
          </cell>
          <cell r="F3300">
            <v>0</v>
          </cell>
          <cell r="G3300">
            <v>923110</v>
          </cell>
          <cell r="H3300">
            <v>0</v>
          </cell>
          <cell r="I3300">
            <v>0</v>
          </cell>
        </row>
        <row r="3301">
          <cell r="A3301" t="str">
            <v>6321|446000</v>
          </cell>
          <cell r="B3301" t="str">
            <v>6321</v>
          </cell>
          <cell r="C3301">
            <v>446000</v>
          </cell>
          <cell r="D3301">
            <v>41244</v>
          </cell>
          <cell r="E3301">
            <v>69658348</v>
          </cell>
          <cell r="F3301">
            <v>69658348</v>
          </cell>
          <cell r="G3301">
            <v>90534634</v>
          </cell>
          <cell r="H3301">
            <v>5804862</v>
          </cell>
          <cell r="I3301">
            <v>6200000</v>
          </cell>
        </row>
        <row r="3302">
          <cell r="A3302" t="str">
            <v>6321|446001</v>
          </cell>
          <cell r="B3302" t="str">
            <v>6321</v>
          </cell>
          <cell r="C3302">
            <v>446001</v>
          </cell>
          <cell r="D3302">
            <v>41244</v>
          </cell>
          <cell r="E3302">
            <v>10152352</v>
          </cell>
          <cell r="F3302">
            <v>10152352</v>
          </cell>
          <cell r="G3302">
            <v>234121</v>
          </cell>
          <cell r="H3302">
            <v>846029</v>
          </cell>
          <cell r="I3302">
            <v>0</v>
          </cell>
        </row>
        <row r="3303">
          <cell r="A3303" t="str">
            <v>6321|446002</v>
          </cell>
          <cell r="B3303" t="str">
            <v>6321</v>
          </cell>
          <cell r="C3303">
            <v>446002</v>
          </cell>
          <cell r="D3303">
            <v>41244</v>
          </cell>
          <cell r="E3303">
            <v>0</v>
          </cell>
          <cell r="F3303">
            <v>0</v>
          </cell>
          <cell r="G3303">
            <v>192057</v>
          </cell>
          <cell r="H3303">
            <v>0</v>
          </cell>
          <cell r="I3303">
            <v>0</v>
          </cell>
        </row>
        <row r="3304">
          <cell r="A3304" t="str">
            <v>6321|447000</v>
          </cell>
          <cell r="B3304" t="str">
            <v>6321</v>
          </cell>
          <cell r="C3304">
            <v>447000</v>
          </cell>
          <cell r="D3304">
            <v>41244</v>
          </cell>
          <cell r="E3304">
            <v>52163690</v>
          </cell>
          <cell r="F3304">
            <v>52163690</v>
          </cell>
          <cell r="G3304">
            <v>36851787</v>
          </cell>
          <cell r="H3304">
            <v>4346974</v>
          </cell>
          <cell r="I3304">
            <v>3235653</v>
          </cell>
        </row>
        <row r="3305">
          <cell r="A3305" t="str">
            <v>6321|447001</v>
          </cell>
          <cell r="B3305" t="str">
            <v>6321</v>
          </cell>
          <cell r="C3305">
            <v>447001</v>
          </cell>
          <cell r="D3305">
            <v>41244</v>
          </cell>
          <cell r="E3305">
            <v>3825406</v>
          </cell>
          <cell r="F3305">
            <v>3825406</v>
          </cell>
          <cell r="G3305">
            <v>387772</v>
          </cell>
          <cell r="H3305">
            <v>318784</v>
          </cell>
          <cell r="I3305">
            <v>0</v>
          </cell>
        </row>
        <row r="3306">
          <cell r="A3306" t="str">
            <v>6321|447010</v>
          </cell>
          <cell r="B3306" t="str">
            <v>6321</v>
          </cell>
          <cell r="C3306">
            <v>447010</v>
          </cell>
          <cell r="D3306">
            <v>41244</v>
          </cell>
          <cell r="E3306">
            <v>122933536</v>
          </cell>
          <cell r="F3306">
            <v>122933536</v>
          </cell>
          <cell r="G3306">
            <v>86848004</v>
          </cell>
          <cell r="H3306">
            <v>10244461</v>
          </cell>
          <cell r="I3306">
            <v>7625415</v>
          </cell>
        </row>
        <row r="3307">
          <cell r="A3307" t="str">
            <v>6321|447011</v>
          </cell>
          <cell r="B3307" t="str">
            <v>6321</v>
          </cell>
          <cell r="C3307">
            <v>447011</v>
          </cell>
          <cell r="D3307">
            <v>41244</v>
          </cell>
          <cell r="E3307">
            <v>9015289</v>
          </cell>
          <cell r="F3307">
            <v>9015289</v>
          </cell>
          <cell r="G3307">
            <v>913860</v>
          </cell>
          <cell r="H3307">
            <v>751274</v>
          </cell>
          <cell r="I3307">
            <v>0</v>
          </cell>
        </row>
        <row r="3308">
          <cell r="A3308" t="str">
            <v>6321|447020</v>
          </cell>
          <cell r="B3308" t="str">
            <v>6321</v>
          </cell>
          <cell r="C3308">
            <v>447020</v>
          </cell>
          <cell r="D3308">
            <v>41244</v>
          </cell>
          <cell r="E3308">
            <v>5216369</v>
          </cell>
          <cell r="F3308">
            <v>5216369</v>
          </cell>
          <cell r="G3308">
            <v>2532288</v>
          </cell>
          <cell r="H3308">
            <v>434697</v>
          </cell>
          <cell r="I3308">
            <v>192050</v>
          </cell>
        </row>
        <row r="3309">
          <cell r="A3309" t="str">
            <v>6321|447021</v>
          </cell>
          <cell r="B3309" t="str">
            <v>6321</v>
          </cell>
          <cell r="C3309">
            <v>447021</v>
          </cell>
          <cell r="D3309">
            <v>41244</v>
          </cell>
          <cell r="E3309">
            <v>382541</v>
          </cell>
          <cell r="F3309">
            <v>382541</v>
          </cell>
          <cell r="G3309">
            <v>25163</v>
          </cell>
          <cell r="H3309">
            <v>31878</v>
          </cell>
          <cell r="I3309">
            <v>0</v>
          </cell>
        </row>
        <row r="3310">
          <cell r="A3310" t="str">
            <v>6321|448000</v>
          </cell>
          <cell r="B3310" t="str">
            <v>6321</v>
          </cell>
          <cell r="C3310">
            <v>448000</v>
          </cell>
          <cell r="D3310">
            <v>41244</v>
          </cell>
          <cell r="E3310">
            <v>576916816</v>
          </cell>
          <cell r="F3310">
            <v>576916816</v>
          </cell>
          <cell r="G3310">
            <v>170275525</v>
          </cell>
          <cell r="H3310">
            <v>48076401</v>
          </cell>
          <cell r="I3310">
            <v>11214800</v>
          </cell>
        </row>
        <row r="3311">
          <cell r="A3311" t="str">
            <v>6321|448001</v>
          </cell>
          <cell r="B3311" t="str">
            <v>6321</v>
          </cell>
          <cell r="C3311">
            <v>448001</v>
          </cell>
          <cell r="D3311">
            <v>41244</v>
          </cell>
          <cell r="E3311">
            <v>54588315</v>
          </cell>
          <cell r="F3311">
            <v>54588315</v>
          </cell>
          <cell r="G3311">
            <v>47496819</v>
          </cell>
          <cell r="H3311">
            <v>4549026</v>
          </cell>
          <cell r="I3311">
            <v>282000</v>
          </cell>
        </row>
        <row r="3312">
          <cell r="A3312" t="str">
            <v>6321|449004</v>
          </cell>
          <cell r="B3312" t="str">
            <v>6321</v>
          </cell>
          <cell r="C3312">
            <v>449004</v>
          </cell>
          <cell r="D3312">
            <v>41244</v>
          </cell>
          <cell r="E3312">
            <v>4000000</v>
          </cell>
          <cell r="F3312">
            <v>4000000</v>
          </cell>
          <cell r="G3312">
            <v>0</v>
          </cell>
          <cell r="H3312">
            <v>333333</v>
          </cell>
          <cell r="I3312">
            <v>0</v>
          </cell>
        </row>
        <row r="3313">
          <cell r="A3313" t="str">
            <v>6321|449020</v>
          </cell>
          <cell r="B3313" t="str">
            <v>6321</v>
          </cell>
          <cell r="C3313">
            <v>449020</v>
          </cell>
          <cell r="D3313">
            <v>41244</v>
          </cell>
          <cell r="E3313">
            <v>277200000</v>
          </cell>
          <cell r="F3313">
            <v>277200000</v>
          </cell>
          <cell r="G3313">
            <v>302469500</v>
          </cell>
          <cell r="H3313">
            <v>23100000</v>
          </cell>
          <cell r="I3313">
            <v>29954000</v>
          </cell>
        </row>
        <row r="3314">
          <cell r="A3314" t="str">
            <v>6321|449025</v>
          </cell>
          <cell r="B3314" t="str">
            <v>6321</v>
          </cell>
          <cell r="C3314">
            <v>449025</v>
          </cell>
          <cell r="D3314">
            <v>41244</v>
          </cell>
          <cell r="E3314">
            <v>23760000</v>
          </cell>
          <cell r="F3314">
            <v>23760000</v>
          </cell>
          <cell r="G3314">
            <v>2843000</v>
          </cell>
          <cell r="H3314">
            <v>1980000</v>
          </cell>
          <cell r="I3314">
            <v>0</v>
          </cell>
        </row>
        <row r="3315">
          <cell r="A3315" t="str">
            <v>6321|449032</v>
          </cell>
          <cell r="B3315" t="str">
            <v>6321</v>
          </cell>
          <cell r="C3315">
            <v>449032</v>
          </cell>
          <cell r="D3315">
            <v>41244</v>
          </cell>
          <cell r="E3315">
            <v>12000000</v>
          </cell>
          <cell r="F3315">
            <v>12000000</v>
          </cell>
          <cell r="G3315">
            <v>10025640</v>
          </cell>
          <cell r="H3315">
            <v>1000000</v>
          </cell>
          <cell r="I3315">
            <v>0</v>
          </cell>
        </row>
        <row r="3316">
          <cell r="A3316" t="str">
            <v>6321|449060</v>
          </cell>
          <cell r="B3316" t="str">
            <v>6321</v>
          </cell>
          <cell r="C3316">
            <v>449060</v>
          </cell>
          <cell r="D3316">
            <v>41244</v>
          </cell>
          <cell r="E3316">
            <v>7000000</v>
          </cell>
          <cell r="F3316">
            <v>7000000</v>
          </cell>
          <cell r="G3316">
            <v>20750366</v>
          </cell>
          <cell r="H3316">
            <v>583334</v>
          </cell>
          <cell r="I3316">
            <v>3791302</v>
          </cell>
        </row>
        <row r="3317">
          <cell r="A3317" t="str">
            <v>6321|449061</v>
          </cell>
          <cell r="B3317" t="str">
            <v>6321</v>
          </cell>
          <cell r="C3317">
            <v>449061</v>
          </cell>
          <cell r="D3317">
            <v>41244</v>
          </cell>
          <cell r="E3317">
            <v>6540750</v>
          </cell>
          <cell r="F3317">
            <v>6540750</v>
          </cell>
          <cell r="G3317">
            <v>8531250</v>
          </cell>
          <cell r="H3317">
            <v>545062</v>
          </cell>
          <cell r="I3317">
            <v>1323400</v>
          </cell>
        </row>
        <row r="3318">
          <cell r="A3318" t="str">
            <v>6321|451000</v>
          </cell>
          <cell r="B3318" t="str">
            <v>6321</v>
          </cell>
          <cell r="C3318">
            <v>451000</v>
          </cell>
          <cell r="D3318">
            <v>41244</v>
          </cell>
          <cell r="E3318">
            <v>450000</v>
          </cell>
          <cell r="F3318">
            <v>450000</v>
          </cell>
          <cell r="G3318">
            <v>3950000</v>
          </cell>
          <cell r="H3318">
            <v>37500</v>
          </cell>
          <cell r="I3318">
            <v>0</v>
          </cell>
        </row>
        <row r="3319">
          <cell r="A3319" t="str">
            <v>6321|452000</v>
          </cell>
          <cell r="B3319" t="str">
            <v>6321</v>
          </cell>
          <cell r="C3319">
            <v>452000</v>
          </cell>
          <cell r="D3319">
            <v>41244</v>
          </cell>
          <cell r="E3319">
            <v>30400000</v>
          </cell>
          <cell r="F3319">
            <v>30400000</v>
          </cell>
          <cell r="G3319">
            <v>40983934</v>
          </cell>
          <cell r="H3319">
            <v>2533333</v>
          </cell>
          <cell r="I3319">
            <v>0</v>
          </cell>
        </row>
        <row r="3320">
          <cell r="A3320" t="str">
            <v>6321|452001</v>
          </cell>
          <cell r="B3320" t="str">
            <v>6321</v>
          </cell>
          <cell r="C3320">
            <v>452001</v>
          </cell>
          <cell r="D3320">
            <v>41244</v>
          </cell>
          <cell r="E3320">
            <v>89600000</v>
          </cell>
          <cell r="F3320">
            <v>89600000</v>
          </cell>
          <cell r="G3320">
            <v>111799306</v>
          </cell>
          <cell r="H3320">
            <v>7466666</v>
          </cell>
          <cell r="I3320">
            <v>85500000</v>
          </cell>
        </row>
        <row r="3321">
          <cell r="A3321" t="str">
            <v>6321|455000</v>
          </cell>
          <cell r="B3321" t="str">
            <v>6321</v>
          </cell>
          <cell r="C3321">
            <v>455000</v>
          </cell>
          <cell r="D3321">
            <v>41244</v>
          </cell>
          <cell r="E3321">
            <v>45000000</v>
          </cell>
          <cell r="F3321">
            <v>45000000</v>
          </cell>
          <cell r="G3321">
            <v>46045509</v>
          </cell>
          <cell r="H3321">
            <v>3750000</v>
          </cell>
          <cell r="I3321">
            <v>0</v>
          </cell>
        </row>
        <row r="3322">
          <cell r="A3322" t="str">
            <v>6321|455002</v>
          </cell>
          <cell r="B3322" t="str">
            <v>6321</v>
          </cell>
          <cell r="C3322">
            <v>455002</v>
          </cell>
          <cell r="D3322">
            <v>41244</v>
          </cell>
          <cell r="E3322">
            <v>165500000</v>
          </cell>
          <cell r="F3322">
            <v>165500000</v>
          </cell>
          <cell r="G3322">
            <v>97552144</v>
          </cell>
          <cell r="H3322">
            <v>13791667</v>
          </cell>
          <cell r="I3322">
            <v>40058493</v>
          </cell>
        </row>
        <row r="3323">
          <cell r="A3323" t="str">
            <v>6321|470101</v>
          </cell>
          <cell r="B3323" t="str">
            <v>6321</v>
          </cell>
          <cell r="C3323">
            <v>470101</v>
          </cell>
          <cell r="D3323">
            <v>41244</v>
          </cell>
          <cell r="E3323">
            <v>26471177</v>
          </cell>
          <cell r="F3323">
            <v>26471177</v>
          </cell>
          <cell r="G3323">
            <v>100934000</v>
          </cell>
          <cell r="H3323">
            <v>2205931</v>
          </cell>
          <cell r="I3323">
            <v>13910000</v>
          </cell>
        </row>
        <row r="3324">
          <cell r="A3324" t="str">
            <v>6321|470102</v>
          </cell>
          <cell r="B3324" t="str">
            <v>6321</v>
          </cell>
          <cell r="C3324">
            <v>470102</v>
          </cell>
          <cell r="D3324">
            <v>41244</v>
          </cell>
          <cell r="E3324">
            <v>1</v>
          </cell>
          <cell r="F3324">
            <v>1</v>
          </cell>
          <cell r="G3324">
            <v>0</v>
          </cell>
          <cell r="H3324">
            <v>0</v>
          </cell>
          <cell r="I3324">
            <v>0</v>
          </cell>
        </row>
        <row r="3325">
          <cell r="A3325" t="str">
            <v>6321|473120</v>
          </cell>
          <cell r="B3325" t="str">
            <v>6321</v>
          </cell>
          <cell r="C3325">
            <v>473120</v>
          </cell>
          <cell r="D3325">
            <v>41244</v>
          </cell>
          <cell r="E3325">
            <v>0</v>
          </cell>
          <cell r="F3325">
            <v>0</v>
          </cell>
          <cell r="G3325">
            <v>1528853</v>
          </cell>
          <cell r="H3325">
            <v>0</v>
          </cell>
          <cell r="I3325">
            <v>53531</v>
          </cell>
        </row>
        <row r="3326">
          <cell r="A3326" t="str">
            <v>6321|476220</v>
          </cell>
          <cell r="B3326" t="str">
            <v>6321</v>
          </cell>
          <cell r="C3326">
            <v>476220</v>
          </cell>
          <cell r="D3326">
            <v>41244</v>
          </cell>
          <cell r="E3326">
            <v>0</v>
          </cell>
          <cell r="F3326">
            <v>0</v>
          </cell>
          <cell r="G3326">
            <v>10841790</v>
          </cell>
          <cell r="H3326">
            <v>0</v>
          </cell>
          <cell r="I3326">
            <v>2168358</v>
          </cell>
        </row>
        <row r="3327">
          <cell r="A3327" t="str">
            <v>6321|476223</v>
          </cell>
          <cell r="B3327" t="str">
            <v>6321</v>
          </cell>
          <cell r="C3327">
            <v>476223</v>
          </cell>
          <cell r="D3327">
            <v>41244</v>
          </cell>
          <cell r="E3327">
            <v>29000000</v>
          </cell>
          <cell r="F3327">
            <v>29000000</v>
          </cell>
          <cell r="G3327">
            <v>28450000</v>
          </cell>
          <cell r="H3327">
            <v>2416667</v>
          </cell>
          <cell r="I3327">
            <v>4950000</v>
          </cell>
        </row>
        <row r="3328">
          <cell r="A3328" t="str">
            <v>6322|211100</v>
          </cell>
          <cell r="B3328" t="str">
            <v>6322</v>
          </cell>
          <cell r="C3328">
            <v>211100</v>
          </cell>
          <cell r="D3328">
            <v>41244</v>
          </cell>
          <cell r="E3328">
            <v>0</v>
          </cell>
          <cell r="F3328">
            <v>0</v>
          </cell>
          <cell r="G3328">
            <v>0</v>
          </cell>
          <cell r="H3328">
            <v>0</v>
          </cell>
          <cell r="I3328">
            <v>0</v>
          </cell>
        </row>
        <row r="3329">
          <cell r="A3329" t="str">
            <v>6322|211104</v>
          </cell>
          <cell r="B3329" t="str">
            <v>6322</v>
          </cell>
          <cell r="C3329">
            <v>211104</v>
          </cell>
          <cell r="D3329">
            <v>41244</v>
          </cell>
          <cell r="E3329">
            <v>5853823904</v>
          </cell>
          <cell r="F3329">
            <v>5853823904</v>
          </cell>
          <cell r="G3329">
            <v>4944244300</v>
          </cell>
          <cell r="H3329">
            <v>487818659</v>
          </cell>
          <cell r="I3329">
            <v>442304453</v>
          </cell>
        </row>
        <row r="3330">
          <cell r="A3330" t="str">
            <v>6322|246000</v>
          </cell>
          <cell r="B3330" t="str">
            <v>6322</v>
          </cell>
          <cell r="C3330">
            <v>246000</v>
          </cell>
          <cell r="D3330">
            <v>41244</v>
          </cell>
          <cell r="E3330">
            <v>2600000</v>
          </cell>
          <cell r="F3330">
            <v>2600000</v>
          </cell>
          <cell r="G3330">
            <v>2500000</v>
          </cell>
          <cell r="H3330">
            <v>216667</v>
          </cell>
          <cell r="I3330">
            <v>0</v>
          </cell>
        </row>
        <row r="3331">
          <cell r="A3331" t="str">
            <v>6322|400040</v>
          </cell>
          <cell r="B3331" t="str">
            <v>6322</v>
          </cell>
          <cell r="C3331">
            <v>400040</v>
          </cell>
          <cell r="D3331">
            <v>41244</v>
          </cell>
          <cell r="E3331">
            <v>400000000</v>
          </cell>
          <cell r="F3331">
            <v>400000000</v>
          </cell>
          <cell r="G3331">
            <v>213873631</v>
          </cell>
          <cell r="H3331">
            <v>33333333</v>
          </cell>
          <cell r="I3331">
            <v>21639803</v>
          </cell>
        </row>
        <row r="3332">
          <cell r="A3332" t="str">
            <v>6322|405200</v>
          </cell>
          <cell r="B3332" t="str">
            <v>6322</v>
          </cell>
          <cell r="C3332">
            <v>405200</v>
          </cell>
          <cell r="D3332">
            <v>41244</v>
          </cell>
          <cell r="E3332">
            <v>0</v>
          </cell>
          <cell r="F3332">
            <v>0</v>
          </cell>
          <cell r="G3332">
            <v>5377095</v>
          </cell>
          <cell r="H3332">
            <v>0</v>
          </cell>
          <cell r="I3332">
            <v>0</v>
          </cell>
        </row>
        <row r="3333">
          <cell r="A3333" t="str">
            <v>6322|405251</v>
          </cell>
          <cell r="B3333" t="str">
            <v>6322</v>
          </cell>
          <cell r="C3333">
            <v>405251</v>
          </cell>
          <cell r="D3333">
            <v>41244</v>
          </cell>
          <cell r="E3333">
            <v>50000000</v>
          </cell>
          <cell r="F3333">
            <v>50000000</v>
          </cell>
          <cell r="G3333">
            <v>88611283</v>
          </cell>
          <cell r="H3333">
            <v>4166667</v>
          </cell>
          <cell r="I3333">
            <v>4048643</v>
          </cell>
        </row>
        <row r="3334">
          <cell r="A3334" t="str">
            <v>6322|420000</v>
          </cell>
          <cell r="B3334" t="str">
            <v>6322</v>
          </cell>
          <cell r="C3334">
            <v>420000</v>
          </cell>
          <cell r="D3334">
            <v>41244</v>
          </cell>
          <cell r="E3334">
            <v>1814408041</v>
          </cell>
          <cell r="F3334">
            <v>1814408041</v>
          </cell>
          <cell r="G3334">
            <v>1165565559</v>
          </cell>
          <cell r="H3334">
            <v>151200670</v>
          </cell>
          <cell r="I3334">
            <v>77836772</v>
          </cell>
        </row>
        <row r="3335">
          <cell r="A3335" t="str">
            <v>6322|420001</v>
          </cell>
          <cell r="B3335" t="str">
            <v>6322</v>
          </cell>
          <cell r="C3335">
            <v>420001</v>
          </cell>
          <cell r="D3335">
            <v>41244</v>
          </cell>
          <cell r="E3335">
            <v>40609408</v>
          </cell>
          <cell r="F3335">
            <v>40609408</v>
          </cell>
          <cell r="G3335">
            <v>14198976</v>
          </cell>
          <cell r="H3335">
            <v>3384117</v>
          </cell>
          <cell r="I3335">
            <v>0</v>
          </cell>
        </row>
        <row r="3336">
          <cell r="A3336" t="str">
            <v>6322|422000</v>
          </cell>
          <cell r="B3336" t="str">
            <v>6322</v>
          </cell>
          <cell r="C3336">
            <v>422000</v>
          </cell>
          <cell r="D3336">
            <v>41244</v>
          </cell>
          <cell r="E3336">
            <v>3694190</v>
          </cell>
          <cell r="F3336">
            <v>3694190</v>
          </cell>
          <cell r="G3336">
            <v>2050665</v>
          </cell>
          <cell r="H3336">
            <v>307849</v>
          </cell>
          <cell r="I3336">
            <v>0</v>
          </cell>
        </row>
        <row r="3337">
          <cell r="A3337" t="str">
            <v>6322|422001</v>
          </cell>
          <cell r="B3337" t="str">
            <v>6322</v>
          </cell>
          <cell r="C3337">
            <v>422001</v>
          </cell>
          <cell r="D3337">
            <v>41244</v>
          </cell>
          <cell r="E3337">
            <v>473799</v>
          </cell>
          <cell r="F3337">
            <v>473799</v>
          </cell>
          <cell r="G3337">
            <v>139129</v>
          </cell>
          <cell r="H3337">
            <v>39483</v>
          </cell>
          <cell r="I3337">
            <v>0</v>
          </cell>
        </row>
        <row r="3338">
          <cell r="A3338" t="str">
            <v>6322|431000</v>
          </cell>
          <cell r="B3338" t="str">
            <v>6322</v>
          </cell>
          <cell r="C3338">
            <v>431000</v>
          </cell>
          <cell r="D3338">
            <v>41244</v>
          </cell>
          <cell r="E3338">
            <v>225000000</v>
          </cell>
          <cell r="F3338">
            <v>225000000</v>
          </cell>
          <cell r="G3338">
            <v>413959861</v>
          </cell>
          <cell r="H3338">
            <v>18750000</v>
          </cell>
          <cell r="I3338">
            <v>44613524</v>
          </cell>
        </row>
        <row r="3339">
          <cell r="A3339" t="str">
            <v>6322|431001</v>
          </cell>
          <cell r="B3339" t="str">
            <v>6322</v>
          </cell>
          <cell r="C3339">
            <v>431001</v>
          </cell>
          <cell r="D3339">
            <v>41244</v>
          </cell>
          <cell r="E3339">
            <v>19210461</v>
          </cell>
          <cell r="F3339">
            <v>19210461</v>
          </cell>
          <cell r="G3339">
            <v>8192716</v>
          </cell>
          <cell r="H3339">
            <v>1600871</v>
          </cell>
          <cell r="I3339">
            <v>0</v>
          </cell>
        </row>
        <row r="3340">
          <cell r="A3340" t="str">
            <v>6322|431002</v>
          </cell>
          <cell r="B3340" t="str">
            <v>6322</v>
          </cell>
          <cell r="C3340">
            <v>431002</v>
          </cell>
          <cell r="D3340">
            <v>41244</v>
          </cell>
          <cell r="E3340">
            <v>0</v>
          </cell>
          <cell r="F3340">
            <v>0</v>
          </cell>
          <cell r="G3340">
            <v>591067</v>
          </cell>
          <cell r="H3340">
            <v>0</v>
          </cell>
          <cell r="I3340">
            <v>0</v>
          </cell>
        </row>
        <row r="3341">
          <cell r="A3341" t="str">
            <v>6322|434010</v>
          </cell>
          <cell r="B3341" t="str">
            <v>6322</v>
          </cell>
          <cell r="C3341">
            <v>434010</v>
          </cell>
          <cell r="D3341">
            <v>41244</v>
          </cell>
          <cell r="E3341">
            <v>43476692</v>
          </cell>
          <cell r="F3341">
            <v>43476692</v>
          </cell>
          <cell r="G3341">
            <v>36502297</v>
          </cell>
          <cell r="H3341">
            <v>3623058</v>
          </cell>
          <cell r="I3341">
            <v>6251903</v>
          </cell>
        </row>
        <row r="3342">
          <cell r="A3342" t="str">
            <v>6322|434011</v>
          </cell>
          <cell r="B3342" t="str">
            <v>6322</v>
          </cell>
          <cell r="C3342">
            <v>434011</v>
          </cell>
          <cell r="D3342">
            <v>41244</v>
          </cell>
          <cell r="E3342">
            <v>4499211</v>
          </cell>
          <cell r="F3342">
            <v>4499211</v>
          </cell>
          <cell r="G3342">
            <v>0</v>
          </cell>
          <cell r="H3342">
            <v>374934</v>
          </cell>
          <cell r="I3342">
            <v>0</v>
          </cell>
        </row>
        <row r="3343">
          <cell r="A3343" t="str">
            <v>6322|434012</v>
          </cell>
          <cell r="B3343" t="str">
            <v>6322</v>
          </cell>
          <cell r="C3343">
            <v>434012</v>
          </cell>
          <cell r="D3343">
            <v>41244</v>
          </cell>
          <cell r="E3343">
            <v>0</v>
          </cell>
          <cell r="F3343">
            <v>0</v>
          </cell>
          <cell r="G3343">
            <v>403933</v>
          </cell>
          <cell r="H3343">
            <v>0</v>
          </cell>
          <cell r="I3343">
            <v>0</v>
          </cell>
        </row>
        <row r="3344">
          <cell r="A3344" t="str">
            <v>6322|435000</v>
          </cell>
          <cell r="B3344" t="str">
            <v>6322</v>
          </cell>
          <cell r="C3344">
            <v>435000</v>
          </cell>
          <cell r="D3344">
            <v>41244</v>
          </cell>
          <cell r="E3344">
            <v>151200670</v>
          </cell>
          <cell r="F3344">
            <v>151200670</v>
          </cell>
          <cell r="G3344">
            <v>80898122</v>
          </cell>
          <cell r="H3344">
            <v>12600056</v>
          </cell>
          <cell r="I3344">
            <v>77987787</v>
          </cell>
        </row>
        <row r="3345">
          <cell r="A3345" t="str">
            <v>6322|435001</v>
          </cell>
          <cell r="B3345" t="str">
            <v>6322</v>
          </cell>
          <cell r="C3345">
            <v>435001</v>
          </cell>
          <cell r="D3345">
            <v>41244</v>
          </cell>
          <cell r="E3345">
            <v>3384117</v>
          </cell>
          <cell r="F3345">
            <v>3384117</v>
          </cell>
          <cell r="G3345">
            <v>0</v>
          </cell>
          <cell r="H3345">
            <v>282010</v>
          </cell>
          <cell r="I3345">
            <v>0</v>
          </cell>
        </row>
        <row r="3346">
          <cell r="A3346" t="str">
            <v>6322|439000</v>
          </cell>
          <cell r="B3346" t="str">
            <v>6322</v>
          </cell>
          <cell r="C3346">
            <v>439000</v>
          </cell>
          <cell r="D3346">
            <v>41244</v>
          </cell>
          <cell r="E3346">
            <v>144251533</v>
          </cell>
          <cell r="F3346">
            <v>144251533</v>
          </cell>
          <cell r="G3346">
            <v>381245933</v>
          </cell>
          <cell r="H3346">
            <v>12020961</v>
          </cell>
          <cell r="I3346">
            <v>0</v>
          </cell>
        </row>
        <row r="3347">
          <cell r="A3347" t="str">
            <v>6322|439001</v>
          </cell>
          <cell r="B3347" t="str">
            <v>6322</v>
          </cell>
          <cell r="C3347">
            <v>439001</v>
          </cell>
          <cell r="D3347">
            <v>41244</v>
          </cell>
          <cell r="E3347">
            <v>5637663</v>
          </cell>
          <cell r="F3347">
            <v>5637663</v>
          </cell>
          <cell r="G3347">
            <v>2223870</v>
          </cell>
          <cell r="H3347">
            <v>469805</v>
          </cell>
          <cell r="I3347">
            <v>0</v>
          </cell>
        </row>
        <row r="3348">
          <cell r="A3348" t="str">
            <v>6322|439008</v>
          </cell>
          <cell r="B3348" t="str">
            <v>6322</v>
          </cell>
          <cell r="C3348">
            <v>439008</v>
          </cell>
          <cell r="D3348">
            <v>41244</v>
          </cell>
          <cell r="E3348">
            <v>0</v>
          </cell>
          <cell r="F3348">
            <v>0</v>
          </cell>
          <cell r="G3348">
            <v>1641184</v>
          </cell>
          <cell r="H3348">
            <v>0</v>
          </cell>
          <cell r="I3348">
            <v>0</v>
          </cell>
        </row>
        <row r="3349">
          <cell r="A3349" t="str">
            <v>6322|439100</v>
          </cell>
          <cell r="B3349" t="str">
            <v>6322</v>
          </cell>
          <cell r="C3349">
            <v>439100</v>
          </cell>
          <cell r="D3349">
            <v>41244</v>
          </cell>
          <cell r="E3349">
            <v>0</v>
          </cell>
          <cell r="F3349">
            <v>0</v>
          </cell>
          <cell r="G3349">
            <v>3000000</v>
          </cell>
          <cell r="H3349">
            <v>0</v>
          </cell>
          <cell r="I3349">
            <v>0</v>
          </cell>
        </row>
        <row r="3350">
          <cell r="A3350" t="str">
            <v>6322|439200</v>
          </cell>
          <cell r="B3350" t="str">
            <v>6322</v>
          </cell>
          <cell r="C3350">
            <v>439200</v>
          </cell>
          <cell r="D3350">
            <v>41244</v>
          </cell>
          <cell r="E3350">
            <v>2706857</v>
          </cell>
          <cell r="F3350">
            <v>2706857</v>
          </cell>
          <cell r="G3350">
            <v>8681000</v>
          </cell>
          <cell r="H3350">
            <v>225571</v>
          </cell>
          <cell r="I3350">
            <v>0</v>
          </cell>
        </row>
        <row r="3351">
          <cell r="A3351" t="str">
            <v>6322|439201</v>
          </cell>
          <cell r="B3351" t="str">
            <v>6322</v>
          </cell>
          <cell r="C3351">
            <v>439201</v>
          </cell>
          <cell r="D3351">
            <v>41244</v>
          </cell>
          <cell r="E3351">
            <v>0</v>
          </cell>
          <cell r="F3351">
            <v>0</v>
          </cell>
          <cell r="G3351">
            <v>90000</v>
          </cell>
          <cell r="H3351">
            <v>0</v>
          </cell>
          <cell r="I3351">
            <v>0</v>
          </cell>
        </row>
        <row r="3352">
          <cell r="A3352" t="str">
            <v>6322|440000</v>
          </cell>
          <cell r="B3352" t="str">
            <v>6322</v>
          </cell>
          <cell r="C3352">
            <v>440000</v>
          </cell>
          <cell r="D3352">
            <v>41244</v>
          </cell>
          <cell r="E3352">
            <v>151200670</v>
          </cell>
          <cell r="F3352">
            <v>151200670</v>
          </cell>
          <cell r="G3352">
            <v>109120388</v>
          </cell>
          <cell r="H3352">
            <v>12600056</v>
          </cell>
          <cell r="I3352">
            <v>11038431</v>
          </cell>
        </row>
        <row r="3353">
          <cell r="A3353" t="str">
            <v>6322|440001</v>
          </cell>
          <cell r="B3353" t="str">
            <v>6322</v>
          </cell>
          <cell r="C3353">
            <v>440001</v>
          </cell>
          <cell r="D3353">
            <v>41244</v>
          </cell>
          <cell r="E3353">
            <v>3384117</v>
          </cell>
          <cell r="F3353">
            <v>3384117</v>
          </cell>
          <cell r="G3353">
            <v>1602578</v>
          </cell>
          <cell r="H3353">
            <v>282010</v>
          </cell>
          <cell r="I3353">
            <v>0</v>
          </cell>
        </row>
        <row r="3354">
          <cell r="A3354" t="str">
            <v>6322|440002</v>
          </cell>
          <cell r="B3354" t="str">
            <v>6322</v>
          </cell>
          <cell r="C3354">
            <v>440002</v>
          </cell>
          <cell r="D3354">
            <v>41244</v>
          </cell>
          <cell r="E3354">
            <v>0</v>
          </cell>
          <cell r="F3354">
            <v>0</v>
          </cell>
          <cell r="G3354">
            <v>577176</v>
          </cell>
          <cell r="H3354">
            <v>0</v>
          </cell>
          <cell r="I3354">
            <v>0</v>
          </cell>
        </row>
        <row r="3355">
          <cell r="A3355" t="str">
            <v>6322|446000</v>
          </cell>
          <cell r="B3355" t="str">
            <v>6322</v>
          </cell>
          <cell r="C3355">
            <v>446000</v>
          </cell>
          <cell r="D3355">
            <v>41244</v>
          </cell>
          <cell r="E3355">
            <v>39076634</v>
          </cell>
          <cell r="F3355">
            <v>39076634</v>
          </cell>
          <cell r="G3355">
            <v>45568733</v>
          </cell>
          <cell r="H3355">
            <v>3256386</v>
          </cell>
          <cell r="I3355">
            <v>2600000</v>
          </cell>
        </row>
        <row r="3356">
          <cell r="A3356" t="str">
            <v>6322|446001</v>
          </cell>
          <cell r="B3356" t="str">
            <v>6322</v>
          </cell>
          <cell r="C3356">
            <v>446001</v>
          </cell>
          <cell r="D3356">
            <v>41244</v>
          </cell>
          <cell r="E3356">
            <v>1692059</v>
          </cell>
          <cell r="F3356">
            <v>1692059</v>
          </cell>
          <cell r="G3356">
            <v>1074196</v>
          </cell>
          <cell r="H3356">
            <v>141005</v>
          </cell>
          <cell r="I3356">
            <v>0</v>
          </cell>
        </row>
        <row r="3357">
          <cell r="A3357" t="str">
            <v>6322|446002</v>
          </cell>
          <cell r="B3357" t="str">
            <v>6322</v>
          </cell>
          <cell r="C3357">
            <v>446002</v>
          </cell>
          <cell r="D3357">
            <v>41244</v>
          </cell>
          <cell r="E3357">
            <v>0</v>
          </cell>
          <cell r="F3357">
            <v>0</v>
          </cell>
          <cell r="G3357">
            <v>192057</v>
          </cell>
          <cell r="H3357">
            <v>0</v>
          </cell>
          <cell r="I3357">
            <v>0</v>
          </cell>
        </row>
        <row r="3358">
          <cell r="A3358" t="str">
            <v>6322|447000</v>
          </cell>
          <cell r="B3358" t="str">
            <v>6322</v>
          </cell>
          <cell r="C3358">
            <v>447000</v>
          </cell>
          <cell r="D3358">
            <v>41244</v>
          </cell>
          <cell r="E3358">
            <v>30392569</v>
          </cell>
          <cell r="F3358">
            <v>30392569</v>
          </cell>
          <cell r="G3358">
            <v>17819048</v>
          </cell>
          <cell r="H3358">
            <v>2532714</v>
          </cell>
          <cell r="I3358">
            <v>1256664</v>
          </cell>
        </row>
        <row r="3359">
          <cell r="A3359" t="str">
            <v>6322|447001</v>
          </cell>
          <cell r="B3359" t="str">
            <v>6322</v>
          </cell>
          <cell r="C3359">
            <v>447001</v>
          </cell>
          <cell r="D3359">
            <v>41244</v>
          </cell>
          <cell r="E3359">
            <v>637568</v>
          </cell>
          <cell r="F3359">
            <v>637568</v>
          </cell>
          <cell r="G3359">
            <v>219124</v>
          </cell>
          <cell r="H3359">
            <v>53131</v>
          </cell>
          <cell r="I3359">
            <v>0</v>
          </cell>
        </row>
        <row r="3360">
          <cell r="A3360" t="str">
            <v>6322|447010</v>
          </cell>
          <cell r="B3360" t="str">
            <v>6322</v>
          </cell>
          <cell r="C3360">
            <v>447010</v>
          </cell>
          <cell r="D3360">
            <v>41244</v>
          </cell>
          <cell r="E3360">
            <v>71625799</v>
          </cell>
          <cell r="F3360">
            <v>71625799</v>
          </cell>
          <cell r="G3360">
            <v>41993907</v>
          </cell>
          <cell r="H3360">
            <v>5968817</v>
          </cell>
          <cell r="I3360">
            <v>2961567</v>
          </cell>
        </row>
        <row r="3361">
          <cell r="A3361" t="str">
            <v>6322|447011</v>
          </cell>
          <cell r="B3361" t="str">
            <v>6322</v>
          </cell>
          <cell r="C3361">
            <v>447011</v>
          </cell>
          <cell r="D3361">
            <v>41244</v>
          </cell>
          <cell r="E3361">
            <v>1502548</v>
          </cell>
          <cell r="F3361">
            <v>1502548</v>
          </cell>
          <cell r="G3361">
            <v>516408</v>
          </cell>
          <cell r="H3361">
            <v>125212</v>
          </cell>
          <cell r="I3361">
            <v>0</v>
          </cell>
        </row>
        <row r="3362">
          <cell r="A3362" t="str">
            <v>6322|447020</v>
          </cell>
          <cell r="B3362" t="str">
            <v>6322</v>
          </cell>
          <cell r="C3362">
            <v>447020</v>
          </cell>
          <cell r="D3362">
            <v>41244</v>
          </cell>
          <cell r="E3362">
            <v>3039257</v>
          </cell>
          <cell r="F3362">
            <v>3039257</v>
          </cell>
          <cell r="G3362">
            <v>1153466</v>
          </cell>
          <cell r="H3362">
            <v>253271</v>
          </cell>
          <cell r="I3362">
            <v>104700</v>
          </cell>
        </row>
        <row r="3363">
          <cell r="A3363" t="str">
            <v>6322|447021</v>
          </cell>
          <cell r="B3363" t="str">
            <v>6322</v>
          </cell>
          <cell r="C3363">
            <v>447021</v>
          </cell>
          <cell r="D3363">
            <v>41244</v>
          </cell>
          <cell r="E3363">
            <v>63757</v>
          </cell>
          <cell r="F3363">
            <v>63757</v>
          </cell>
          <cell r="G3363">
            <v>17854</v>
          </cell>
          <cell r="H3363">
            <v>5313</v>
          </cell>
          <cell r="I3363">
            <v>0</v>
          </cell>
        </row>
        <row r="3364">
          <cell r="A3364" t="str">
            <v>6322|448000</v>
          </cell>
          <cell r="B3364" t="str">
            <v>6322</v>
          </cell>
          <cell r="C3364">
            <v>448000</v>
          </cell>
          <cell r="D3364">
            <v>41244</v>
          </cell>
          <cell r="E3364">
            <v>344917280</v>
          </cell>
          <cell r="F3364">
            <v>344917280</v>
          </cell>
          <cell r="G3364">
            <v>98090823</v>
          </cell>
          <cell r="H3364">
            <v>28743107</v>
          </cell>
          <cell r="I3364">
            <v>6184800</v>
          </cell>
        </row>
        <row r="3365">
          <cell r="A3365" t="str">
            <v>6322|448001</v>
          </cell>
          <cell r="B3365" t="str">
            <v>6322</v>
          </cell>
          <cell r="C3365">
            <v>448001</v>
          </cell>
          <cell r="D3365">
            <v>41244</v>
          </cell>
          <cell r="E3365">
            <v>9098052</v>
          </cell>
          <cell r="F3365">
            <v>9098052</v>
          </cell>
          <cell r="G3365">
            <v>14125564</v>
          </cell>
          <cell r="H3365">
            <v>758171</v>
          </cell>
          <cell r="I3365">
            <v>0</v>
          </cell>
        </row>
        <row r="3366">
          <cell r="A3366" t="str">
            <v>6322|449004</v>
          </cell>
          <cell r="B3366" t="str">
            <v>6322</v>
          </cell>
          <cell r="C3366">
            <v>449004</v>
          </cell>
          <cell r="D3366">
            <v>41244</v>
          </cell>
          <cell r="E3366">
            <v>30000000</v>
          </cell>
          <cell r="F3366">
            <v>30000000</v>
          </cell>
          <cell r="G3366">
            <v>0</v>
          </cell>
          <cell r="H3366">
            <v>2500000</v>
          </cell>
          <cell r="I3366">
            <v>0</v>
          </cell>
        </row>
        <row r="3367">
          <cell r="A3367" t="str">
            <v>6322|449020</v>
          </cell>
          <cell r="B3367" t="str">
            <v>6322</v>
          </cell>
          <cell r="C3367">
            <v>449020</v>
          </cell>
          <cell r="D3367">
            <v>41244</v>
          </cell>
          <cell r="E3367">
            <v>170280000</v>
          </cell>
          <cell r="F3367">
            <v>170280000</v>
          </cell>
          <cell r="G3367">
            <v>172188000</v>
          </cell>
          <cell r="H3367">
            <v>14190000</v>
          </cell>
          <cell r="I3367">
            <v>13743500</v>
          </cell>
        </row>
        <row r="3368">
          <cell r="A3368" t="str">
            <v>6322|449025</v>
          </cell>
          <cell r="B3368" t="str">
            <v>6322</v>
          </cell>
          <cell r="C3368">
            <v>449025</v>
          </cell>
          <cell r="D3368">
            <v>41244</v>
          </cell>
          <cell r="E3368">
            <v>3960000</v>
          </cell>
          <cell r="F3368">
            <v>3960000</v>
          </cell>
          <cell r="G3368">
            <v>1395000</v>
          </cell>
          <cell r="H3368">
            <v>330000</v>
          </cell>
          <cell r="I3368">
            <v>0</v>
          </cell>
        </row>
        <row r="3369">
          <cell r="A3369" t="str">
            <v>6322|449032</v>
          </cell>
          <cell r="B3369" t="str">
            <v>6322</v>
          </cell>
          <cell r="C3369">
            <v>449032</v>
          </cell>
          <cell r="D3369">
            <v>41244</v>
          </cell>
          <cell r="E3369">
            <v>27325000</v>
          </cell>
          <cell r="F3369">
            <v>27325000</v>
          </cell>
          <cell r="G3369">
            <v>26698644</v>
          </cell>
          <cell r="H3369">
            <v>2277079</v>
          </cell>
          <cell r="I3369">
            <v>9740000</v>
          </cell>
        </row>
        <row r="3370">
          <cell r="A3370" t="str">
            <v>6322|449060</v>
          </cell>
          <cell r="B3370" t="str">
            <v>6322</v>
          </cell>
          <cell r="C3370">
            <v>449060</v>
          </cell>
          <cell r="D3370">
            <v>41244</v>
          </cell>
          <cell r="E3370">
            <v>14800000</v>
          </cell>
          <cell r="F3370">
            <v>14800000</v>
          </cell>
          <cell r="G3370">
            <v>18278801</v>
          </cell>
          <cell r="H3370">
            <v>1233333</v>
          </cell>
          <cell r="I3370">
            <v>4105388</v>
          </cell>
        </row>
        <row r="3371">
          <cell r="A3371" t="str">
            <v>6322|449061</v>
          </cell>
          <cell r="B3371" t="str">
            <v>6322</v>
          </cell>
          <cell r="C3371">
            <v>449061</v>
          </cell>
          <cell r="D3371">
            <v>41244</v>
          </cell>
          <cell r="E3371">
            <v>2602400</v>
          </cell>
          <cell r="F3371">
            <v>2602400</v>
          </cell>
          <cell r="G3371">
            <v>6708900</v>
          </cell>
          <cell r="H3371">
            <v>216867</v>
          </cell>
          <cell r="I3371">
            <v>2947800</v>
          </cell>
        </row>
        <row r="3372">
          <cell r="A3372" t="str">
            <v>6322|451000</v>
          </cell>
          <cell r="B3372" t="str">
            <v>6322</v>
          </cell>
          <cell r="C3372">
            <v>451000</v>
          </cell>
          <cell r="D3372">
            <v>41244</v>
          </cell>
          <cell r="E3372">
            <v>11027200</v>
          </cell>
          <cell r="F3372">
            <v>11027200</v>
          </cell>
          <cell r="G3372">
            <v>10843900</v>
          </cell>
          <cell r="H3372">
            <v>918933</v>
          </cell>
          <cell r="I3372">
            <v>0</v>
          </cell>
        </row>
        <row r="3373">
          <cell r="A3373" t="str">
            <v>6322|452000</v>
          </cell>
          <cell r="B3373" t="str">
            <v>6322</v>
          </cell>
          <cell r="C3373">
            <v>452000</v>
          </cell>
          <cell r="D3373">
            <v>41244</v>
          </cell>
          <cell r="E3373">
            <v>217000000</v>
          </cell>
          <cell r="F3373">
            <v>217000000</v>
          </cell>
          <cell r="G3373">
            <v>230739500</v>
          </cell>
          <cell r="H3373">
            <v>18083334</v>
          </cell>
          <cell r="I3373">
            <v>95951398</v>
          </cell>
        </row>
        <row r="3374">
          <cell r="A3374" t="str">
            <v>6322|452001</v>
          </cell>
          <cell r="B3374" t="str">
            <v>6322</v>
          </cell>
          <cell r="C3374">
            <v>452001</v>
          </cell>
          <cell r="D3374">
            <v>41244</v>
          </cell>
          <cell r="E3374">
            <v>165200000</v>
          </cell>
          <cell r="F3374">
            <v>165200000</v>
          </cell>
          <cell r="G3374">
            <v>318503834</v>
          </cell>
          <cell r="H3374">
            <v>13766667</v>
          </cell>
          <cell r="I3374">
            <v>133733852</v>
          </cell>
        </row>
        <row r="3375">
          <cell r="A3375" t="str">
            <v>6322|455000</v>
          </cell>
          <cell r="B3375" t="str">
            <v>6322</v>
          </cell>
          <cell r="C3375">
            <v>455000</v>
          </cell>
          <cell r="D3375">
            <v>41244</v>
          </cell>
          <cell r="E3375">
            <v>7000000</v>
          </cell>
          <cell r="F3375">
            <v>7000000</v>
          </cell>
          <cell r="G3375">
            <v>57818172</v>
          </cell>
          <cell r="H3375">
            <v>583333</v>
          </cell>
          <cell r="I3375">
            <v>0</v>
          </cell>
        </row>
        <row r="3376">
          <cell r="A3376" t="str">
            <v>6322|455001</v>
          </cell>
          <cell r="B3376" t="str">
            <v>6322</v>
          </cell>
          <cell r="C3376">
            <v>455001</v>
          </cell>
          <cell r="D3376">
            <v>41244</v>
          </cell>
          <cell r="E3376">
            <v>7900000</v>
          </cell>
          <cell r="F3376">
            <v>7900000</v>
          </cell>
          <cell r="G3376">
            <v>7125000</v>
          </cell>
          <cell r="H3376">
            <v>658333</v>
          </cell>
          <cell r="I3376">
            <v>0</v>
          </cell>
        </row>
        <row r="3377">
          <cell r="A3377" t="str">
            <v>6322|455002</v>
          </cell>
          <cell r="B3377" t="str">
            <v>6322</v>
          </cell>
          <cell r="C3377">
            <v>455002</v>
          </cell>
          <cell r="D3377">
            <v>41244</v>
          </cell>
          <cell r="E3377">
            <v>50000000</v>
          </cell>
          <cell r="F3377">
            <v>50000000</v>
          </cell>
          <cell r="G3377">
            <v>37317828</v>
          </cell>
          <cell r="H3377">
            <v>4166667</v>
          </cell>
          <cell r="I3377">
            <v>3469037</v>
          </cell>
        </row>
        <row r="3378">
          <cell r="A3378" t="str">
            <v>6322|459005</v>
          </cell>
          <cell r="B3378" t="str">
            <v>6322</v>
          </cell>
          <cell r="C3378">
            <v>459005</v>
          </cell>
          <cell r="D3378">
            <v>41244</v>
          </cell>
          <cell r="E3378">
            <v>1100000</v>
          </cell>
          <cell r="F3378">
            <v>1100000</v>
          </cell>
          <cell r="G3378">
            <v>739600</v>
          </cell>
          <cell r="H3378">
            <v>91665</v>
          </cell>
          <cell r="I3378">
            <v>0</v>
          </cell>
        </row>
        <row r="3379">
          <cell r="A3379" t="str">
            <v>6322|473120</v>
          </cell>
          <cell r="B3379" t="str">
            <v>6322</v>
          </cell>
          <cell r="C3379">
            <v>473120</v>
          </cell>
          <cell r="D3379">
            <v>41244</v>
          </cell>
          <cell r="E3379">
            <v>0</v>
          </cell>
          <cell r="F3379">
            <v>0</v>
          </cell>
          <cell r="G3379">
            <v>2027931</v>
          </cell>
          <cell r="H3379">
            <v>0</v>
          </cell>
          <cell r="I3379">
            <v>0</v>
          </cell>
        </row>
        <row r="3380">
          <cell r="A3380" t="str">
            <v>6322|476000</v>
          </cell>
          <cell r="B3380" t="str">
            <v>6322</v>
          </cell>
          <cell r="C3380">
            <v>476000</v>
          </cell>
          <cell r="D3380">
            <v>41244</v>
          </cell>
          <cell r="E3380">
            <v>1363200</v>
          </cell>
          <cell r="F3380">
            <v>1363200</v>
          </cell>
          <cell r="G3380">
            <v>1278000</v>
          </cell>
          <cell r="H3380">
            <v>113600</v>
          </cell>
          <cell r="I3380">
            <v>0</v>
          </cell>
        </row>
        <row r="3381">
          <cell r="A3381" t="str">
            <v>6322|476223</v>
          </cell>
          <cell r="B3381" t="str">
            <v>6322</v>
          </cell>
          <cell r="C3381">
            <v>476223</v>
          </cell>
          <cell r="D3381">
            <v>41244</v>
          </cell>
          <cell r="E3381">
            <v>3018358</v>
          </cell>
          <cell r="F3381">
            <v>3018358</v>
          </cell>
          <cell r="G3381">
            <v>3018358</v>
          </cell>
          <cell r="H3381">
            <v>251530</v>
          </cell>
          <cell r="I3381">
            <v>3018358</v>
          </cell>
        </row>
        <row r="3382">
          <cell r="A3382" t="str">
            <v>6325|449060</v>
          </cell>
          <cell r="B3382" t="str">
            <v>6325</v>
          </cell>
          <cell r="C3382">
            <v>449060</v>
          </cell>
          <cell r="D3382">
            <v>41244</v>
          </cell>
          <cell r="E3382">
            <v>0</v>
          </cell>
          <cell r="F3382">
            <v>0</v>
          </cell>
          <cell r="G3382">
            <v>136319</v>
          </cell>
          <cell r="H3382">
            <v>0</v>
          </cell>
          <cell r="I3382">
            <v>0</v>
          </cell>
        </row>
        <row r="3383">
          <cell r="A3383" t="str">
            <v>6326|211104</v>
          </cell>
          <cell r="B3383" t="str">
            <v>6326</v>
          </cell>
          <cell r="C3383">
            <v>211104</v>
          </cell>
          <cell r="D3383">
            <v>41244</v>
          </cell>
          <cell r="E3383">
            <v>0</v>
          </cell>
          <cell r="F3383">
            <v>0</v>
          </cell>
          <cell r="G3383">
            <v>520833</v>
          </cell>
          <cell r="H3383">
            <v>0</v>
          </cell>
          <cell r="I3383">
            <v>104166</v>
          </cell>
        </row>
        <row r="3384">
          <cell r="A3384" t="str">
            <v>6326|400040</v>
          </cell>
          <cell r="B3384" t="str">
            <v>6326</v>
          </cell>
          <cell r="C3384">
            <v>400040</v>
          </cell>
          <cell r="D3384">
            <v>41244</v>
          </cell>
          <cell r="E3384">
            <v>25000000</v>
          </cell>
          <cell r="F3384">
            <v>25000000</v>
          </cell>
          <cell r="G3384">
            <v>83732366</v>
          </cell>
          <cell r="H3384">
            <v>2083333</v>
          </cell>
          <cell r="I3384">
            <v>10505435</v>
          </cell>
        </row>
        <row r="3385">
          <cell r="A3385" t="str">
            <v>6326|405200</v>
          </cell>
          <cell r="B3385" t="str">
            <v>6326</v>
          </cell>
          <cell r="C3385">
            <v>405200</v>
          </cell>
          <cell r="D3385">
            <v>41244</v>
          </cell>
          <cell r="E3385">
            <v>11000000</v>
          </cell>
          <cell r="F3385">
            <v>11000000</v>
          </cell>
          <cell r="G3385">
            <v>0</v>
          </cell>
          <cell r="H3385">
            <v>916667</v>
          </cell>
          <cell r="I3385">
            <v>0</v>
          </cell>
        </row>
        <row r="3386">
          <cell r="A3386" t="str">
            <v>6326|431000</v>
          </cell>
          <cell r="B3386" t="str">
            <v>6326</v>
          </cell>
          <cell r="C3386">
            <v>431000</v>
          </cell>
          <cell r="D3386">
            <v>41244</v>
          </cell>
          <cell r="E3386">
            <v>25000000</v>
          </cell>
          <cell r="F3386">
            <v>25000000</v>
          </cell>
          <cell r="G3386">
            <v>21423500</v>
          </cell>
          <cell r="H3386">
            <v>2083333</v>
          </cell>
          <cell r="I3386">
            <v>13891892</v>
          </cell>
        </row>
        <row r="3387">
          <cell r="A3387" t="str">
            <v>6326|448001</v>
          </cell>
          <cell r="B3387" t="str">
            <v>6326</v>
          </cell>
          <cell r="C3387">
            <v>448001</v>
          </cell>
          <cell r="D3387">
            <v>41244</v>
          </cell>
          <cell r="E3387">
            <v>0</v>
          </cell>
          <cell r="F3387">
            <v>0</v>
          </cell>
          <cell r="G3387">
            <v>10007720</v>
          </cell>
          <cell r="H3387">
            <v>0</v>
          </cell>
          <cell r="I3387">
            <v>0</v>
          </cell>
        </row>
        <row r="3388">
          <cell r="A3388" t="str">
            <v>6326|449004</v>
          </cell>
          <cell r="B3388" t="str">
            <v>6326</v>
          </cell>
          <cell r="C3388">
            <v>449004</v>
          </cell>
          <cell r="D3388">
            <v>41244</v>
          </cell>
          <cell r="E3388">
            <v>3000000</v>
          </cell>
          <cell r="F3388">
            <v>3000000</v>
          </cell>
          <cell r="G3388">
            <v>0</v>
          </cell>
          <cell r="H3388">
            <v>250000</v>
          </cell>
          <cell r="I3388">
            <v>0</v>
          </cell>
        </row>
        <row r="3389">
          <cell r="A3389" t="str">
            <v>6326|449060</v>
          </cell>
          <cell r="B3389" t="str">
            <v>6326</v>
          </cell>
          <cell r="C3389">
            <v>449060</v>
          </cell>
          <cell r="D3389">
            <v>41244</v>
          </cell>
          <cell r="E3389">
            <v>2800000</v>
          </cell>
          <cell r="F3389">
            <v>2800000</v>
          </cell>
          <cell r="G3389">
            <v>932108</v>
          </cell>
          <cell r="H3389">
            <v>233333</v>
          </cell>
          <cell r="I3389">
            <v>20485</v>
          </cell>
        </row>
        <row r="3390">
          <cell r="A3390" t="str">
            <v>6326|449061</v>
          </cell>
          <cell r="B3390" t="str">
            <v>6326</v>
          </cell>
          <cell r="C3390">
            <v>449061</v>
          </cell>
          <cell r="D3390">
            <v>41244</v>
          </cell>
          <cell r="E3390">
            <v>594000</v>
          </cell>
          <cell r="F3390">
            <v>594000</v>
          </cell>
          <cell r="G3390">
            <v>1255800</v>
          </cell>
          <cell r="H3390">
            <v>49500</v>
          </cell>
          <cell r="I3390">
            <v>902400</v>
          </cell>
        </row>
        <row r="3391">
          <cell r="A3391" t="str">
            <v>6326|452000</v>
          </cell>
          <cell r="B3391" t="str">
            <v>6326</v>
          </cell>
          <cell r="C3391">
            <v>452000</v>
          </cell>
          <cell r="D3391">
            <v>41244</v>
          </cell>
          <cell r="E3391">
            <v>4500000</v>
          </cell>
          <cell r="F3391">
            <v>4500000</v>
          </cell>
          <cell r="G3391">
            <v>2330000</v>
          </cell>
          <cell r="H3391">
            <v>375000</v>
          </cell>
          <cell r="I3391">
            <v>0</v>
          </cell>
        </row>
        <row r="3392">
          <cell r="A3392" t="str">
            <v>6326|452001</v>
          </cell>
          <cell r="B3392" t="str">
            <v>6326</v>
          </cell>
          <cell r="C3392">
            <v>452001</v>
          </cell>
          <cell r="D3392">
            <v>41244</v>
          </cell>
          <cell r="E3392">
            <v>103000000</v>
          </cell>
          <cell r="F3392">
            <v>103000000</v>
          </cell>
          <cell r="G3392">
            <v>0</v>
          </cell>
          <cell r="H3392">
            <v>8583334</v>
          </cell>
          <cell r="I3392">
            <v>0</v>
          </cell>
        </row>
        <row r="3393">
          <cell r="A3393" t="str">
            <v>6326|455000</v>
          </cell>
          <cell r="B3393" t="str">
            <v>6326</v>
          </cell>
          <cell r="C3393">
            <v>455000</v>
          </cell>
          <cell r="D3393">
            <v>41244</v>
          </cell>
          <cell r="E3393">
            <v>0</v>
          </cell>
          <cell r="F3393">
            <v>0</v>
          </cell>
          <cell r="G3393">
            <v>18209014</v>
          </cell>
          <cell r="H3393">
            <v>0</v>
          </cell>
          <cell r="I3393">
            <v>0</v>
          </cell>
        </row>
        <row r="3394">
          <cell r="A3394" t="str">
            <v>6326|455001</v>
          </cell>
          <cell r="B3394" t="str">
            <v>6326</v>
          </cell>
          <cell r="C3394">
            <v>455001</v>
          </cell>
          <cell r="D3394">
            <v>41244</v>
          </cell>
          <cell r="E3394">
            <v>55000000</v>
          </cell>
          <cell r="F3394">
            <v>55000000</v>
          </cell>
          <cell r="G3394">
            <v>0</v>
          </cell>
          <cell r="H3394">
            <v>4583333</v>
          </cell>
          <cell r="I3394">
            <v>0</v>
          </cell>
        </row>
        <row r="3395">
          <cell r="A3395" t="str">
            <v>6326|455002</v>
          </cell>
          <cell r="B3395" t="str">
            <v>6326</v>
          </cell>
          <cell r="C3395">
            <v>455002</v>
          </cell>
          <cell r="D3395">
            <v>41244</v>
          </cell>
          <cell r="E3395">
            <v>35000000</v>
          </cell>
          <cell r="F3395">
            <v>35000000</v>
          </cell>
          <cell r="G3395">
            <v>15618000</v>
          </cell>
          <cell r="H3395">
            <v>2916667</v>
          </cell>
          <cell r="I3395">
            <v>12055500</v>
          </cell>
        </row>
        <row r="3396">
          <cell r="A3396" t="str">
            <v>6326|470101</v>
          </cell>
          <cell r="B3396" t="str">
            <v>6326</v>
          </cell>
          <cell r="C3396">
            <v>470101</v>
          </cell>
          <cell r="D3396">
            <v>41244</v>
          </cell>
          <cell r="E3396">
            <v>0</v>
          </cell>
          <cell r="F3396">
            <v>0</v>
          </cell>
          <cell r="G3396">
            <v>475400</v>
          </cell>
          <cell r="H3396">
            <v>0</v>
          </cell>
          <cell r="I3396">
            <v>0</v>
          </cell>
        </row>
        <row r="3397">
          <cell r="A3397" t="str">
            <v>6326|470102</v>
          </cell>
          <cell r="B3397" t="str">
            <v>6326</v>
          </cell>
          <cell r="C3397">
            <v>470102</v>
          </cell>
          <cell r="D3397">
            <v>41244</v>
          </cell>
          <cell r="E3397">
            <v>0</v>
          </cell>
          <cell r="F3397">
            <v>0</v>
          </cell>
          <cell r="G3397">
            <v>562200</v>
          </cell>
          <cell r="H3397">
            <v>0</v>
          </cell>
          <cell r="I3397">
            <v>0</v>
          </cell>
        </row>
        <row r="3398">
          <cell r="A3398" t="str">
            <v>6326|471000</v>
          </cell>
          <cell r="B3398" t="str">
            <v>6326</v>
          </cell>
          <cell r="C3398">
            <v>471000</v>
          </cell>
          <cell r="D3398">
            <v>41244</v>
          </cell>
          <cell r="E3398">
            <v>15000000</v>
          </cell>
          <cell r="F3398">
            <v>15000000</v>
          </cell>
          <cell r="G3398">
            <v>2382650</v>
          </cell>
          <cell r="H3398">
            <v>1250000</v>
          </cell>
          <cell r="I3398">
            <v>2382650</v>
          </cell>
        </row>
        <row r="3399">
          <cell r="A3399" t="str">
            <v>6326|476220</v>
          </cell>
          <cell r="B3399" t="str">
            <v>6326</v>
          </cell>
          <cell r="C3399">
            <v>476220</v>
          </cell>
          <cell r="D3399">
            <v>41244</v>
          </cell>
          <cell r="E3399">
            <v>3150000</v>
          </cell>
          <cell r="F3399">
            <v>3150000</v>
          </cell>
          <cell r="G3399">
            <v>1509179</v>
          </cell>
          <cell r="H3399">
            <v>262500</v>
          </cell>
          <cell r="I3399">
            <v>1509179</v>
          </cell>
        </row>
        <row r="3400">
          <cell r="A3400" t="str">
            <v>6327|211100</v>
          </cell>
          <cell r="B3400" t="str">
            <v>6327</v>
          </cell>
          <cell r="C3400">
            <v>211100</v>
          </cell>
          <cell r="D3400">
            <v>41244</v>
          </cell>
          <cell r="E3400">
            <v>0</v>
          </cell>
          <cell r="F3400">
            <v>0</v>
          </cell>
          <cell r="G3400">
            <v>0</v>
          </cell>
          <cell r="H3400">
            <v>0</v>
          </cell>
          <cell r="I3400">
            <v>0</v>
          </cell>
        </row>
        <row r="3401">
          <cell r="A3401" t="str">
            <v>6327|211104</v>
          </cell>
          <cell r="B3401" t="str">
            <v>6327</v>
          </cell>
          <cell r="C3401">
            <v>211104</v>
          </cell>
          <cell r="D3401">
            <v>41244</v>
          </cell>
          <cell r="E3401">
            <v>143468429</v>
          </cell>
          <cell r="F3401">
            <v>143468429</v>
          </cell>
          <cell r="G3401">
            <v>143468429</v>
          </cell>
          <cell r="H3401">
            <v>11955702</v>
          </cell>
          <cell r="I3401">
            <v>11955702</v>
          </cell>
        </row>
        <row r="3402">
          <cell r="A3402" t="str">
            <v>6327|400040</v>
          </cell>
          <cell r="B3402" t="str">
            <v>6327</v>
          </cell>
          <cell r="C3402">
            <v>400040</v>
          </cell>
          <cell r="D3402">
            <v>41244</v>
          </cell>
          <cell r="E3402">
            <v>2200000</v>
          </cell>
          <cell r="F3402">
            <v>2200000</v>
          </cell>
          <cell r="G3402">
            <v>0</v>
          </cell>
          <cell r="H3402">
            <v>183333</v>
          </cell>
          <cell r="I3402">
            <v>0</v>
          </cell>
        </row>
        <row r="3403">
          <cell r="A3403" t="str">
            <v>6327|420000</v>
          </cell>
          <cell r="B3403" t="str">
            <v>6327</v>
          </cell>
          <cell r="C3403">
            <v>420000</v>
          </cell>
          <cell r="D3403">
            <v>41244</v>
          </cell>
          <cell r="E3403">
            <v>81551236</v>
          </cell>
          <cell r="F3403">
            <v>81551236</v>
          </cell>
          <cell r="G3403">
            <v>38575936</v>
          </cell>
          <cell r="H3403">
            <v>6795936</v>
          </cell>
          <cell r="I3403">
            <v>3072720</v>
          </cell>
        </row>
        <row r="3404">
          <cell r="A3404" t="str">
            <v>6327|422000</v>
          </cell>
          <cell r="B3404" t="str">
            <v>6327</v>
          </cell>
          <cell r="C3404">
            <v>422000</v>
          </cell>
          <cell r="D3404">
            <v>41244</v>
          </cell>
          <cell r="E3404">
            <v>27458</v>
          </cell>
          <cell r="F3404">
            <v>27458</v>
          </cell>
          <cell r="G3404">
            <v>0</v>
          </cell>
          <cell r="H3404">
            <v>2288</v>
          </cell>
          <cell r="I3404">
            <v>0</v>
          </cell>
        </row>
        <row r="3405">
          <cell r="A3405" t="str">
            <v>6327|431000</v>
          </cell>
          <cell r="B3405" t="str">
            <v>6327</v>
          </cell>
          <cell r="C3405">
            <v>431000</v>
          </cell>
          <cell r="D3405">
            <v>41244</v>
          </cell>
          <cell r="E3405">
            <v>2000000</v>
          </cell>
          <cell r="F3405">
            <v>2000000</v>
          </cell>
          <cell r="G3405">
            <v>578432</v>
          </cell>
          <cell r="H3405">
            <v>166667</v>
          </cell>
          <cell r="I3405">
            <v>0</v>
          </cell>
        </row>
        <row r="3406">
          <cell r="A3406" t="str">
            <v>6327|434010</v>
          </cell>
          <cell r="B3406" t="str">
            <v>6327</v>
          </cell>
          <cell r="C3406">
            <v>434010</v>
          </cell>
          <cell r="D3406">
            <v>41244</v>
          </cell>
          <cell r="E3406">
            <v>4091277</v>
          </cell>
          <cell r="F3406">
            <v>4091277</v>
          </cell>
          <cell r="G3406">
            <v>1837184</v>
          </cell>
          <cell r="H3406">
            <v>340940</v>
          </cell>
          <cell r="I3406">
            <v>189452</v>
          </cell>
        </row>
        <row r="3407">
          <cell r="A3407" t="str">
            <v>6327|435000</v>
          </cell>
          <cell r="B3407" t="str">
            <v>6327</v>
          </cell>
          <cell r="C3407">
            <v>435000</v>
          </cell>
          <cell r="D3407">
            <v>41244</v>
          </cell>
          <cell r="E3407">
            <v>6795936</v>
          </cell>
          <cell r="F3407">
            <v>6795936</v>
          </cell>
          <cell r="G3407">
            <v>3164170</v>
          </cell>
          <cell r="H3407">
            <v>566328</v>
          </cell>
          <cell r="I3407">
            <v>3164170</v>
          </cell>
        </row>
        <row r="3408">
          <cell r="A3408" t="str">
            <v>6327|439000</v>
          </cell>
          <cell r="B3408" t="str">
            <v>6327</v>
          </cell>
          <cell r="C3408">
            <v>439000</v>
          </cell>
          <cell r="D3408">
            <v>41244</v>
          </cell>
          <cell r="E3408">
            <v>9696845</v>
          </cell>
          <cell r="F3408">
            <v>9696845</v>
          </cell>
          <cell r="G3408">
            <v>10049962</v>
          </cell>
          <cell r="H3408">
            <v>808070</v>
          </cell>
          <cell r="I3408">
            <v>0</v>
          </cell>
        </row>
        <row r="3409">
          <cell r="A3409" t="str">
            <v>6327|439200</v>
          </cell>
          <cell r="B3409" t="str">
            <v>6327</v>
          </cell>
          <cell r="C3409">
            <v>439200</v>
          </cell>
          <cell r="D3409">
            <v>41244</v>
          </cell>
          <cell r="E3409">
            <v>178286</v>
          </cell>
          <cell r="F3409">
            <v>178286</v>
          </cell>
          <cell r="G3409">
            <v>176000</v>
          </cell>
          <cell r="H3409">
            <v>14857</v>
          </cell>
          <cell r="I3409">
            <v>0</v>
          </cell>
        </row>
        <row r="3410">
          <cell r="A3410" t="str">
            <v>6327|440000</v>
          </cell>
          <cell r="B3410" t="str">
            <v>6327</v>
          </cell>
          <cell r="C3410">
            <v>440000</v>
          </cell>
          <cell r="D3410">
            <v>41244</v>
          </cell>
          <cell r="E3410">
            <v>6795936</v>
          </cell>
          <cell r="F3410">
            <v>6795936</v>
          </cell>
          <cell r="G3410">
            <v>3546910</v>
          </cell>
          <cell r="H3410">
            <v>566328</v>
          </cell>
          <cell r="I3410">
            <v>334498</v>
          </cell>
        </row>
        <row r="3411">
          <cell r="A3411" t="str">
            <v>6327|446000</v>
          </cell>
          <cell r="B3411" t="str">
            <v>6327</v>
          </cell>
          <cell r="C3411">
            <v>446000</v>
          </cell>
          <cell r="D3411">
            <v>41244</v>
          </cell>
          <cell r="E3411">
            <v>3397968</v>
          </cell>
          <cell r="F3411">
            <v>3397968</v>
          </cell>
          <cell r="G3411">
            <v>1496227</v>
          </cell>
          <cell r="H3411">
            <v>283164</v>
          </cell>
          <cell r="I3411">
            <v>150000</v>
          </cell>
        </row>
        <row r="3412">
          <cell r="A3412" t="str">
            <v>6327|447000</v>
          </cell>
          <cell r="B3412" t="str">
            <v>6327</v>
          </cell>
          <cell r="C3412">
            <v>447000</v>
          </cell>
          <cell r="D3412">
            <v>41244</v>
          </cell>
          <cell r="E3412">
            <v>1280354</v>
          </cell>
          <cell r="F3412">
            <v>1280354</v>
          </cell>
          <cell r="G3412">
            <v>590880</v>
          </cell>
          <cell r="H3412">
            <v>106696</v>
          </cell>
          <cell r="I3412">
            <v>49678</v>
          </cell>
        </row>
        <row r="3413">
          <cell r="A3413" t="str">
            <v>6327|447010</v>
          </cell>
          <cell r="B3413" t="str">
            <v>6327</v>
          </cell>
          <cell r="C3413">
            <v>447010</v>
          </cell>
          <cell r="D3413">
            <v>41244</v>
          </cell>
          <cell r="E3413">
            <v>3017396</v>
          </cell>
          <cell r="F3413">
            <v>3017396</v>
          </cell>
          <cell r="G3413">
            <v>1392522</v>
          </cell>
          <cell r="H3413">
            <v>251450</v>
          </cell>
          <cell r="I3413">
            <v>117074</v>
          </cell>
        </row>
        <row r="3414">
          <cell r="A3414" t="str">
            <v>6327|447020</v>
          </cell>
          <cell r="B3414" t="str">
            <v>6327</v>
          </cell>
          <cell r="C3414">
            <v>447020</v>
          </cell>
          <cell r="D3414">
            <v>41244</v>
          </cell>
          <cell r="E3414">
            <v>128035</v>
          </cell>
          <cell r="F3414">
            <v>128035</v>
          </cell>
          <cell r="G3414">
            <v>29447</v>
          </cell>
          <cell r="H3414">
            <v>10670</v>
          </cell>
          <cell r="I3414">
            <v>2500</v>
          </cell>
        </row>
        <row r="3415">
          <cell r="A3415" t="str">
            <v>6327|448000</v>
          </cell>
          <cell r="B3415" t="str">
            <v>6327</v>
          </cell>
          <cell r="C3415">
            <v>448000</v>
          </cell>
          <cell r="D3415">
            <v>41244</v>
          </cell>
          <cell r="E3415">
            <v>15623827</v>
          </cell>
          <cell r="F3415">
            <v>15623827</v>
          </cell>
          <cell r="G3415">
            <v>7694100</v>
          </cell>
          <cell r="H3415">
            <v>1301986</v>
          </cell>
          <cell r="I3415">
            <v>582000</v>
          </cell>
        </row>
        <row r="3416">
          <cell r="A3416" t="str">
            <v>6327|449020</v>
          </cell>
          <cell r="B3416" t="str">
            <v>6327</v>
          </cell>
          <cell r="C3416">
            <v>449020</v>
          </cell>
          <cell r="D3416">
            <v>41244</v>
          </cell>
          <cell r="E3416">
            <v>7920000</v>
          </cell>
          <cell r="F3416">
            <v>7920000</v>
          </cell>
          <cell r="G3416">
            <v>3956000</v>
          </cell>
          <cell r="H3416">
            <v>660000</v>
          </cell>
          <cell r="I3416">
            <v>357000</v>
          </cell>
        </row>
        <row r="3417">
          <cell r="A3417" t="str">
            <v>6410|211104</v>
          </cell>
          <cell r="B3417" t="str">
            <v>6410</v>
          </cell>
          <cell r="C3417">
            <v>211104</v>
          </cell>
          <cell r="D3417">
            <v>41244</v>
          </cell>
          <cell r="E3417">
            <v>92823201</v>
          </cell>
          <cell r="F3417">
            <v>92823201</v>
          </cell>
          <cell r="G3417">
            <v>76472011</v>
          </cell>
          <cell r="H3417">
            <v>7735267</v>
          </cell>
          <cell r="I3417">
            <v>6372667</v>
          </cell>
        </row>
        <row r="3418">
          <cell r="A3418" t="str">
            <v>6410|400040</v>
          </cell>
          <cell r="B3418" t="str">
            <v>6410</v>
          </cell>
          <cell r="C3418">
            <v>400040</v>
          </cell>
          <cell r="D3418">
            <v>41244</v>
          </cell>
          <cell r="E3418">
            <v>2500000</v>
          </cell>
          <cell r="F3418">
            <v>2500000</v>
          </cell>
          <cell r="G3418">
            <v>2676322</v>
          </cell>
          <cell r="H3418">
            <v>208333</v>
          </cell>
          <cell r="I3418">
            <v>0</v>
          </cell>
        </row>
        <row r="3419">
          <cell r="A3419" t="str">
            <v>6410|420000</v>
          </cell>
          <cell r="B3419" t="str">
            <v>6410</v>
          </cell>
          <cell r="C3419">
            <v>420000</v>
          </cell>
          <cell r="D3419">
            <v>41244</v>
          </cell>
          <cell r="E3419">
            <v>213911542</v>
          </cell>
          <cell r="F3419">
            <v>213911542</v>
          </cell>
          <cell r="G3419">
            <v>59172000</v>
          </cell>
          <cell r="H3419">
            <v>17825962</v>
          </cell>
          <cell r="I3419">
            <v>0</v>
          </cell>
        </row>
        <row r="3420">
          <cell r="A3420" t="str">
            <v>6410|420003</v>
          </cell>
          <cell r="B3420" t="str">
            <v>6410</v>
          </cell>
          <cell r="C3420">
            <v>420003</v>
          </cell>
          <cell r="D3420">
            <v>41244</v>
          </cell>
          <cell r="E3420">
            <v>231101892</v>
          </cell>
          <cell r="F3420">
            <v>231101892</v>
          </cell>
          <cell r="G3420">
            <v>227687156</v>
          </cell>
          <cell r="H3420">
            <v>19258491</v>
          </cell>
          <cell r="I3420">
            <v>19094022</v>
          </cell>
        </row>
        <row r="3421">
          <cell r="A3421" t="str">
            <v>6410|422000</v>
          </cell>
          <cell r="B3421" t="str">
            <v>6410</v>
          </cell>
          <cell r="C3421">
            <v>422000</v>
          </cell>
          <cell r="D3421">
            <v>41244</v>
          </cell>
          <cell r="E3421">
            <v>548079</v>
          </cell>
          <cell r="F3421">
            <v>548079</v>
          </cell>
          <cell r="G3421">
            <v>415200</v>
          </cell>
          <cell r="H3421">
            <v>45673</v>
          </cell>
          <cell r="I3421">
            <v>0</v>
          </cell>
        </row>
        <row r="3422">
          <cell r="A3422" t="str">
            <v>6410|431000</v>
          </cell>
          <cell r="B3422" t="str">
            <v>6410</v>
          </cell>
          <cell r="C3422">
            <v>431000</v>
          </cell>
          <cell r="D3422">
            <v>41244</v>
          </cell>
          <cell r="E3422">
            <v>9000000</v>
          </cell>
          <cell r="F3422">
            <v>9000000</v>
          </cell>
          <cell r="G3422">
            <v>5451388</v>
          </cell>
          <cell r="H3422">
            <v>750000</v>
          </cell>
          <cell r="I3422">
            <v>0</v>
          </cell>
        </row>
        <row r="3423">
          <cell r="A3423" t="str">
            <v>6410|431002</v>
          </cell>
          <cell r="B3423" t="str">
            <v>6410</v>
          </cell>
          <cell r="C3423">
            <v>431002</v>
          </cell>
          <cell r="D3423">
            <v>41244</v>
          </cell>
          <cell r="E3423">
            <v>907627</v>
          </cell>
          <cell r="F3423">
            <v>907627</v>
          </cell>
          <cell r="G3423">
            <v>0</v>
          </cell>
          <cell r="H3423">
            <v>75636</v>
          </cell>
          <cell r="I3423">
            <v>0</v>
          </cell>
        </row>
        <row r="3424">
          <cell r="A3424" t="str">
            <v>6410|434013</v>
          </cell>
          <cell r="B3424" t="str">
            <v>6410</v>
          </cell>
          <cell r="C3424">
            <v>434013</v>
          </cell>
          <cell r="D3424">
            <v>41244</v>
          </cell>
          <cell r="E3424">
            <v>30317250</v>
          </cell>
          <cell r="F3424">
            <v>30317250</v>
          </cell>
          <cell r="G3424">
            <v>22857808</v>
          </cell>
          <cell r="H3424">
            <v>2526437</v>
          </cell>
          <cell r="I3424">
            <v>1366596</v>
          </cell>
        </row>
        <row r="3425">
          <cell r="A3425" t="str">
            <v>6410|435000</v>
          </cell>
          <cell r="B3425" t="str">
            <v>6410</v>
          </cell>
          <cell r="C3425">
            <v>435000</v>
          </cell>
          <cell r="D3425">
            <v>41244</v>
          </cell>
          <cell r="E3425">
            <v>17825962</v>
          </cell>
          <cell r="F3425">
            <v>17825962</v>
          </cell>
          <cell r="G3425">
            <v>0</v>
          </cell>
          <cell r="H3425">
            <v>1485497</v>
          </cell>
          <cell r="I3425">
            <v>0</v>
          </cell>
        </row>
        <row r="3426">
          <cell r="A3426" t="str">
            <v>6410|435003</v>
          </cell>
          <cell r="B3426" t="str">
            <v>6410</v>
          </cell>
          <cell r="C3426">
            <v>435003</v>
          </cell>
          <cell r="D3426">
            <v>41244</v>
          </cell>
          <cell r="E3426">
            <v>28887737</v>
          </cell>
          <cell r="F3426">
            <v>28887737</v>
          </cell>
          <cell r="G3426">
            <v>33364260</v>
          </cell>
          <cell r="H3426">
            <v>2407311</v>
          </cell>
          <cell r="I3426">
            <v>0</v>
          </cell>
        </row>
        <row r="3427">
          <cell r="A3427" t="str">
            <v>6410|439000</v>
          </cell>
          <cell r="B3427" t="str">
            <v>6410</v>
          </cell>
          <cell r="C3427">
            <v>439000</v>
          </cell>
          <cell r="D3427">
            <v>41244</v>
          </cell>
          <cell r="E3427">
            <v>49106715</v>
          </cell>
          <cell r="F3427">
            <v>49106715</v>
          </cell>
          <cell r="G3427">
            <v>5089746</v>
          </cell>
          <cell r="H3427">
            <v>4092226</v>
          </cell>
          <cell r="I3427">
            <v>0</v>
          </cell>
        </row>
        <row r="3428">
          <cell r="A3428" t="str">
            <v>6410|439003</v>
          </cell>
          <cell r="B3428" t="str">
            <v>6410</v>
          </cell>
          <cell r="C3428">
            <v>439003</v>
          </cell>
          <cell r="D3428">
            <v>41244</v>
          </cell>
          <cell r="E3428">
            <v>44055634</v>
          </cell>
          <cell r="F3428">
            <v>44055634</v>
          </cell>
          <cell r="G3428">
            <v>67228313</v>
          </cell>
          <cell r="H3428">
            <v>3671303</v>
          </cell>
          <cell r="I3428">
            <v>8296600</v>
          </cell>
        </row>
        <row r="3429">
          <cell r="A3429" t="str">
            <v>6410|439203</v>
          </cell>
          <cell r="B3429" t="str">
            <v>6410</v>
          </cell>
          <cell r="C3429">
            <v>439203</v>
          </cell>
          <cell r="D3429">
            <v>41244</v>
          </cell>
          <cell r="E3429">
            <v>0</v>
          </cell>
          <cell r="F3429">
            <v>0</v>
          </cell>
          <cell r="G3429">
            <v>209000</v>
          </cell>
          <cell r="H3429">
            <v>0</v>
          </cell>
          <cell r="I3429">
            <v>0</v>
          </cell>
        </row>
        <row r="3430">
          <cell r="A3430" t="str">
            <v>6410|440000</v>
          </cell>
          <cell r="B3430" t="str">
            <v>6410</v>
          </cell>
          <cell r="C3430">
            <v>440000</v>
          </cell>
          <cell r="D3430">
            <v>41244</v>
          </cell>
          <cell r="E3430">
            <v>17825962</v>
          </cell>
          <cell r="F3430">
            <v>17825962</v>
          </cell>
          <cell r="G3430">
            <v>5344159</v>
          </cell>
          <cell r="H3430">
            <v>1485497</v>
          </cell>
          <cell r="I3430">
            <v>0</v>
          </cell>
        </row>
        <row r="3431">
          <cell r="A3431" t="str">
            <v>6410|440003</v>
          </cell>
          <cell r="B3431" t="str">
            <v>6410</v>
          </cell>
          <cell r="C3431">
            <v>440003</v>
          </cell>
          <cell r="D3431">
            <v>41244</v>
          </cell>
          <cell r="E3431">
            <v>19258491</v>
          </cell>
          <cell r="F3431">
            <v>19258491</v>
          </cell>
          <cell r="G3431">
            <v>22686493</v>
          </cell>
          <cell r="H3431">
            <v>1604874</v>
          </cell>
          <cell r="I3431">
            <v>1764098</v>
          </cell>
        </row>
        <row r="3432">
          <cell r="A3432" t="str">
            <v>6410|446000</v>
          </cell>
          <cell r="B3432" t="str">
            <v>6410</v>
          </cell>
          <cell r="C3432">
            <v>446000</v>
          </cell>
          <cell r="D3432">
            <v>41244</v>
          </cell>
          <cell r="E3432">
            <v>0</v>
          </cell>
          <cell r="F3432">
            <v>0</v>
          </cell>
          <cell r="G3432">
            <v>4861736</v>
          </cell>
          <cell r="H3432">
            <v>0</v>
          </cell>
          <cell r="I3432">
            <v>0</v>
          </cell>
        </row>
        <row r="3433">
          <cell r="A3433" t="str">
            <v>6410|447000</v>
          </cell>
          <cell r="B3433" t="str">
            <v>6410</v>
          </cell>
          <cell r="C3433">
            <v>447000</v>
          </cell>
          <cell r="D3433">
            <v>41244</v>
          </cell>
          <cell r="E3433">
            <v>6217955</v>
          </cell>
          <cell r="F3433">
            <v>6217955</v>
          </cell>
          <cell r="G3433">
            <v>929008</v>
          </cell>
          <cell r="H3433">
            <v>518163</v>
          </cell>
          <cell r="I3433">
            <v>0</v>
          </cell>
        </row>
        <row r="3434">
          <cell r="A3434" t="str">
            <v>6410|447003</v>
          </cell>
          <cell r="B3434" t="str">
            <v>6410</v>
          </cell>
          <cell r="C3434">
            <v>447003</v>
          </cell>
          <cell r="D3434">
            <v>41244</v>
          </cell>
          <cell r="E3434">
            <v>2035512</v>
          </cell>
          <cell r="F3434">
            <v>2035512</v>
          </cell>
          <cell r="G3434">
            <v>4138578</v>
          </cell>
          <cell r="H3434">
            <v>169626</v>
          </cell>
          <cell r="I3434">
            <v>347943</v>
          </cell>
        </row>
        <row r="3435">
          <cell r="A3435" t="str">
            <v>6410|447010</v>
          </cell>
          <cell r="B3435" t="str">
            <v>6410</v>
          </cell>
          <cell r="C3435">
            <v>447010</v>
          </cell>
          <cell r="D3435">
            <v>41244</v>
          </cell>
          <cell r="E3435">
            <v>14653779</v>
          </cell>
          <cell r="F3435">
            <v>14653779</v>
          </cell>
          <cell r="G3435">
            <v>2189368</v>
          </cell>
          <cell r="H3435">
            <v>1221148</v>
          </cell>
          <cell r="I3435">
            <v>0</v>
          </cell>
        </row>
        <row r="3436">
          <cell r="A3436" t="str">
            <v>6410|447013</v>
          </cell>
          <cell r="B3436" t="str">
            <v>6410</v>
          </cell>
          <cell r="C3436">
            <v>447013</v>
          </cell>
          <cell r="D3436">
            <v>41244</v>
          </cell>
          <cell r="E3436">
            <v>4797067</v>
          </cell>
          <cell r="F3436">
            <v>4797067</v>
          </cell>
          <cell r="G3436">
            <v>9753348</v>
          </cell>
          <cell r="H3436">
            <v>399756</v>
          </cell>
          <cell r="I3436">
            <v>819994</v>
          </cell>
        </row>
        <row r="3437">
          <cell r="A3437" t="str">
            <v>6410|447020</v>
          </cell>
          <cell r="B3437" t="str">
            <v>6410</v>
          </cell>
          <cell r="C3437">
            <v>447020</v>
          </cell>
          <cell r="D3437">
            <v>41244</v>
          </cell>
          <cell r="E3437">
            <v>621795</v>
          </cell>
          <cell r="F3437">
            <v>621795</v>
          </cell>
          <cell r="G3437">
            <v>66120</v>
          </cell>
          <cell r="H3437">
            <v>51816</v>
          </cell>
          <cell r="I3437">
            <v>0</v>
          </cell>
        </row>
        <row r="3438">
          <cell r="A3438" t="str">
            <v>6410|447023</v>
          </cell>
          <cell r="B3438" t="str">
            <v>6410</v>
          </cell>
          <cell r="C3438">
            <v>447023</v>
          </cell>
          <cell r="D3438">
            <v>41244</v>
          </cell>
          <cell r="E3438">
            <v>203551</v>
          </cell>
          <cell r="F3438">
            <v>203551</v>
          </cell>
          <cell r="G3438">
            <v>1273310</v>
          </cell>
          <cell r="H3438">
            <v>16963</v>
          </cell>
          <cell r="I3438">
            <v>116000</v>
          </cell>
        </row>
        <row r="3439">
          <cell r="A3439" t="str">
            <v>6410|448000</v>
          </cell>
          <cell r="B3439" t="str">
            <v>6410</v>
          </cell>
          <cell r="C3439">
            <v>448000</v>
          </cell>
          <cell r="D3439">
            <v>41244</v>
          </cell>
          <cell r="E3439">
            <v>36943250</v>
          </cell>
          <cell r="F3439">
            <v>36943250</v>
          </cell>
          <cell r="G3439">
            <v>6083200</v>
          </cell>
          <cell r="H3439">
            <v>3078604</v>
          </cell>
          <cell r="I3439">
            <v>0</v>
          </cell>
        </row>
        <row r="3440">
          <cell r="A3440" t="str">
            <v>6410|448003</v>
          </cell>
          <cell r="B3440" t="str">
            <v>6410</v>
          </cell>
          <cell r="C3440">
            <v>448003</v>
          </cell>
          <cell r="D3440">
            <v>41244</v>
          </cell>
          <cell r="E3440">
            <v>19610005</v>
          </cell>
          <cell r="F3440">
            <v>19610005</v>
          </cell>
          <cell r="G3440">
            <v>3344100</v>
          </cell>
          <cell r="H3440">
            <v>1634167</v>
          </cell>
          <cell r="I3440">
            <v>0</v>
          </cell>
        </row>
        <row r="3441">
          <cell r="A3441" t="str">
            <v>6410|449020</v>
          </cell>
          <cell r="B3441" t="str">
            <v>6410</v>
          </cell>
          <cell r="C3441">
            <v>449020</v>
          </cell>
          <cell r="D3441">
            <v>41244</v>
          </cell>
          <cell r="E3441">
            <v>11880000</v>
          </cell>
          <cell r="F3441">
            <v>11880000</v>
          </cell>
          <cell r="G3441">
            <v>3933000</v>
          </cell>
          <cell r="H3441">
            <v>990000</v>
          </cell>
          <cell r="I3441">
            <v>0</v>
          </cell>
        </row>
        <row r="3442">
          <cell r="A3442" t="str">
            <v>6410|449023</v>
          </cell>
          <cell r="B3442" t="str">
            <v>6410</v>
          </cell>
          <cell r="C3442">
            <v>449023</v>
          </cell>
          <cell r="D3442">
            <v>41244</v>
          </cell>
          <cell r="E3442">
            <v>33450000</v>
          </cell>
          <cell r="F3442">
            <v>33450000</v>
          </cell>
          <cell r="G3442">
            <v>35261156</v>
          </cell>
          <cell r="H3442">
            <v>2787500</v>
          </cell>
          <cell r="I3442">
            <v>2973250</v>
          </cell>
        </row>
        <row r="3443">
          <cell r="A3443" t="str">
            <v>6410|449032</v>
          </cell>
          <cell r="B3443" t="str">
            <v>6410</v>
          </cell>
          <cell r="C3443">
            <v>449032</v>
          </cell>
          <cell r="D3443">
            <v>41244</v>
          </cell>
          <cell r="E3443">
            <v>5392700</v>
          </cell>
          <cell r="F3443">
            <v>5392700</v>
          </cell>
          <cell r="G3443">
            <v>122728</v>
          </cell>
          <cell r="H3443">
            <v>449392</v>
          </cell>
          <cell r="I3443">
            <v>0</v>
          </cell>
        </row>
        <row r="3444">
          <cell r="A3444" t="str">
            <v>6410|449050</v>
          </cell>
          <cell r="B3444" t="str">
            <v>6410</v>
          </cell>
          <cell r="C3444">
            <v>449050</v>
          </cell>
          <cell r="D3444">
            <v>41244</v>
          </cell>
          <cell r="E3444">
            <v>21780000</v>
          </cell>
          <cell r="F3444">
            <v>21780000</v>
          </cell>
          <cell r="G3444">
            <v>29600004</v>
          </cell>
          <cell r="H3444">
            <v>1815000</v>
          </cell>
          <cell r="I3444">
            <v>2466667</v>
          </cell>
        </row>
        <row r="3445">
          <cell r="A3445" t="str">
            <v>6410|449060</v>
          </cell>
          <cell r="B3445" t="str">
            <v>6410</v>
          </cell>
          <cell r="C3445">
            <v>449060</v>
          </cell>
          <cell r="D3445">
            <v>41244</v>
          </cell>
          <cell r="E3445">
            <v>11000000</v>
          </cell>
          <cell r="F3445">
            <v>11000000</v>
          </cell>
          <cell r="G3445">
            <v>23765</v>
          </cell>
          <cell r="H3445">
            <v>916667</v>
          </cell>
          <cell r="I3445">
            <v>0</v>
          </cell>
        </row>
        <row r="3446">
          <cell r="A3446" t="str">
            <v>6410|449061</v>
          </cell>
          <cell r="B3446" t="str">
            <v>6410</v>
          </cell>
          <cell r="C3446">
            <v>449061</v>
          </cell>
          <cell r="D3446">
            <v>41244</v>
          </cell>
          <cell r="E3446">
            <v>1275000</v>
          </cell>
          <cell r="F3446">
            <v>1275000</v>
          </cell>
          <cell r="G3446">
            <v>423000</v>
          </cell>
          <cell r="H3446">
            <v>106250</v>
          </cell>
          <cell r="I3446">
            <v>0</v>
          </cell>
        </row>
        <row r="3447">
          <cell r="A3447" t="str">
            <v>6410|451000</v>
          </cell>
          <cell r="B3447" t="str">
            <v>6410</v>
          </cell>
          <cell r="C3447">
            <v>451000</v>
          </cell>
          <cell r="D3447">
            <v>41244</v>
          </cell>
          <cell r="E3447">
            <v>1450000</v>
          </cell>
          <cell r="F3447">
            <v>1450000</v>
          </cell>
          <cell r="G3447">
            <v>1137500</v>
          </cell>
          <cell r="H3447">
            <v>120833</v>
          </cell>
          <cell r="I3447">
            <v>0</v>
          </cell>
        </row>
        <row r="3448">
          <cell r="A3448" t="str">
            <v>6410|452000</v>
          </cell>
          <cell r="B3448" t="str">
            <v>6410</v>
          </cell>
          <cell r="C3448">
            <v>452000</v>
          </cell>
          <cell r="D3448">
            <v>41244</v>
          </cell>
          <cell r="E3448">
            <v>5600000</v>
          </cell>
          <cell r="F3448">
            <v>5600000</v>
          </cell>
          <cell r="G3448">
            <v>0</v>
          </cell>
          <cell r="H3448">
            <v>466667</v>
          </cell>
          <cell r="I3448">
            <v>0</v>
          </cell>
        </row>
        <row r="3449">
          <cell r="A3449" t="str">
            <v>6410|455000</v>
          </cell>
          <cell r="B3449" t="str">
            <v>6410</v>
          </cell>
          <cell r="C3449">
            <v>455000</v>
          </cell>
          <cell r="D3449">
            <v>41244</v>
          </cell>
          <cell r="E3449">
            <v>18000000</v>
          </cell>
          <cell r="F3449">
            <v>18000000</v>
          </cell>
          <cell r="G3449">
            <v>43122187</v>
          </cell>
          <cell r="H3449">
            <v>1500000</v>
          </cell>
          <cell r="I3449">
            <v>803950</v>
          </cell>
        </row>
        <row r="3450">
          <cell r="A3450" t="str">
            <v>6410|455002</v>
          </cell>
          <cell r="B3450" t="str">
            <v>6410</v>
          </cell>
          <cell r="C3450">
            <v>455002</v>
          </cell>
          <cell r="D3450">
            <v>41244</v>
          </cell>
          <cell r="E3450">
            <v>0</v>
          </cell>
          <cell r="F3450">
            <v>0</v>
          </cell>
          <cell r="G3450">
            <v>356250</v>
          </cell>
          <cell r="H3450">
            <v>0</v>
          </cell>
          <cell r="I3450">
            <v>0</v>
          </cell>
        </row>
        <row r="3451">
          <cell r="A3451" t="str">
            <v>6410|470102</v>
          </cell>
          <cell r="B3451" t="str">
            <v>6410</v>
          </cell>
          <cell r="C3451">
            <v>470102</v>
          </cell>
          <cell r="D3451">
            <v>41244</v>
          </cell>
          <cell r="E3451">
            <v>1584549</v>
          </cell>
          <cell r="F3451">
            <v>1584549</v>
          </cell>
          <cell r="G3451">
            <v>1433174</v>
          </cell>
          <cell r="H3451">
            <v>132046</v>
          </cell>
          <cell r="I3451">
            <v>88752</v>
          </cell>
        </row>
        <row r="3452">
          <cell r="A3452" t="str">
            <v>6410|471000</v>
          </cell>
          <cell r="B3452" t="str">
            <v>6410</v>
          </cell>
          <cell r="C3452">
            <v>471000</v>
          </cell>
          <cell r="D3452">
            <v>41244</v>
          </cell>
          <cell r="E3452">
            <v>3434900</v>
          </cell>
          <cell r="F3452">
            <v>3434900</v>
          </cell>
          <cell r="G3452">
            <v>4070000</v>
          </cell>
          <cell r="H3452">
            <v>286242</v>
          </cell>
          <cell r="I3452">
            <v>370000</v>
          </cell>
        </row>
        <row r="3453">
          <cell r="A3453" t="str">
            <v>6410|473120</v>
          </cell>
          <cell r="B3453" t="str">
            <v>6410</v>
          </cell>
          <cell r="C3453">
            <v>473120</v>
          </cell>
          <cell r="D3453">
            <v>41244</v>
          </cell>
          <cell r="E3453">
            <v>1142371</v>
          </cell>
          <cell r="F3453">
            <v>1142371</v>
          </cell>
          <cell r="G3453">
            <v>999427</v>
          </cell>
          <cell r="H3453">
            <v>95198</v>
          </cell>
          <cell r="I3453">
            <v>165169</v>
          </cell>
        </row>
        <row r="3454">
          <cell r="A3454" t="str">
            <v>6410|475002</v>
          </cell>
          <cell r="B3454" t="str">
            <v>6410</v>
          </cell>
          <cell r="C3454">
            <v>475002</v>
          </cell>
          <cell r="D3454">
            <v>41244</v>
          </cell>
          <cell r="E3454">
            <v>184000</v>
          </cell>
          <cell r="F3454">
            <v>184000</v>
          </cell>
          <cell r="G3454">
            <v>0</v>
          </cell>
          <cell r="H3454">
            <v>15333</v>
          </cell>
          <cell r="I3454">
            <v>0</v>
          </cell>
        </row>
        <row r="3455">
          <cell r="A3455" t="str">
            <v>6410|475006</v>
          </cell>
          <cell r="B3455" t="str">
            <v>6410</v>
          </cell>
          <cell r="C3455">
            <v>475006</v>
          </cell>
          <cell r="D3455">
            <v>41244</v>
          </cell>
          <cell r="E3455">
            <v>2301750</v>
          </cell>
          <cell r="F3455">
            <v>2301750</v>
          </cell>
          <cell r="G3455">
            <v>2523744</v>
          </cell>
          <cell r="H3455">
            <v>191812</v>
          </cell>
          <cell r="I3455">
            <v>210312</v>
          </cell>
        </row>
        <row r="3456">
          <cell r="A3456" t="str">
            <v>6410|476000</v>
          </cell>
          <cell r="B3456" t="str">
            <v>6410</v>
          </cell>
          <cell r="C3456">
            <v>476000</v>
          </cell>
          <cell r="D3456">
            <v>41244</v>
          </cell>
          <cell r="E3456">
            <v>5933354</v>
          </cell>
          <cell r="F3456">
            <v>5933354</v>
          </cell>
          <cell r="G3456">
            <v>4803832</v>
          </cell>
          <cell r="H3456">
            <v>494446</v>
          </cell>
          <cell r="I3456">
            <v>793249</v>
          </cell>
        </row>
        <row r="3457">
          <cell r="A3457" t="str">
            <v>6410|477800</v>
          </cell>
          <cell r="B3457" t="str">
            <v>6410</v>
          </cell>
          <cell r="C3457">
            <v>477800</v>
          </cell>
          <cell r="D3457">
            <v>41244</v>
          </cell>
          <cell r="E3457">
            <v>110000000</v>
          </cell>
          <cell r="F3457">
            <v>110000000</v>
          </cell>
          <cell r="G3457">
            <v>71973660</v>
          </cell>
          <cell r="H3457">
            <v>9166667</v>
          </cell>
          <cell r="I3457">
            <v>0</v>
          </cell>
        </row>
        <row r="3458">
          <cell r="A3458" t="str">
            <v>6421|211100</v>
          </cell>
          <cell r="B3458" t="str">
            <v>6421</v>
          </cell>
          <cell r="C3458">
            <v>211100</v>
          </cell>
          <cell r="D3458">
            <v>41244</v>
          </cell>
          <cell r="E3458">
            <v>0</v>
          </cell>
          <cell r="F3458">
            <v>0</v>
          </cell>
          <cell r="G3458">
            <v>0</v>
          </cell>
          <cell r="H3458">
            <v>0</v>
          </cell>
          <cell r="I3458">
            <v>0</v>
          </cell>
        </row>
        <row r="3459">
          <cell r="A3459" t="str">
            <v>6421|211104</v>
          </cell>
          <cell r="B3459" t="str">
            <v>6421</v>
          </cell>
          <cell r="C3459">
            <v>211104</v>
          </cell>
          <cell r="D3459">
            <v>41244</v>
          </cell>
          <cell r="E3459">
            <v>1625523542</v>
          </cell>
          <cell r="F3459">
            <v>1625523542</v>
          </cell>
          <cell r="G3459">
            <v>1560001546</v>
          </cell>
          <cell r="H3459">
            <v>135460295</v>
          </cell>
          <cell r="I3459">
            <v>170981171</v>
          </cell>
        </row>
        <row r="3460">
          <cell r="A3460" t="str">
            <v>6421|400040</v>
          </cell>
          <cell r="B3460" t="str">
            <v>6421</v>
          </cell>
          <cell r="C3460">
            <v>400040</v>
          </cell>
          <cell r="D3460">
            <v>41244</v>
          </cell>
          <cell r="E3460">
            <v>194490000</v>
          </cell>
          <cell r="F3460">
            <v>194490000</v>
          </cell>
          <cell r="G3460">
            <v>168547646</v>
          </cell>
          <cell r="H3460">
            <v>16207500</v>
          </cell>
          <cell r="I3460">
            <v>36717253</v>
          </cell>
        </row>
        <row r="3461">
          <cell r="A3461" t="str">
            <v>6421|405251</v>
          </cell>
          <cell r="B3461" t="str">
            <v>6421</v>
          </cell>
          <cell r="C3461">
            <v>405251</v>
          </cell>
          <cell r="D3461">
            <v>41244</v>
          </cell>
          <cell r="E3461">
            <v>9000000</v>
          </cell>
          <cell r="F3461">
            <v>9000000</v>
          </cell>
          <cell r="G3461">
            <v>23838253</v>
          </cell>
          <cell r="H3461">
            <v>750000</v>
          </cell>
          <cell r="I3461">
            <v>4524411</v>
          </cell>
        </row>
        <row r="3462">
          <cell r="A3462" t="str">
            <v>6421|420000</v>
          </cell>
          <cell r="B3462" t="str">
            <v>6421</v>
          </cell>
          <cell r="C3462">
            <v>420000</v>
          </cell>
          <cell r="D3462">
            <v>41244</v>
          </cell>
          <cell r="E3462">
            <v>1312143393</v>
          </cell>
          <cell r="F3462">
            <v>1312143393</v>
          </cell>
          <cell r="G3462">
            <v>1174236614</v>
          </cell>
          <cell r="H3462">
            <v>109345283</v>
          </cell>
          <cell r="I3462">
            <v>83941171</v>
          </cell>
        </row>
        <row r="3463">
          <cell r="A3463" t="str">
            <v>6421|422000</v>
          </cell>
          <cell r="B3463" t="str">
            <v>6421</v>
          </cell>
          <cell r="C3463">
            <v>422000</v>
          </cell>
          <cell r="D3463">
            <v>41244</v>
          </cell>
          <cell r="E3463">
            <v>3340494</v>
          </cell>
          <cell r="F3463">
            <v>3340494</v>
          </cell>
          <cell r="G3463">
            <v>2347926</v>
          </cell>
          <cell r="H3463">
            <v>278374</v>
          </cell>
          <cell r="I3463">
            <v>0</v>
          </cell>
        </row>
        <row r="3464">
          <cell r="A3464" t="str">
            <v>6421|431000</v>
          </cell>
          <cell r="B3464" t="str">
            <v>6421</v>
          </cell>
          <cell r="C3464">
            <v>431000</v>
          </cell>
          <cell r="D3464">
            <v>41244</v>
          </cell>
          <cell r="E3464">
            <v>400000000</v>
          </cell>
          <cell r="F3464">
            <v>400000000</v>
          </cell>
          <cell r="G3464">
            <v>373797724</v>
          </cell>
          <cell r="H3464">
            <v>33333333</v>
          </cell>
          <cell r="I3464">
            <v>7677732</v>
          </cell>
        </row>
        <row r="3465">
          <cell r="A3465" t="str">
            <v>6421|431001</v>
          </cell>
          <cell r="B3465" t="str">
            <v>6421</v>
          </cell>
          <cell r="C3465">
            <v>431001</v>
          </cell>
          <cell r="D3465">
            <v>41244</v>
          </cell>
          <cell r="E3465">
            <v>31687543</v>
          </cell>
          <cell r="F3465">
            <v>31687543</v>
          </cell>
          <cell r="G3465">
            <v>5079528</v>
          </cell>
          <cell r="H3465">
            <v>2640629</v>
          </cell>
          <cell r="I3465">
            <v>0</v>
          </cell>
        </row>
        <row r="3466">
          <cell r="A3466" t="str">
            <v>6421|431002</v>
          </cell>
          <cell r="B3466" t="str">
            <v>6421</v>
          </cell>
          <cell r="C3466">
            <v>431002</v>
          </cell>
          <cell r="D3466">
            <v>41244</v>
          </cell>
          <cell r="E3466">
            <v>1754200</v>
          </cell>
          <cell r="F3466">
            <v>1754200</v>
          </cell>
          <cell r="G3466">
            <v>0</v>
          </cell>
          <cell r="H3466">
            <v>146183</v>
          </cell>
          <cell r="I3466">
            <v>0</v>
          </cell>
        </row>
        <row r="3467">
          <cell r="A3467" t="str">
            <v>6421|434010</v>
          </cell>
          <cell r="B3467" t="str">
            <v>6421</v>
          </cell>
          <cell r="C3467">
            <v>434010</v>
          </cell>
          <cell r="D3467">
            <v>41244</v>
          </cell>
          <cell r="E3467">
            <v>16947167</v>
          </cell>
          <cell r="F3467">
            <v>16947167</v>
          </cell>
          <cell r="G3467">
            <v>24159314</v>
          </cell>
          <cell r="H3467">
            <v>1412264</v>
          </cell>
          <cell r="I3467">
            <v>4925742</v>
          </cell>
        </row>
        <row r="3468">
          <cell r="A3468" t="str">
            <v>6421|435000</v>
          </cell>
          <cell r="B3468" t="str">
            <v>6421</v>
          </cell>
          <cell r="C3468">
            <v>435000</v>
          </cell>
          <cell r="D3468">
            <v>41244</v>
          </cell>
          <cell r="E3468">
            <v>114747385</v>
          </cell>
          <cell r="F3468">
            <v>114747385</v>
          </cell>
          <cell r="G3468">
            <v>98589111</v>
          </cell>
          <cell r="H3468">
            <v>9562282</v>
          </cell>
          <cell r="I3468">
            <v>74553593</v>
          </cell>
        </row>
        <row r="3469">
          <cell r="A3469" t="str">
            <v>6421|439000</v>
          </cell>
          <cell r="B3469" t="str">
            <v>6421</v>
          </cell>
          <cell r="C3469">
            <v>439000</v>
          </cell>
          <cell r="D3469">
            <v>41244</v>
          </cell>
          <cell r="E3469">
            <v>126478820</v>
          </cell>
          <cell r="F3469">
            <v>126478820</v>
          </cell>
          <cell r="G3469">
            <v>286486533</v>
          </cell>
          <cell r="H3469">
            <v>10539902</v>
          </cell>
          <cell r="I3469">
            <v>-639065</v>
          </cell>
        </row>
        <row r="3470">
          <cell r="A3470" t="str">
            <v>6421|439100</v>
          </cell>
          <cell r="B3470" t="str">
            <v>6421</v>
          </cell>
          <cell r="C3470">
            <v>439100</v>
          </cell>
          <cell r="D3470">
            <v>41244</v>
          </cell>
          <cell r="E3470">
            <v>0</v>
          </cell>
          <cell r="F3470">
            <v>0</v>
          </cell>
          <cell r="G3470">
            <v>1000000</v>
          </cell>
          <cell r="H3470">
            <v>0</v>
          </cell>
          <cell r="I3470">
            <v>0</v>
          </cell>
        </row>
        <row r="3471">
          <cell r="A3471" t="str">
            <v>6421|439200</v>
          </cell>
          <cell r="B3471" t="str">
            <v>6421</v>
          </cell>
          <cell r="C3471">
            <v>439200</v>
          </cell>
          <cell r="D3471">
            <v>41244</v>
          </cell>
          <cell r="E3471">
            <v>558000</v>
          </cell>
          <cell r="F3471">
            <v>558000</v>
          </cell>
          <cell r="G3471">
            <v>6677000</v>
          </cell>
          <cell r="H3471">
            <v>46500</v>
          </cell>
          <cell r="I3471">
            <v>0</v>
          </cell>
        </row>
        <row r="3472">
          <cell r="A3472" t="str">
            <v>6421|440000</v>
          </cell>
          <cell r="B3472" t="str">
            <v>6421</v>
          </cell>
          <cell r="C3472">
            <v>440000</v>
          </cell>
          <cell r="D3472">
            <v>41244</v>
          </cell>
          <cell r="E3472">
            <v>114747385</v>
          </cell>
          <cell r="F3472">
            <v>114747385</v>
          </cell>
          <cell r="G3472">
            <v>102419618</v>
          </cell>
          <cell r="H3472">
            <v>9562282</v>
          </cell>
          <cell r="I3472">
            <v>8696946</v>
          </cell>
        </row>
        <row r="3473">
          <cell r="A3473" t="str">
            <v>6421|446000</v>
          </cell>
          <cell r="B3473" t="str">
            <v>6421</v>
          </cell>
          <cell r="C3473">
            <v>446000</v>
          </cell>
          <cell r="D3473">
            <v>41244</v>
          </cell>
          <cell r="E3473">
            <v>28882730</v>
          </cell>
          <cell r="F3473">
            <v>28882730</v>
          </cell>
          <cell r="G3473">
            <v>50676486</v>
          </cell>
          <cell r="H3473">
            <v>2406894</v>
          </cell>
          <cell r="I3473">
            <v>3925000</v>
          </cell>
        </row>
        <row r="3474">
          <cell r="A3474" t="str">
            <v>6421|447000</v>
          </cell>
          <cell r="B3474" t="str">
            <v>6421</v>
          </cell>
          <cell r="C3474">
            <v>447000</v>
          </cell>
          <cell r="D3474">
            <v>41244</v>
          </cell>
          <cell r="E3474">
            <v>19394229</v>
          </cell>
          <cell r="F3474">
            <v>19394229</v>
          </cell>
          <cell r="G3474">
            <v>18071202</v>
          </cell>
          <cell r="H3474">
            <v>1616186</v>
          </cell>
          <cell r="I3474">
            <v>1346081</v>
          </cell>
        </row>
        <row r="3475">
          <cell r="A3475" t="str">
            <v>6421|447010</v>
          </cell>
          <cell r="B3475" t="str">
            <v>6421</v>
          </cell>
          <cell r="C3475">
            <v>447010</v>
          </cell>
          <cell r="D3475">
            <v>41244</v>
          </cell>
          <cell r="E3475">
            <v>45706145</v>
          </cell>
          <cell r="F3475">
            <v>45706145</v>
          </cell>
          <cell r="G3475">
            <v>42588201</v>
          </cell>
          <cell r="H3475">
            <v>3808845</v>
          </cell>
          <cell r="I3475">
            <v>3172296</v>
          </cell>
        </row>
        <row r="3476">
          <cell r="A3476" t="str">
            <v>6421|447020</v>
          </cell>
          <cell r="B3476" t="str">
            <v>6421</v>
          </cell>
          <cell r="C3476">
            <v>447020</v>
          </cell>
          <cell r="D3476">
            <v>41244</v>
          </cell>
          <cell r="E3476">
            <v>1939423</v>
          </cell>
          <cell r="F3476">
            <v>1939423</v>
          </cell>
          <cell r="G3476">
            <v>1528739</v>
          </cell>
          <cell r="H3476">
            <v>161619</v>
          </cell>
          <cell r="I3476">
            <v>105600</v>
          </cell>
        </row>
        <row r="3477">
          <cell r="A3477" t="str">
            <v>6421|448000</v>
          </cell>
          <cell r="B3477" t="str">
            <v>6421</v>
          </cell>
          <cell r="C3477">
            <v>448000</v>
          </cell>
          <cell r="D3477">
            <v>41244</v>
          </cell>
          <cell r="E3477">
            <v>241927766</v>
          </cell>
          <cell r="F3477">
            <v>241927766</v>
          </cell>
          <cell r="G3477">
            <v>64408270</v>
          </cell>
          <cell r="H3477">
            <v>20160647</v>
          </cell>
          <cell r="I3477">
            <v>5057100</v>
          </cell>
        </row>
        <row r="3478">
          <cell r="A3478" t="str">
            <v>6421|448001</v>
          </cell>
          <cell r="B3478" t="str">
            <v>6421</v>
          </cell>
          <cell r="C3478">
            <v>448001</v>
          </cell>
          <cell r="D3478">
            <v>41244</v>
          </cell>
          <cell r="E3478">
            <v>0</v>
          </cell>
          <cell r="F3478">
            <v>0</v>
          </cell>
          <cell r="G3478">
            <v>760000</v>
          </cell>
          <cell r="H3478">
            <v>0</v>
          </cell>
          <cell r="I3478">
            <v>0</v>
          </cell>
        </row>
        <row r="3479">
          <cell r="A3479" t="str">
            <v>6421|449004</v>
          </cell>
          <cell r="B3479" t="str">
            <v>6421</v>
          </cell>
          <cell r="C3479">
            <v>449004</v>
          </cell>
          <cell r="D3479">
            <v>41244</v>
          </cell>
          <cell r="E3479">
            <v>5000000</v>
          </cell>
          <cell r="F3479">
            <v>5000000</v>
          </cell>
          <cell r="G3479">
            <v>2925000</v>
          </cell>
          <cell r="H3479">
            <v>416667</v>
          </cell>
          <cell r="I3479">
            <v>2925000</v>
          </cell>
        </row>
        <row r="3480">
          <cell r="A3480" t="str">
            <v>6421|449020</v>
          </cell>
          <cell r="B3480" t="str">
            <v>6421</v>
          </cell>
          <cell r="C3480">
            <v>449020</v>
          </cell>
          <cell r="D3480">
            <v>41244</v>
          </cell>
          <cell r="E3480">
            <v>118800000</v>
          </cell>
          <cell r="F3480">
            <v>118800000</v>
          </cell>
          <cell r="G3480">
            <v>137848500</v>
          </cell>
          <cell r="H3480">
            <v>9900000</v>
          </cell>
          <cell r="I3480">
            <v>9588500</v>
          </cell>
        </row>
        <row r="3481">
          <cell r="A3481" t="str">
            <v>6421|449032</v>
          </cell>
          <cell r="B3481" t="str">
            <v>6421</v>
          </cell>
          <cell r="C3481">
            <v>449032</v>
          </cell>
          <cell r="D3481">
            <v>41244</v>
          </cell>
          <cell r="E3481">
            <v>9491100</v>
          </cell>
          <cell r="F3481">
            <v>9491100</v>
          </cell>
          <cell r="G3481">
            <v>8344184</v>
          </cell>
          <cell r="H3481">
            <v>790925</v>
          </cell>
          <cell r="I3481">
            <v>0</v>
          </cell>
        </row>
        <row r="3482">
          <cell r="A3482" t="str">
            <v>6421|449040</v>
          </cell>
          <cell r="B3482" t="str">
            <v>6421</v>
          </cell>
          <cell r="C3482">
            <v>449040</v>
          </cell>
          <cell r="D3482">
            <v>41244</v>
          </cell>
          <cell r="E3482">
            <v>2480500</v>
          </cell>
          <cell r="F3482">
            <v>2480500</v>
          </cell>
          <cell r="G3482">
            <v>1700000</v>
          </cell>
          <cell r="H3482">
            <v>206708</v>
          </cell>
          <cell r="I3482">
            <v>0</v>
          </cell>
        </row>
        <row r="3483">
          <cell r="A3483" t="str">
            <v>6421|449060</v>
          </cell>
          <cell r="B3483" t="str">
            <v>6421</v>
          </cell>
          <cell r="C3483">
            <v>449060</v>
          </cell>
          <cell r="D3483">
            <v>41244</v>
          </cell>
          <cell r="E3483">
            <v>70000000</v>
          </cell>
          <cell r="F3483">
            <v>70000000</v>
          </cell>
          <cell r="G3483">
            <v>16499608</v>
          </cell>
          <cell r="H3483">
            <v>5833333</v>
          </cell>
          <cell r="I3483">
            <v>114371</v>
          </cell>
        </row>
        <row r="3484">
          <cell r="A3484" t="str">
            <v>6421|449061</v>
          </cell>
          <cell r="B3484" t="str">
            <v>6421</v>
          </cell>
          <cell r="C3484">
            <v>449061</v>
          </cell>
          <cell r="D3484">
            <v>41244</v>
          </cell>
          <cell r="E3484">
            <v>1311900</v>
          </cell>
          <cell r="F3484">
            <v>1311900</v>
          </cell>
          <cell r="G3484">
            <v>2309200</v>
          </cell>
          <cell r="H3484">
            <v>109325</v>
          </cell>
          <cell r="I3484">
            <v>263200</v>
          </cell>
        </row>
        <row r="3485">
          <cell r="A3485" t="str">
            <v>6421|451000</v>
          </cell>
          <cell r="B3485" t="str">
            <v>6421</v>
          </cell>
          <cell r="C3485">
            <v>451000</v>
          </cell>
          <cell r="D3485">
            <v>41244</v>
          </cell>
          <cell r="E3485">
            <v>7384000</v>
          </cell>
          <cell r="F3485">
            <v>7384000</v>
          </cell>
          <cell r="G3485">
            <v>-954000</v>
          </cell>
          <cell r="H3485">
            <v>615333</v>
          </cell>
          <cell r="I3485">
            <v>0</v>
          </cell>
        </row>
        <row r="3486">
          <cell r="A3486" t="str">
            <v>6421|452000</v>
          </cell>
          <cell r="B3486" t="str">
            <v>6421</v>
          </cell>
          <cell r="C3486">
            <v>452000</v>
          </cell>
          <cell r="D3486">
            <v>41244</v>
          </cell>
          <cell r="E3486">
            <v>180000000</v>
          </cell>
          <cell r="F3486">
            <v>180000000</v>
          </cell>
          <cell r="G3486">
            <v>213500690</v>
          </cell>
          <cell r="H3486">
            <v>15000000</v>
          </cell>
          <cell r="I3486">
            <v>0</v>
          </cell>
        </row>
        <row r="3487">
          <cell r="A3487" t="str">
            <v>6421|452001</v>
          </cell>
          <cell r="B3487" t="str">
            <v>6421</v>
          </cell>
          <cell r="C3487">
            <v>452001</v>
          </cell>
          <cell r="D3487">
            <v>41244</v>
          </cell>
          <cell r="E3487">
            <v>60000000</v>
          </cell>
          <cell r="F3487">
            <v>60000000</v>
          </cell>
          <cell r="G3487">
            <v>49688955</v>
          </cell>
          <cell r="H3487">
            <v>5000000</v>
          </cell>
          <cell r="I3487">
            <v>7062500</v>
          </cell>
        </row>
        <row r="3488">
          <cell r="A3488" t="str">
            <v>6421|455000</v>
          </cell>
          <cell r="B3488" t="str">
            <v>6421</v>
          </cell>
          <cell r="C3488">
            <v>455000</v>
          </cell>
          <cell r="D3488">
            <v>41244</v>
          </cell>
          <cell r="E3488">
            <v>8000000</v>
          </cell>
          <cell r="F3488">
            <v>8000000</v>
          </cell>
          <cell r="G3488">
            <v>18866049</v>
          </cell>
          <cell r="H3488">
            <v>666667</v>
          </cell>
          <cell r="I3488">
            <v>282250</v>
          </cell>
        </row>
        <row r="3489">
          <cell r="A3489" t="str">
            <v>6421|455001</v>
          </cell>
          <cell r="B3489" t="str">
            <v>6421</v>
          </cell>
          <cell r="C3489">
            <v>455001</v>
          </cell>
          <cell r="D3489">
            <v>41244</v>
          </cell>
          <cell r="E3489">
            <v>1000000</v>
          </cell>
          <cell r="F3489">
            <v>1000000</v>
          </cell>
          <cell r="G3489">
            <v>78421</v>
          </cell>
          <cell r="H3489">
            <v>83333</v>
          </cell>
          <cell r="I3489">
            <v>0</v>
          </cell>
        </row>
        <row r="3490">
          <cell r="A3490" t="str">
            <v>6421|455002</v>
          </cell>
          <cell r="B3490" t="str">
            <v>6421</v>
          </cell>
          <cell r="C3490">
            <v>455002</v>
          </cell>
          <cell r="D3490">
            <v>41244</v>
          </cell>
          <cell r="E3490">
            <v>10000000</v>
          </cell>
          <cell r="F3490">
            <v>10000000</v>
          </cell>
          <cell r="G3490">
            <v>14390697</v>
          </cell>
          <cell r="H3490">
            <v>833333</v>
          </cell>
          <cell r="I3490">
            <v>6401200</v>
          </cell>
        </row>
        <row r="3491">
          <cell r="A3491" t="str">
            <v>6421|459005</v>
          </cell>
          <cell r="B3491" t="str">
            <v>6421</v>
          </cell>
          <cell r="C3491">
            <v>459005</v>
          </cell>
          <cell r="D3491">
            <v>41244</v>
          </cell>
          <cell r="E3491">
            <v>1000000</v>
          </cell>
          <cell r="F3491">
            <v>1000000</v>
          </cell>
          <cell r="G3491">
            <v>500000</v>
          </cell>
          <cell r="H3491">
            <v>83333</v>
          </cell>
          <cell r="I3491">
            <v>0</v>
          </cell>
        </row>
        <row r="3492">
          <cell r="A3492" t="str">
            <v>6421|470101</v>
          </cell>
          <cell r="B3492" t="str">
            <v>6421</v>
          </cell>
          <cell r="C3492">
            <v>470101</v>
          </cell>
          <cell r="D3492">
            <v>41244</v>
          </cell>
          <cell r="E3492">
            <v>143030949</v>
          </cell>
          <cell r="F3492">
            <v>143030949</v>
          </cell>
          <cell r="G3492">
            <v>67724000</v>
          </cell>
          <cell r="H3492">
            <v>11919246</v>
          </cell>
          <cell r="I3492">
            <v>0</v>
          </cell>
        </row>
        <row r="3493">
          <cell r="A3493" t="str">
            <v>6421|476000</v>
          </cell>
          <cell r="B3493" t="str">
            <v>6421</v>
          </cell>
          <cell r="C3493">
            <v>476000</v>
          </cell>
          <cell r="D3493">
            <v>41244</v>
          </cell>
          <cell r="E3493">
            <v>239680</v>
          </cell>
          <cell r="F3493">
            <v>239680</v>
          </cell>
          <cell r="G3493">
            <v>0</v>
          </cell>
          <cell r="H3493">
            <v>19973</v>
          </cell>
          <cell r="I3493">
            <v>0</v>
          </cell>
        </row>
        <row r="3494">
          <cell r="A3494" t="str">
            <v>6421|476220</v>
          </cell>
          <cell r="B3494" t="str">
            <v>6421</v>
          </cell>
          <cell r="C3494">
            <v>476220</v>
          </cell>
          <cell r="D3494">
            <v>41244</v>
          </cell>
          <cell r="E3494">
            <v>7000000</v>
          </cell>
          <cell r="F3494">
            <v>7000000</v>
          </cell>
          <cell r="G3494">
            <v>8341790</v>
          </cell>
          <cell r="H3494">
            <v>583333</v>
          </cell>
          <cell r="I3494">
            <v>1668358</v>
          </cell>
        </row>
        <row r="3495">
          <cell r="A3495" t="str">
            <v>6421|476223</v>
          </cell>
          <cell r="B3495" t="str">
            <v>6421</v>
          </cell>
          <cell r="C3495">
            <v>476223</v>
          </cell>
          <cell r="D3495">
            <v>41244</v>
          </cell>
          <cell r="E3495">
            <v>0</v>
          </cell>
          <cell r="F3495">
            <v>0</v>
          </cell>
          <cell r="G3495">
            <v>7998750</v>
          </cell>
          <cell r="H3495">
            <v>0</v>
          </cell>
          <cell r="I3495">
            <v>2700000</v>
          </cell>
        </row>
        <row r="3496">
          <cell r="A3496" t="str">
            <v>6710|211104</v>
          </cell>
          <cell r="B3496" t="str">
            <v>6710</v>
          </cell>
          <cell r="C3496">
            <v>211104</v>
          </cell>
          <cell r="D3496">
            <v>41244</v>
          </cell>
          <cell r="E3496">
            <v>42806693</v>
          </cell>
          <cell r="F3496">
            <v>42806693</v>
          </cell>
          <cell r="G3496">
            <v>42806693</v>
          </cell>
          <cell r="H3496">
            <v>3567224</v>
          </cell>
          <cell r="I3496">
            <v>3567223</v>
          </cell>
        </row>
        <row r="3497">
          <cell r="A3497" t="str">
            <v>6721|211104</v>
          </cell>
          <cell r="B3497" t="str">
            <v>6721</v>
          </cell>
          <cell r="C3497">
            <v>211104</v>
          </cell>
          <cell r="D3497">
            <v>41244</v>
          </cell>
          <cell r="E3497">
            <v>466684</v>
          </cell>
          <cell r="F3497">
            <v>466684</v>
          </cell>
          <cell r="G3497">
            <v>466684</v>
          </cell>
          <cell r="H3497">
            <v>38890</v>
          </cell>
          <cell r="I3497">
            <v>38890</v>
          </cell>
        </row>
        <row r="3498">
          <cell r="A3498" t="str">
            <v>H140|211100</v>
          </cell>
          <cell r="B3498" t="str">
            <v>H140</v>
          </cell>
          <cell r="C3498">
            <v>211100</v>
          </cell>
          <cell r="D3498">
            <v>41244</v>
          </cell>
          <cell r="E3498">
            <v>0</v>
          </cell>
          <cell r="F3498">
            <v>0</v>
          </cell>
          <cell r="G3498">
            <v>0</v>
          </cell>
          <cell r="H3498">
            <v>0</v>
          </cell>
          <cell r="I3498">
            <v>0</v>
          </cell>
        </row>
        <row r="3499">
          <cell r="A3499" t="str">
            <v>H140|211104</v>
          </cell>
          <cell r="B3499" t="str">
            <v>H140</v>
          </cell>
          <cell r="C3499">
            <v>211104</v>
          </cell>
          <cell r="D3499">
            <v>41244</v>
          </cell>
          <cell r="E3499">
            <v>1892420</v>
          </cell>
          <cell r="F3499">
            <v>1892420</v>
          </cell>
          <cell r="G3499">
            <v>1892420</v>
          </cell>
          <cell r="H3499">
            <v>157702</v>
          </cell>
          <cell r="I3499">
            <v>157693</v>
          </cell>
        </row>
        <row r="3500">
          <cell r="A3500" t="str">
            <v>H140|246000</v>
          </cell>
          <cell r="B3500" t="str">
            <v>H140</v>
          </cell>
          <cell r="C3500">
            <v>246000</v>
          </cell>
          <cell r="D3500">
            <v>41244</v>
          </cell>
          <cell r="E3500">
            <v>3000000</v>
          </cell>
          <cell r="F3500">
            <v>3000000</v>
          </cell>
          <cell r="G3500">
            <v>0</v>
          </cell>
          <cell r="H3500">
            <v>250000</v>
          </cell>
          <cell r="I3500">
            <v>0</v>
          </cell>
        </row>
        <row r="3501">
          <cell r="A3501" t="str">
            <v>H140|400040</v>
          </cell>
          <cell r="B3501" t="str">
            <v>H140</v>
          </cell>
          <cell r="C3501">
            <v>400040</v>
          </cell>
          <cell r="D3501">
            <v>41244</v>
          </cell>
          <cell r="E3501">
            <v>780000000</v>
          </cell>
          <cell r="F3501">
            <v>780000000</v>
          </cell>
          <cell r="G3501">
            <v>400753214</v>
          </cell>
          <cell r="H3501">
            <v>65000001</v>
          </cell>
          <cell r="I3501">
            <v>10161357</v>
          </cell>
        </row>
        <row r="3502">
          <cell r="A3502" t="str">
            <v>H140|405200</v>
          </cell>
          <cell r="B3502" t="str">
            <v>H140</v>
          </cell>
          <cell r="C3502">
            <v>405200</v>
          </cell>
          <cell r="D3502">
            <v>41244</v>
          </cell>
          <cell r="E3502">
            <v>32300000</v>
          </cell>
          <cell r="F3502">
            <v>32300000</v>
          </cell>
          <cell r="G3502">
            <v>1352440</v>
          </cell>
          <cell r="H3502">
            <v>2691667</v>
          </cell>
          <cell r="I3502">
            <v>0</v>
          </cell>
        </row>
        <row r="3503">
          <cell r="A3503" t="str">
            <v>H140|405251</v>
          </cell>
          <cell r="B3503" t="str">
            <v>H140</v>
          </cell>
          <cell r="C3503">
            <v>405251</v>
          </cell>
          <cell r="D3503">
            <v>41244</v>
          </cell>
          <cell r="E3503">
            <v>0</v>
          </cell>
          <cell r="F3503">
            <v>0</v>
          </cell>
          <cell r="G3503">
            <v>6890763</v>
          </cell>
          <cell r="H3503">
            <v>0</v>
          </cell>
          <cell r="I3503">
            <v>0</v>
          </cell>
        </row>
        <row r="3504">
          <cell r="A3504" t="str">
            <v>H140|431000</v>
          </cell>
          <cell r="B3504" t="str">
            <v>H140</v>
          </cell>
          <cell r="C3504">
            <v>431000</v>
          </cell>
          <cell r="D3504">
            <v>41244</v>
          </cell>
          <cell r="E3504">
            <v>30800000</v>
          </cell>
          <cell r="F3504">
            <v>30800000</v>
          </cell>
          <cell r="G3504">
            <v>4630124</v>
          </cell>
          <cell r="H3504">
            <v>2566682</v>
          </cell>
          <cell r="I3504">
            <v>0</v>
          </cell>
        </row>
        <row r="3505">
          <cell r="A3505" t="str">
            <v>H140|431001</v>
          </cell>
          <cell r="B3505" t="str">
            <v>H140</v>
          </cell>
          <cell r="C3505">
            <v>431001</v>
          </cell>
          <cell r="D3505">
            <v>41244</v>
          </cell>
          <cell r="E3505">
            <v>1418935</v>
          </cell>
          <cell r="F3505">
            <v>1418935</v>
          </cell>
          <cell r="G3505">
            <v>0</v>
          </cell>
          <cell r="H3505">
            <v>118245</v>
          </cell>
          <cell r="I3505">
            <v>0</v>
          </cell>
        </row>
        <row r="3506">
          <cell r="A3506" t="str">
            <v>H140|449060</v>
          </cell>
          <cell r="B3506" t="str">
            <v>H140</v>
          </cell>
          <cell r="C3506">
            <v>449060</v>
          </cell>
          <cell r="D3506">
            <v>41244</v>
          </cell>
          <cell r="E3506">
            <v>0</v>
          </cell>
          <cell r="F3506">
            <v>0</v>
          </cell>
          <cell r="G3506">
            <v>111470</v>
          </cell>
          <cell r="H3506">
            <v>0</v>
          </cell>
          <cell r="I3506">
            <v>0</v>
          </cell>
        </row>
        <row r="3507">
          <cell r="A3507" t="str">
            <v>H140|449061</v>
          </cell>
          <cell r="B3507" t="str">
            <v>H140</v>
          </cell>
          <cell r="C3507">
            <v>449061</v>
          </cell>
          <cell r="D3507">
            <v>41244</v>
          </cell>
          <cell r="E3507">
            <v>1201250</v>
          </cell>
          <cell r="F3507">
            <v>1201250</v>
          </cell>
          <cell r="G3507">
            <v>544600</v>
          </cell>
          <cell r="H3507">
            <v>100104</v>
          </cell>
          <cell r="I3507">
            <v>0</v>
          </cell>
        </row>
        <row r="3508">
          <cell r="A3508" t="str">
            <v>H140|470102</v>
          </cell>
          <cell r="B3508" t="str">
            <v>H140</v>
          </cell>
          <cell r="C3508">
            <v>470102</v>
          </cell>
          <cell r="D3508">
            <v>41244</v>
          </cell>
          <cell r="E3508">
            <v>0</v>
          </cell>
          <cell r="F3508">
            <v>0</v>
          </cell>
          <cell r="G3508">
            <v>480000</v>
          </cell>
          <cell r="H3508">
            <v>0</v>
          </cell>
          <cell r="I3508">
            <v>40000</v>
          </cell>
        </row>
        <row r="3509">
          <cell r="A3509" t="str">
            <v>H140|472000</v>
          </cell>
          <cell r="B3509" t="str">
            <v>H140</v>
          </cell>
          <cell r="C3509">
            <v>472000</v>
          </cell>
          <cell r="D3509">
            <v>41244</v>
          </cell>
          <cell r="E3509">
            <v>157000000</v>
          </cell>
          <cell r="F3509">
            <v>157000000</v>
          </cell>
          <cell r="G3509">
            <v>132245430</v>
          </cell>
          <cell r="H3509">
            <v>13083333</v>
          </cell>
          <cell r="I3509">
            <v>14496188</v>
          </cell>
        </row>
        <row r="3510">
          <cell r="A3510" t="str">
            <v>H140|473120</v>
          </cell>
          <cell r="B3510" t="str">
            <v>H140</v>
          </cell>
          <cell r="C3510">
            <v>473120</v>
          </cell>
          <cell r="D3510">
            <v>41244</v>
          </cell>
          <cell r="E3510">
            <v>1902863</v>
          </cell>
          <cell r="F3510">
            <v>1902863</v>
          </cell>
          <cell r="G3510">
            <v>1784304</v>
          </cell>
          <cell r="H3510">
            <v>158572</v>
          </cell>
          <cell r="I3510">
            <v>42834</v>
          </cell>
        </row>
        <row r="3511">
          <cell r="A3511" t="str">
            <v>H140|475003</v>
          </cell>
          <cell r="B3511" t="str">
            <v>H140</v>
          </cell>
          <cell r="C3511">
            <v>475003</v>
          </cell>
          <cell r="D3511">
            <v>41244</v>
          </cell>
          <cell r="E3511">
            <v>0</v>
          </cell>
          <cell r="F3511">
            <v>0</v>
          </cell>
          <cell r="G3511">
            <v>2120000</v>
          </cell>
          <cell r="H3511">
            <v>0</v>
          </cell>
          <cell r="I3511">
            <v>0</v>
          </cell>
        </row>
        <row r="3512">
          <cell r="A3512" t="str">
            <v>H140|475004</v>
          </cell>
          <cell r="B3512" t="str">
            <v>H140</v>
          </cell>
          <cell r="C3512">
            <v>475004</v>
          </cell>
          <cell r="D3512">
            <v>41244</v>
          </cell>
          <cell r="E3512">
            <v>2000000</v>
          </cell>
          <cell r="F3512">
            <v>2000000</v>
          </cell>
          <cell r="G3512">
            <v>0</v>
          </cell>
          <cell r="H3512">
            <v>166667</v>
          </cell>
          <cell r="I3512">
            <v>0</v>
          </cell>
        </row>
        <row r="3513">
          <cell r="A3513" t="str">
            <v>H140|476000</v>
          </cell>
          <cell r="B3513" t="str">
            <v>H140</v>
          </cell>
          <cell r="C3513">
            <v>476000</v>
          </cell>
          <cell r="D3513">
            <v>41244</v>
          </cell>
          <cell r="E3513">
            <v>1164944</v>
          </cell>
          <cell r="F3513">
            <v>1164944</v>
          </cell>
          <cell r="G3513">
            <v>389800</v>
          </cell>
          <cell r="H3513">
            <v>97079</v>
          </cell>
          <cell r="I3513">
            <v>0</v>
          </cell>
        </row>
        <row r="3514">
          <cell r="A3514" t="str">
            <v>H140|476220</v>
          </cell>
          <cell r="B3514" t="str">
            <v>H140</v>
          </cell>
          <cell r="C3514">
            <v>476220</v>
          </cell>
          <cell r="D3514">
            <v>41244</v>
          </cell>
          <cell r="E3514">
            <v>0</v>
          </cell>
          <cell r="F3514">
            <v>0</v>
          </cell>
          <cell r="G3514">
            <v>2851467</v>
          </cell>
          <cell r="H3514">
            <v>0</v>
          </cell>
          <cell r="I3514">
            <v>0</v>
          </cell>
        </row>
        <row r="3515">
          <cell r="A3515" t="str">
            <v>H140|476900</v>
          </cell>
          <cell r="B3515" t="str">
            <v>H140</v>
          </cell>
          <cell r="C3515">
            <v>476900</v>
          </cell>
          <cell r="D3515">
            <v>41244</v>
          </cell>
          <cell r="E3515">
            <v>3000000</v>
          </cell>
          <cell r="F3515">
            <v>3000000</v>
          </cell>
          <cell r="G3515">
            <v>1213300</v>
          </cell>
          <cell r="H3515">
            <v>250000</v>
          </cell>
          <cell r="I3515">
            <v>0</v>
          </cell>
        </row>
        <row r="3516">
          <cell r="A3516" t="str">
            <v>H150|211104</v>
          </cell>
          <cell r="B3516" t="str">
            <v>H150</v>
          </cell>
          <cell r="C3516">
            <v>211104</v>
          </cell>
          <cell r="D3516">
            <v>41244</v>
          </cell>
          <cell r="E3516">
            <v>2089945</v>
          </cell>
          <cell r="F3516">
            <v>2089945</v>
          </cell>
          <cell r="G3516">
            <v>2089945</v>
          </cell>
          <cell r="H3516">
            <v>174162</v>
          </cell>
          <cell r="I3516">
            <v>174157</v>
          </cell>
        </row>
        <row r="3517">
          <cell r="A3517" t="str">
            <v>H150|449032</v>
          </cell>
          <cell r="B3517" t="str">
            <v>H150</v>
          </cell>
          <cell r="C3517">
            <v>449032</v>
          </cell>
          <cell r="D3517">
            <v>41244</v>
          </cell>
          <cell r="E3517">
            <v>3507694</v>
          </cell>
          <cell r="F3517">
            <v>3507694</v>
          </cell>
          <cell r="G3517">
            <v>0</v>
          </cell>
          <cell r="H3517">
            <v>292308</v>
          </cell>
          <cell r="I3517">
            <v>0</v>
          </cell>
        </row>
        <row r="3518">
          <cell r="A3518" t="str">
            <v>H150|449061</v>
          </cell>
          <cell r="B3518" t="str">
            <v>H150</v>
          </cell>
          <cell r="C3518">
            <v>449061</v>
          </cell>
          <cell r="D3518">
            <v>41244</v>
          </cell>
          <cell r="E3518">
            <v>1843000</v>
          </cell>
          <cell r="F3518">
            <v>1843000</v>
          </cell>
          <cell r="G3518">
            <v>576000</v>
          </cell>
          <cell r="H3518">
            <v>153583</v>
          </cell>
          <cell r="I3518">
            <v>0</v>
          </cell>
        </row>
        <row r="3519">
          <cell r="A3519" t="str">
            <v>H150|470102</v>
          </cell>
          <cell r="B3519" t="str">
            <v>H150</v>
          </cell>
          <cell r="C3519">
            <v>470102</v>
          </cell>
          <cell r="D3519">
            <v>41244</v>
          </cell>
          <cell r="E3519">
            <v>0</v>
          </cell>
          <cell r="F3519">
            <v>0</v>
          </cell>
          <cell r="G3519">
            <v>480000</v>
          </cell>
          <cell r="H3519">
            <v>0</v>
          </cell>
          <cell r="I3519">
            <v>40000</v>
          </cell>
        </row>
        <row r="3520">
          <cell r="A3520" t="str">
            <v>H150|473120</v>
          </cell>
          <cell r="B3520" t="str">
            <v>H150</v>
          </cell>
          <cell r="C3520">
            <v>473120</v>
          </cell>
          <cell r="D3520">
            <v>41244</v>
          </cell>
          <cell r="E3520">
            <v>232554</v>
          </cell>
          <cell r="F3520">
            <v>232554</v>
          </cell>
          <cell r="G3520">
            <v>0</v>
          </cell>
          <cell r="H3520">
            <v>19379</v>
          </cell>
          <cell r="I3520">
            <v>0</v>
          </cell>
        </row>
        <row r="3521">
          <cell r="A3521" t="str">
            <v>H150|476000</v>
          </cell>
          <cell r="B3521" t="str">
            <v>H150</v>
          </cell>
          <cell r="C3521">
            <v>476000</v>
          </cell>
          <cell r="D3521">
            <v>41244</v>
          </cell>
          <cell r="E3521">
            <v>123050</v>
          </cell>
          <cell r="F3521">
            <v>123050</v>
          </cell>
          <cell r="G3521">
            <v>0</v>
          </cell>
          <cell r="H3521">
            <v>10254</v>
          </cell>
          <cell r="I3521">
            <v>0</v>
          </cell>
        </row>
        <row r="3522">
          <cell r="A3522" t="str">
            <v>H160|431001</v>
          </cell>
          <cell r="B3522" t="str">
            <v>H160</v>
          </cell>
          <cell r="C3522">
            <v>431001</v>
          </cell>
          <cell r="D3522">
            <v>41244</v>
          </cell>
          <cell r="E3522">
            <v>0</v>
          </cell>
          <cell r="F3522">
            <v>0</v>
          </cell>
          <cell r="G3522">
            <v>2361626</v>
          </cell>
          <cell r="H3522">
            <v>0</v>
          </cell>
          <cell r="I3522">
            <v>0</v>
          </cell>
        </row>
        <row r="3523">
          <cell r="A3523" t="str">
            <v>H160|431002</v>
          </cell>
          <cell r="B3523" t="str">
            <v>H160</v>
          </cell>
          <cell r="C3523">
            <v>431002</v>
          </cell>
          <cell r="D3523">
            <v>41244</v>
          </cell>
          <cell r="E3523">
            <v>29289388</v>
          </cell>
          <cell r="F3523">
            <v>29289388</v>
          </cell>
          <cell r="G3523">
            <v>64044347</v>
          </cell>
          <cell r="H3523">
            <v>2440782</v>
          </cell>
          <cell r="I3523">
            <v>3593507</v>
          </cell>
        </row>
        <row r="3524">
          <cell r="A3524" t="str">
            <v>H160|449035</v>
          </cell>
          <cell r="B3524" t="str">
            <v>H160</v>
          </cell>
          <cell r="C3524">
            <v>449035</v>
          </cell>
          <cell r="D3524">
            <v>41244</v>
          </cell>
          <cell r="E3524">
            <v>0</v>
          </cell>
          <cell r="F3524">
            <v>0</v>
          </cell>
          <cell r="G3524">
            <v>24308000</v>
          </cell>
          <cell r="H3524">
            <v>0</v>
          </cell>
          <cell r="I3524">
            <v>0</v>
          </cell>
        </row>
        <row r="3525">
          <cell r="A3525" t="str">
            <v>H160|449061</v>
          </cell>
          <cell r="B3525" t="str">
            <v>H160</v>
          </cell>
          <cell r="C3525">
            <v>449061</v>
          </cell>
          <cell r="D3525">
            <v>41244</v>
          </cell>
          <cell r="E3525">
            <v>4483100</v>
          </cell>
          <cell r="F3525">
            <v>4483100</v>
          </cell>
          <cell r="G3525">
            <v>26976200</v>
          </cell>
          <cell r="H3525">
            <v>373592</v>
          </cell>
          <cell r="I3525">
            <v>730000</v>
          </cell>
        </row>
        <row r="3526">
          <cell r="A3526" t="str">
            <v>H160|459002</v>
          </cell>
          <cell r="B3526" t="str">
            <v>H160</v>
          </cell>
          <cell r="C3526">
            <v>459002</v>
          </cell>
          <cell r="D3526">
            <v>41244</v>
          </cell>
          <cell r="E3526">
            <v>143527500</v>
          </cell>
          <cell r="F3526">
            <v>143527500</v>
          </cell>
          <cell r="G3526">
            <v>0</v>
          </cell>
          <cell r="H3526">
            <v>11960625</v>
          </cell>
          <cell r="I3526">
            <v>-183606322</v>
          </cell>
        </row>
        <row r="3527">
          <cell r="A3527" t="str">
            <v>H160|459004</v>
          </cell>
          <cell r="B3527" t="str">
            <v>H160</v>
          </cell>
          <cell r="C3527">
            <v>459004</v>
          </cell>
          <cell r="D3527">
            <v>41244</v>
          </cell>
          <cell r="E3527">
            <v>7396200</v>
          </cell>
          <cell r="F3527">
            <v>7396200</v>
          </cell>
          <cell r="G3527">
            <v>0</v>
          </cell>
          <cell r="H3527">
            <v>616350</v>
          </cell>
          <cell r="I3527">
            <v>0</v>
          </cell>
        </row>
        <row r="3528">
          <cell r="A3528" t="str">
            <v>H160|473120</v>
          </cell>
          <cell r="B3528" t="str">
            <v>H160</v>
          </cell>
          <cell r="C3528">
            <v>473120</v>
          </cell>
          <cell r="D3528">
            <v>41244</v>
          </cell>
          <cell r="E3528">
            <v>15734200</v>
          </cell>
          <cell r="F3528">
            <v>15734200</v>
          </cell>
          <cell r="G3528">
            <v>16329366</v>
          </cell>
          <cell r="H3528">
            <v>1311183</v>
          </cell>
          <cell r="I3528">
            <v>0</v>
          </cell>
        </row>
        <row r="3529">
          <cell r="A3529" t="str">
            <v>H160|474101</v>
          </cell>
          <cell r="B3529" t="str">
            <v>H160</v>
          </cell>
          <cell r="C3529">
            <v>474101</v>
          </cell>
          <cell r="D3529">
            <v>41244</v>
          </cell>
          <cell r="E3529">
            <v>10017184</v>
          </cell>
          <cell r="F3529">
            <v>10017184</v>
          </cell>
          <cell r="G3529">
            <v>16409805</v>
          </cell>
          <cell r="H3529">
            <v>834765</v>
          </cell>
          <cell r="I3529">
            <v>0</v>
          </cell>
        </row>
        <row r="3530">
          <cell r="A3530" t="str">
            <v>H160|475003</v>
          </cell>
          <cell r="B3530" t="str">
            <v>H160</v>
          </cell>
          <cell r="C3530">
            <v>475003</v>
          </cell>
          <cell r="D3530">
            <v>41244</v>
          </cell>
          <cell r="E3530">
            <v>550000</v>
          </cell>
          <cell r="F3530">
            <v>550000</v>
          </cell>
          <cell r="G3530">
            <v>2608868</v>
          </cell>
          <cell r="H3530">
            <v>45833</v>
          </cell>
          <cell r="I3530">
            <v>0</v>
          </cell>
        </row>
        <row r="3531">
          <cell r="A3531" t="str">
            <v>H160|476900</v>
          </cell>
          <cell r="B3531" t="str">
            <v>H160</v>
          </cell>
          <cell r="C3531">
            <v>476900</v>
          </cell>
          <cell r="D3531">
            <v>41244</v>
          </cell>
          <cell r="E3531">
            <v>0</v>
          </cell>
          <cell r="F3531">
            <v>0</v>
          </cell>
          <cell r="G3531">
            <v>2948064</v>
          </cell>
          <cell r="H3531">
            <v>0</v>
          </cell>
          <cell r="I3531">
            <v>0</v>
          </cell>
        </row>
        <row r="3532">
          <cell r="A3532" t="str">
            <v>H210|211100</v>
          </cell>
          <cell r="B3532" t="str">
            <v>H210</v>
          </cell>
          <cell r="C3532">
            <v>211100</v>
          </cell>
          <cell r="D3532">
            <v>41244</v>
          </cell>
          <cell r="E3532">
            <v>685757</v>
          </cell>
          <cell r="F3532">
            <v>685757</v>
          </cell>
          <cell r="G3532">
            <v>685757</v>
          </cell>
          <cell r="H3532">
            <v>57146</v>
          </cell>
          <cell r="I3532">
            <v>57146</v>
          </cell>
        </row>
        <row r="3533">
          <cell r="A3533" t="str">
            <v>H210|473120</v>
          </cell>
          <cell r="B3533" t="str">
            <v>H210</v>
          </cell>
          <cell r="C3533">
            <v>473120</v>
          </cell>
          <cell r="D3533">
            <v>41244</v>
          </cell>
          <cell r="E3533">
            <v>0</v>
          </cell>
          <cell r="F3533">
            <v>0</v>
          </cell>
          <cell r="G3533">
            <v>2994104</v>
          </cell>
          <cell r="H3533">
            <v>0</v>
          </cell>
          <cell r="I3533">
            <v>0</v>
          </cell>
        </row>
        <row r="3534">
          <cell r="A3534" t="str">
            <v>0200|477500</v>
          </cell>
          <cell r="B3534" t="str">
            <v>0200</v>
          </cell>
          <cell r="C3534">
            <v>477500</v>
          </cell>
          <cell r="D3534">
            <v>41244</v>
          </cell>
          <cell r="E3534">
            <v>0</v>
          </cell>
          <cell r="F3534">
            <v>0</v>
          </cell>
          <cell r="G3534">
            <v>371000</v>
          </cell>
          <cell r="H3534">
            <v>0</v>
          </cell>
          <cell r="I3534">
            <v>0</v>
          </cell>
        </row>
        <row r="3535">
          <cell r="A3535" t="str">
            <v>0200|446003</v>
          </cell>
          <cell r="B3535" t="str">
            <v>0200</v>
          </cell>
          <cell r="C3535">
            <v>446003</v>
          </cell>
          <cell r="D3535">
            <v>41244</v>
          </cell>
          <cell r="E3535">
            <v>0</v>
          </cell>
          <cell r="F3535">
            <v>0</v>
          </cell>
          <cell r="G3535">
            <v>300000</v>
          </cell>
          <cell r="H3535">
            <v>0</v>
          </cell>
          <cell r="I3535">
            <v>100000</v>
          </cell>
        </row>
        <row r="3536">
          <cell r="A3536" t="str">
            <v>0230|446003</v>
          </cell>
          <cell r="B3536" t="str">
            <v>0230</v>
          </cell>
          <cell r="C3536">
            <v>446003</v>
          </cell>
          <cell r="D3536">
            <v>41244</v>
          </cell>
          <cell r="E3536">
            <v>0</v>
          </cell>
          <cell r="F3536">
            <v>0</v>
          </cell>
          <cell r="G3536">
            <v>900000</v>
          </cell>
          <cell r="H3536">
            <v>0</v>
          </cell>
          <cell r="I3536">
            <v>300000</v>
          </cell>
        </row>
        <row r="3537">
          <cell r="A3537" t="str">
            <v>0260|446003</v>
          </cell>
          <cell r="B3537" t="str">
            <v>0260</v>
          </cell>
          <cell r="C3537">
            <v>446003</v>
          </cell>
          <cell r="D3537">
            <v>41244</v>
          </cell>
          <cell r="E3537">
            <v>0</v>
          </cell>
          <cell r="F3537">
            <v>0</v>
          </cell>
          <cell r="G3537">
            <v>450000</v>
          </cell>
          <cell r="H3537">
            <v>0</v>
          </cell>
          <cell r="I3537">
            <v>150000</v>
          </cell>
        </row>
        <row r="3538">
          <cell r="A3538" t="str">
            <v>0310|446003</v>
          </cell>
          <cell r="B3538" t="str">
            <v>0310</v>
          </cell>
          <cell r="C3538">
            <v>446003</v>
          </cell>
          <cell r="D3538">
            <v>41244</v>
          </cell>
          <cell r="E3538">
            <v>0</v>
          </cell>
          <cell r="F3538">
            <v>0</v>
          </cell>
          <cell r="G3538">
            <v>300000</v>
          </cell>
          <cell r="H3538">
            <v>0</v>
          </cell>
          <cell r="I3538">
            <v>100000</v>
          </cell>
        </row>
        <row r="3539">
          <cell r="A3539" t="str">
            <v>0340|446003</v>
          </cell>
          <cell r="B3539" t="str">
            <v>0340</v>
          </cell>
          <cell r="C3539">
            <v>446003</v>
          </cell>
          <cell r="D3539">
            <v>41244</v>
          </cell>
          <cell r="E3539">
            <v>0</v>
          </cell>
          <cell r="F3539">
            <v>0</v>
          </cell>
          <cell r="G3539">
            <v>2650000</v>
          </cell>
          <cell r="H3539">
            <v>0</v>
          </cell>
          <cell r="I3539">
            <v>850000</v>
          </cell>
        </row>
        <row r="3540">
          <cell r="A3540" t="str">
            <v>0510|475004</v>
          </cell>
          <cell r="B3540" t="str">
            <v>0510</v>
          </cell>
          <cell r="C3540">
            <v>475004</v>
          </cell>
          <cell r="D3540">
            <v>41244</v>
          </cell>
          <cell r="E3540">
            <v>0</v>
          </cell>
          <cell r="F3540">
            <v>0</v>
          </cell>
          <cell r="G3540">
            <v>5189000</v>
          </cell>
          <cell r="H3540">
            <v>0</v>
          </cell>
          <cell r="I3540">
            <v>2000000</v>
          </cell>
        </row>
        <row r="3541">
          <cell r="A3541" t="str">
            <v>0510|446003</v>
          </cell>
          <cell r="B3541" t="str">
            <v>0510</v>
          </cell>
          <cell r="C3541">
            <v>446003</v>
          </cell>
          <cell r="D3541">
            <v>41244</v>
          </cell>
          <cell r="E3541">
            <v>0</v>
          </cell>
          <cell r="F3541">
            <v>0</v>
          </cell>
          <cell r="G3541">
            <v>450000</v>
          </cell>
          <cell r="H3541">
            <v>0</v>
          </cell>
          <cell r="I3541">
            <v>150000</v>
          </cell>
        </row>
        <row r="3542">
          <cell r="A3542" t="str">
            <v>0510|449012</v>
          </cell>
          <cell r="B3542" t="str">
            <v>0510</v>
          </cell>
          <cell r="C3542">
            <v>449012</v>
          </cell>
          <cell r="D3542">
            <v>41244</v>
          </cell>
          <cell r="E3542">
            <v>0</v>
          </cell>
          <cell r="F3542">
            <v>0</v>
          </cell>
          <cell r="G3542">
            <v>41294880</v>
          </cell>
          <cell r="H3542">
            <v>0</v>
          </cell>
          <cell r="I3542">
            <v>0</v>
          </cell>
        </row>
        <row r="3543">
          <cell r="A3543" t="str">
            <v>0520|446003</v>
          </cell>
          <cell r="B3543" t="str">
            <v>0520</v>
          </cell>
          <cell r="C3543">
            <v>446003</v>
          </cell>
          <cell r="D3543">
            <v>41244</v>
          </cell>
          <cell r="E3543">
            <v>0</v>
          </cell>
          <cell r="F3543">
            <v>0</v>
          </cell>
          <cell r="G3543">
            <v>300000</v>
          </cell>
          <cell r="H3543">
            <v>0</v>
          </cell>
          <cell r="I3543">
            <v>0</v>
          </cell>
        </row>
        <row r="3544">
          <cell r="A3544" t="str">
            <v>0530|476900</v>
          </cell>
          <cell r="B3544" t="str">
            <v>0530</v>
          </cell>
          <cell r="C3544">
            <v>476900</v>
          </cell>
          <cell r="D3544">
            <v>41244</v>
          </cell>
          <cell r="E3544">
            <v>0</v>
          </cell>
          <cell r="F3544">
            <v>0</v>
          </cell>
          <cell r="G3544">
            <v>2281275</v>
          </cell>
          <cell r="H3544">
            <v>0</v>
          </cell>
          <cell r="I3544">
            <v>0</v>
          </cell>
        </row>
        <row r="3545">
          <cell r="A3545" t="str">
            <v>1100|446003</v>
          </cell>
          <cell r="B3545" t="str">
            <v>1100</v>
          </cell>
          <cell r="C3545">
            <v>446003</v>
          </cell>
          <cell r="D3545">
            <v>41244</v>
          </cell>
          <cell r="E3545">
            <v>0</v>
          </cell>
          <cell r="F3545">
            <v>0</v>
          </cell>
          <cell r="G3545">
            <v>600000</v>
          </cell>
          <cell r="H3545">
            <v>0</v>
          </cell>
          <cell r="I3545">
            <v>200000</v>
          </cell>
        </row>
        <row r="3546">
          <cell r="A3546" t="str">
            <v>1110|474100</v>
          </cell>
          <cell r="B3546" t="str">
            <v>1110</v>
          </cell>
          <cell r="C3546">
            <v>474100</v>
          </cell>
          <cell r="D3546">
            <v>41244</v>
          </cell>
          <cell r="E3546">
            <v>0</v>
          </cell>
          <cell r="F3546">
            <v>0</v>
          </cell>
          <cell r="G3546">
            <v>150000</v>
          </cell>
          <cell r="H3546">
            <v>0</v>
          </cell>
          <cell r="I3546">
            <v>0</v>
          </cell>
        </row>
        <row r="3547">
          <cell r="A3547" t="str">
            <v>1200|446003</v>
          </cell>
          <cell r="B3547" t="str">
            <v>1200</v>
          </cell>
          <cell r="C3547">
            <v>446003</v>
          </cell>
          <cell r="D3547">
            <v>41244</v>
          </cell>
          <cell r="E3547">
            <v>0</v>
          </cell>
          <cell r="F3547">
            <v>0</v>
          </cell>
          <cell r="G3547">
            <v>3700000</v>
          </cell>
          <cell r="H3547">
            <v>0</v>
          </cell>
          <cell r="I3547">
            <v>1150000</v>
          </cell>
        </row>
        <row r="3548">
          <cell r="A3548" t="str">
            <v>1300|446003</v>
          </cell>
          <cell r="B3548" t="str">
            <v>1300</v>
          </cell>
          <cell r="C3548">
            <v>446003</v>
          </cell>
          <cell r="D3548">
            <v>41244</v>
          </cell>
          <cell r="E3548">
            <v>0</v>
          </cell>
          <cell r="F3548">
            <v>0</v>
          </cell>
          <cell r="G3548">
            <v>450000</v>
          </cell>
          <cell r="H3548">
            <v>0</v>
          </cell>
          <cell r="I3548">
            <v>150000</v>
          </cell>
        </row>
        <row r="3549">
          <cell r="A3549" t="str">
            <v>1400|446003</v>
          </cell>
          <cell r="B3549" t="str">
            <v>1400</v>
          </cell>
          <cell r="C3549">
            <v>446003</v>
          </cell>
          <cell r="D3549">
            <v>41244</v>
          </cell>
          <cell r="E3549">
            <v>0</v>
          </cell>
          <cell r="F3549">
            <v>0</v>
          </cell>
          <cell r="G3549">
            <v>1500000</v>
          </cell>
          <cell r="H3549">
            <v>0</v>
          </cell>
          <cell r="I3549">
            <v>500000</v>
          </cell>
        </row>
        <row r="3550">
          <cell r="A3550" t="str">
            <v>1500|446003</v>
          </cell>
          <cell r="B3550" t="str">
            <v>1500</v>
          </cell>
          <cell r="C3550">
            <v>446003</v>
          </cell>
          <cell r="D3550">
            <v>41244</v>
          </cell>
          <cell r="E3550">
            <v>0</v>
          </cell>
          <cell r="F3550">
            <v>0</v>
          </cell>
          <cell r="G3550">
            <v>300000</v>
          </cell>
          <cell r="H3550">
            <v>0</v>
          </cell>
          <cell r="I3550">
            <v>100000</v>
          </cell>
        </row>
        <row r="3551">
          <cell r="A3551" t="str">
            <v>1510|446003</v>
          </cell>
          <cell r="B3551" t="str">
            <v>1510</v>
          </cell>
          <cell r="C3551">
            <v>446003</v>
          </cell>
          <cell r="D3551">
            <v>41244</v>
          </cell>
          <cell r="E3551">
            <v>0</v>
          </cell>
          <cell r="F3551">
            <v>0</v>
          </cell>
          <cell r="G3551">
            <v>1300000</v>
          </cell>
          <cell r="H3551">
            <v>0</v>
          </cell>
          <cell r="I3551">
            <v>450000</v>
          </cell>
        </row>
        <row r="3552">
          <cell r="A3552" t="str">
            <v>1550|455001</v>
          </cell>
          <cell r="B3552" t="str">
            <v>1550</v>
          </cell>
          <cell r="C3552">
            <v>455001</v>
          </cell>
          <cell r="D3552">
            <v>41244</v>
          </cell>
          <cell r="E3552">
            <v>0</v>
          </cell>
          <cell r="F3552">
            <v>0</v>
          </cell>
          <cell r="G3552">
            <v>170454</v>
          </cell>
          <cell r="H3552">
            <v>0</v>
          </cell>
          <cell r="I3552">
            <v>0</v>
          </cell>
        </row>
        <row r="3553">
          <cell r="A3553" t="str">
            <v>1550|446003</v>
          </cell>
          <cell r="B3553" t="str">
            <v>1550</v>
          </cell>
          <cell r="C3553">
            <v>446003</v>
          </cell>
          <cell r="D3553">
            <v>41244</v>
          </cell>
          <cell r="E3553">
            <v>0</v>
          </cell>
          <cell r="F3553">
            <v>0</v>
          </cell>
          <cell r="G3553">
            <v>900000</v>
          </cell>
          <cell r="H3553">
            <v>0</v>
          </cell>
          <cell r="I3553">
            <v>300000</v>
          </cell>
        </row>
        <row r="3554">
          <cell r="A3554" t="str">
            <v>1600|446003</v>
          </cell>
          <cell r="B3554" t="str">
            <v>1600</v>
          </cell>
          <cell r="C3554">
            <v>446003</v>
          </cell>
          <cell r="D3554">
            <v>41244</v>
          </cell>
          <cell r="E3554">
            <v>0</v>
          </cell>
          <cell r="F3554">
            <v>0</v>
          </cell>
          <cell r="G3554">
            <v>750000</v>
          </cell>
          <cell r="H3554">
            <v>0</v>
          </cell>
          <cell r="I3554">
            <v>250000</v>
          </cell>
        </row>
        <row r="3555">
          <cell r="A3555" t="str">
            <v>1610|446003</v>
          </cell>
          <cell r="B3555" t="str">
            <v>1610</v>
          </cell>
          <cell r="C3555">
            <v>446003</v>
          </cell>
          <cell r="D3555">
            <v>41244</v>
          </cell>
          <cell r="E3555">
            <v>0</v>
          </cell>
          <cell r="F3555">
            <v>0</v>
          </cell>
          <cell r="G3555">
            <v>1350000</v>
          </cell>
          <cell r="H3555">
            <v>0</v>
          </cell>
          <cell r="I3555">
            <v>450000</v>
          </cell>
        </row>
        <row r="3556">
          <cell r="A3556" t="str">
            <v>1700|434012</v>
          </cell>
          <cell r="B3556" t="str">
            <v>1700</v>
          </cell>
          <cell r="C3556">
            <v>434012</v>
          </cell>
          <cell r="D3556">
            <v>41244</v>
          </cell>
          <cell r="E3556">
            <v>0</v>
          </cell>
          <cell r="F3556">
            <v>0</v>
          </cell>
          <cell r="G3556">
            <v>1383253</v>
          </cell>
          <cell r="H3556">
            <v>0</v>
          </cell>
          <cell r="I3556">
            <v>982145</v>
          </cell>
        </row>
        <row r="3557">
          <cell r="A3557" t="str">
            <v>1700|446003</v>
          </cell>
          <cell r="B3557" t="str">
            <v>1700</v>
          </cell>
          <cell r="C3557">
            <v>446003</v>
          </cell>
          <cell r="D3557">
            <v>41244</v>
          </cell>
          <cell r="E3557">
            <v>0</v>
          </cell>
          <cell r="F3557">
            <v>0</v>
          </cell>
          <cell r="G3557">
            <v>450000</v>
          </cell>
          <cell r="H3557">
            <v>0</v>
          </cell>
          <cell r="I3557">
            <v>150000</v>
          </cell>
        </row>
        <row r="3558">
          <cell r="A3558" t="str">
            <v>2100|446003</v>
          </cell>
          <cell r="B3558" t="str">
            <v>2100</v>
          </cell>
          <cell r="C3558">
            <v>446003</v>
          </cell>
          <cell r="D3558">
            <v>41244</v>
          </cell>
          <cell r="E3558">
            <v>0</v>
          </cell>
          <cell r="F3558">
            <v>0</v>
          </cell>
          <cell r="G3558">
            <v>450000</v>
          </cell>
          <cell r="H3558">
            <v>0</v>
          </cell>
          <cell r="I3558">
            <v>150000</v>
          </cell>
        </row>
        <row r="3559">
          <cell r="A3559" t="str">
            <v>2220|400040</v>
          </cell>
          <cell r="B3559" t="str">
            <v>2220</v>
          </cell>
          <cell r="C3559">
            <v>400040</v>
          </cell>
          <cell r="D3559">
            <v>41244</v>
          </cell>
          <cell r="E3559">
            <v>0</v>
          </cell>
          <cell r="F3559">
            <v>0</v>
          </cell>
          <cell r="G3559">
            <v>623633</v>
          </cell>
          <cell r="H3559">
            <v>0</v>
          </cell>
          <cell r="I3559">
            <v>335894</v>
          </cell>
        </row>
        <row r="3560">
          <cell r="A3560" t="str">
            <v>2220|422002</v>
          </cell>
          <cell r="B3560" t="str">
            <v>2220</v>
          </cell>
          <cell r="C3560">
            <v>422002</v>
          </cell>
          <cell r="D3560">
            <v>41244</v>
          </cell>
          <cell r="E3560">
            <v>0</v>
          </cell>
          <cell r="F3560">
            <v>0</v>
          </cell>
          <cell r="G3560">
            <v>39850</v>
          </cell>
          <cell r="H3560">
            <v>0</v>
          </cell>
          <cell r="I3560">
            <v>10700</v>
          </cell>
        </row>
        <row r="3561">
          <cell r="A3561" t="str">
            <v>2270|446003</v>
          </cell>
          <cell r="B3561" t="str">
            <v>2270</v>
          </cell>
          <cell r="C3561">
            <v>446003</v>
          </cell>
          <cell r="D3561">
            <v>41244</v>
          </cell>
          <cell r="E3561">
            <v>0</v>
          </cell>
          <cell r="F3561">
            <v>0</v>
          </cell>
          <cell r="G3561">
            <v>1000000</v>
          </cell>
          <cell r="H3561">
            <v>0</v>
          </cell>
          <cell r="I3561">
            <v>300000</v>
          </cell>
        </row>
        <row r="3562">
          <cell r="A3562" t="str">
            <v>2300|446003</v>
          </cell>
          <cell r="B3562" t="str">
            <v>2300</v>
          </cell>
          <cell r="C3562">
            <v>446003</v>
          </cell>
          <cell r="D3562">
            <v>41244</v>
          </cell>
          <cell r="E3562">
            <v>0</v>
          </cell>
          <cell r="F3562">
            <v>0</v>
          </cell>
          <cell r="G3562">
            <v>550000</v>
          </cell>
          <cell r="H3562">
            <v>0</v>
          </cell>
          <cell r="I3562">
            <v>150000</v>
          </cell>
        </row>
        <row r="3563">
          <cell r="A3563" t="str">
            <v>3100|446003</v>
          </cell>
          <cell r="B3563" t="str">
            <v>3100</v>
          </cell>
          <cell r="C3563">
            <v>446003</v>
          </cell>
          <cell r="D3563">
            <v>41244</v>
          </cell>
          <cell r="E3563">
            <v>0</v>
          </cell>
          <cell r="F3563">
            <v>0</v>
          </cell>
          <cell r="G3563">
            <v>550000</v>
          </cell>
          <cell r="H3563">
            <v>0</v>
          </cell>
          <cell r="I3563">
            <v>150000</v>
          </cell>
        </row>
        <row r="3564">
          <cell r="A3564" t="str">
            <v>3130|446003</v>
          </cell>
          <cell r="B3564" t="str">
            <v>3130</v>
          </cell>
          <cell r="C3564">
            <v>446003</v>
          </cell>
          <cell r="D3564">
            <v>41244</v>
          </cell>
          <cell r="E3564">
            <v>0</v>
          </cell>
          <cell r="F3564">
            <v>0</v>
          </cell>
          <cell r="G3564">
            <v>450000</v>
          </cell>
          <cell r="H3564">
            <v>0</v>
          </cell>
          <cell r="I3564">
            <v>150000</v>
          </cell>
        </row>
        <row r="3565">
          <cell r="A3565" t="str">
            <v>3200|459000</v>
          </cell>
          <cell r="B3565" t="str">
            <v>3200</v>
          </cell>
          <cell r="C3565">
            <v>459000</v>
          </cell>
          <cell r="D3565">
            <v>41244</v>
          </cell>
          <cell r="E3565">
            <v>0</v>
          </cell>
          <cell r="F3565">
            <v>0</v>
          </cell>
          <cell r="G3565">
            <v>1272730</v>
          </cell>
          <cell r="H3565">
            <v>0</v>
          </cell>
          <cell r="I3565">
            <v>0</v>
          </cell>
        </row>
        <row r="3566">
          <cell r="A3566" t="str">
            <v>3200|439006</v>
          </cell>
          <cell r="B3566" t="str">
            <v>3200</v>
          </cell>
          <cell r="C3566">
            <v>439006</v>
          </cell>
          <cell r="D3566">
            <v>41244</v>
          </cell>
          <cell r="E3566">
            <v>0</v>
          </cell>
          <cell r="F3566">
            <v>0</v>
          </cell>
          <cell r="G3566">
            <v>45128239</v>
          </cell>
          <cell r="H3566">
            <v>0</v>
          </cell>
          <cell r="I3566">
            <v>0</v>
          </cell>
        </row>
        <row r="3567">
          <cell r="A3567" t="str">
            <v>3200|446003</v>
          </cell>
          <cell r="B3567" t="str">
            <v>3200</v>
          </cell>
          <cell r="C3567">
            <v>446003</v>
          </cell>
          <cell r="D3567">
            <v>41244</v>
          </cell>
          <cell r="E3567">
            <v>0</v>
          </cell>
          <cell r="F3567">
            <v>0</v>
          </cell>
          <cell r="G3567">
            <v>900000</v>
          </cell>
          <cell r="H3567">
            <v>0</v>
          </cell>
          <cell r="I3567">
            <v>300000</v>
          </cell>
        </row>
        <row r="3568">
          <cell r="A3568" t="str">
            <v>3200|470001</v>
          </cell>
          <cell r="B3568" t="str">
            <v>3200</v>
          </cell>
          <cell r="C3568">
            <v>470001</v>
          </cell>
          <cell r="D3568">
            <v>41244</v>
          </cell>
          <cell r="E3568">
            <v>0</v>
          </cell>
          <cell r="F3568">
            <v>0</v>
          </cell>
          <cell r="G3568">
            <v>81014379</v>
          </cell>
          <cell r="H3568">
            <v>0</v>
          </cell>
          <cell r="I3568">
            <v>27004793</v>
          </cell>
        </row>
        <row r="3569">
          <cell r="A3569" t="str">
            <v>3210|416103</v>
          </cell>
          <cell r="B3569" t="str">
            <v>3210</v>
          </cell>
          <cell r="C3569">
            <v>416103</v>
          </cell>
          <cell r="D3569">
            <v>41244</v>
          </cell>
          <cell r="E3569">
            <v>0</v>
          </cell>
          <cell r="F3569">
            <v>0</v>
          </cell>
          <cell r="G3569">
            <v>53576667</v>
          </cell>
          <cell r="H3569">
            <v>0</v>
          </cell>
          <cell r="I3569">
            <v>7640000</v>
          </cell>
        </row>
        <row r="3570">
          <cell r="A3570" t="str">
            <v>3210|416303</v>
          </cell>
          <cell r="B3570" t="str">
            <v>3210</v>
          </cell>
          <cell r="C3570">
            <v>416303</v>
          </cell>
          <cell r="D3570">
            <v>41244</v>
          </cell>
          <cell r="E3570">
            <v>0</v>
          </cell>
          <cell r="F3570">
            <v>0</v>
          </cell>
          <cell r="G3570">
            <v>31307333</v>
          </cell>
          <cell r="H3570">
            <v>0</v>
          </cell>
          <cell r="I3570">
            <v>3236000</v>
          </cell>
        </row>
        <row r="3571">
          <cell r="A3571" t="str">
            <v>3210|446003</v>
          </cell>
          <cell r="B3571" t="str">
            <v>3210</v>
          </cell>
          <cell r="C3571">
            <v>446003</v>
          </cell>
          <cell r="D3571">
            <v>41244</v>
          </cell>
          <cell r="E3571">
            <v>0</v>
          </cell>
          <cell r="F3571">
            <v>0</v>
          </cell>
          <cell r="G3571">
            <v>450000</v>
          </cell>
          <cell r="H3571">
            <v>0</v>
          </cell>
          <cell r="I3571">
            <v>150000</v>
          </cell>
        </row>
        <row r="3572">
          <cell r="A3572" t="str">
            <v>3220|476900</v>
          </cell>
          <cell r="B3572" t="str">
            <v>3220</v>
          </cell>
          <cell r="C3572">
            <v>476900</v>
          </cell>
          <cell r="D3572">
            <v>41244</v>
          </cell>
          <cell r="E3572">
            <v>0</v>
          </cell>
          <cell r="F3572">
            <v>0</v>
          </cell>
          <cell r="G3572">
            <v>1276300</v>
          </cell>
          <cell r="H3572">
            <v>0</v>
          </cell>
          <cell r="I3572">
            <v>0</v>
          </cell>
        </row>
        <row r="3573">
          <cell r="A3573" t="str">
            <v>3220|446003</v>
          </cell>
          <cell r="B3573" t="str">
            <v>3220</v>
          </cell>
          <cell r="C3573">
            <v>446003</v>
          </cell>
          <cell r="D3573">
            <v>41244</v>
          </cell>
          <cell r="E3573">
            <v>0</v>
          </cell>
          <cell r="F3573">
            <v>0</v>
          </cell>
          <cell r="G3573">
            <v>450000</v>
          </cell>
          <cell r="H3573">
            <v>0</v>
          </cell>
          <cell r="I3573">
            <v>150000</v>
          </cell>
        </row>
        <row r="3574">
          <cell r="A3574" t="str">
            <v>3300|446003</v>
          </cell>
          <cell r="B3574" t="str">
            <v>3300</v>
          </cell>
          <cell r="C3574">
            <v>446003</v>
          </cell>
          <cell r="D3574">
            <v>41244</v>
          </cell>
          <cell r="E3574">
            <v>0</v>
          </cell>
          <cell r="F3574">
            <v>0</v>
          </cell>
          <cell r="G3574">
            <v>1050000</v>
          </cell>
          <cell r="H3574">
            <v>0</v>
          </cell>
          <cell r="I3574">
            <v>450000</v>
          </cell>
        </row>
        <row r="3575">
          <cell r="A3575" t="str">
            <v>3310|446003</v>
          </cell>
          <cell r="B3575" t="str">
            <v>3310</v>
          </cell>
          <cell r="C3575">
            <v>446003</v>
          </cell>
          <cell r="D3575">
            <v>41244</v>
          </cell>
          <cell r="E3575">
            <v>0</v>
          </cell>
          <cell r="F3575">
            <v>0</v>
          </cell>
          <cell r="G3575">
            <v>750000</v>
          </cell>
          <cell r="H3575">
            <v>0</v>
          </cell>
          <cell r="I3575">
            <v>250000</v>
          </cell>
        </row>
        <row r="3576">
          <cell r="A3576" t="str">
            <v>3400|477500</v>
          </cell>
          <cell r="B3576" t="str">
            <v>3400</v>
          </cell>
          <cell r="C3576">
            <v>477500</v>
          </cell>
          <cell r="D3576">
            <v>41244</v>
          </cell>
          <cell r="E3576">
            <v>0</v>
          </cell>
          <cell r="F3576">
            <v>0</v>
          </cell>
          <cell r="G3576">
            <v>138000</v>
          </cell>
          <cell r="H3576">
            <v>0</v>
          </cell>
          <cell r="I3576">
            <v>0</v>
          </cell>
        </row>
        <row r="3577">
          <cell r="A3577" t="str">
            <v>3400|446003</v>
          </cell>
          <cell r="B3577" t="str">
            <v>3400</v>
          </cell>
          <cell r="C3577">
            <v>446003</v>
          </cell>
          <cell r="D3577">
            <v>41244</v>
          </cell>
          <cell r="E3577">
            <v>0</v>
          </cell>
          <cell r="F3577">
            <v>0</v>
          </cell>
          <cell r="G3577">
            <v>450000</v>
          </cell>
          <cell r="H3577">
            <v>0</v>
          </cell>
          <cell r="I3577">
            <v>150000</v>
          </cell>
        </row>
        <row r="3578">
          <cell r="A3578" t="str">
            <v>3410|477910</v>
          </cell>
          <cell r="B3578" t="str">
            <v>3410</v>
          </cell>
          <cell r="C3578">
            <v>477910</v>
          </cell>
          <cell r="D3578">
            <v>41244</v>
          </cell>
          <cell r="E3578">
            <v>0</v>
          </cell>
          <cell r="F3578">
            <v>0</v>
          </cell>
          <cell r="G3578">
            <v>-3675000</v>
          </cell>
          <cell r="H3578">
            <v>0</v>
          </cell>
          <cell r="I3578">
            <v>0</v>
          </cell>
        </row>
        <row r="3579">
          <cell r="A3579" t="str">
            <v>3410|446003</v>
          </cell>
          <cell r="B3579" t="str">
            <v>3410</v>
          </cell>
          <cell r="C3579">
            <v>446003</v>
          </cell>
          <cell r="D3579">
            <v>41244</v>
          </cell>
          <cell r="E3579">
            <v>0</v>
          </cell>
          <cell r="F3579">
            <v>0</v>
          </cell>
          <cell r="G3579">
            <v>1200000</v>
          </cell>
          <cell r="H3579">
            <v>0</v>
          </cell>
          <cell r="I3579">
            <v>400000</v>
          </cell>
        </row>
        <row r="3580">
          <cell r="A3580" t="str">
            <v>3420|446003</v>
          </cell>
          <cell r="B3580" t="str">
            <v>3420</v>
          </cell>
          <cell r="C3580">
            <v>446003</v>
          </cell>
          <cell r="D3580">
            <v>41244</v>
          </cell>
          <cell r="E3580">
            <v>0</v>
          </cell>
          <cell r="F3580">
            <v>0</v>
          </cell>
          <cell r="G3580">
            <v>1050000</v>
          </cell>
          <cell r="H3580">
            <v>0</v>
          </cell>
          <cell r="I3580">
            <v>350000</v>
          </cell>
        </row>
        <row r="3581">
          <cell r="A3581" t="str">
            <v>3430|446003</v>
          </cell>
          <cell r="B3581" t="str">
            <v>3430</v>
          </cell>
          <cell r="C3581">
            <v>446003</v>
          </cell>
          <cell r="D3581">
            <v>41244</v>
          </cell>
          <cell r="E3581">
            <v>0</v>
          </cell>
          <cell r="F3581">
            <v>0</v>
          </cell>
          <cell r="G3581">
            <v>1950000</v>
          </cell>
          <cell r="H3581">
            <v>0</v>
          </cell>
          <cell r="I3581">
            <v>650000</v>
          </cell>
        </row>
        <row r="3582">
          <cell r="A3582" t="str">
            <v>3440|446003</v>
          </cell>
          <cell r="B3582" t="str">
            <v>3440</v>
          </cell>
          <cell r="C3582">
            <v>446003</v>
          </cell>
          <cell r="D3582">
            <v>41244</v>
          </cell>
          <cell r="E3582">
            <v>0</v>
          </cell>
          <cell r="F3582">
            <v>0</v>
          </cell>
          <cell r="G3582">
            <v>1200000</v>
          </cell>
          <cell r="H3582">
            <v>0</v>
          </cell>
          <cell r="I3582">
            <v>400000</v>
          </cell>
        </row>
        <row r="3583">
          <cell r="A3583" t="str">
            <v>3450|446003</v>
          </cell>
          <cell r="B3583" t="str">
            <v>3450</v>
          </cell>
          <cell r="C3583">
            <v>446003</v>
          </cell>
          <cell r="D3583">
            <v>41244</v>
          </cell>
          <cell r="E3583">
            <v>0</v>
          </cell>
          <cell r="F3583">
            <v>0</v>
          </cell>
          <cell r="G3583">
            <v>300000</v>
          </cell>
          <cell r="H3583">
            <v>0</v>
          </cell>
          <cell r="I3583">
            <v>100000</v>
          </cell>
        </row>
        <row r="3584">
          <cell r="A3584" t="str">
            <v>3460|446003</v>
          </cell>
          <cell r="B3584" t="str">
            <v>3460</v>
          </cell>
          <cell r="C3584">
            <v>446003</v>
          </cell>
          <cell r="D3584">
            <v>41244</v>
          </cell>
          <cell r="E3584">
            <v>0</v>
          </cell>
          <cell r="F3584">
            <v>0</v>
          </cell>
          <cell r="G3584">
            <v>2250000</v>
          </cell>
          <cell r="H3584">
            <v>0</v>
          </cell>
          <cell r="I3584">
            <v>750000</v>
          </cell>
        </row>
        <row r="3585">
          <cell r="A3585" t="str">
            <v>3470|446003</v>
          </cell>
          <cell r="B3585" t="str">
            <v>3470</v>
          </cell>
          <cell r="C3585">
            <v>446003</v>
          </cell>
          <cell r="D3585">
            <v>41244</v>
          </cell>
          <cell r="E3585">
            <v>0</v>
          </cell>
          <cell r="F3585">
            <v>0</v>
          </cell>
          <cell r="G3585">
            <v>600000</v>
          </cell>
          <cell r="H3585">
            <v>0</v>
          </cell>
          <cell r="I3585">
            <v>200000</v>
          </cell>
        </row>
        <row r="3586">
          <cell r="A3586" t="str">
            <v>3490|446003</v>
          </cell>
          <cell r="B3586" t="str">
            <v>3490</v>
          </cell>
          <cell r="C3586">
            <v>446003</v>
          </cell>
          <cell r="D3586">
            <v>41244</v>
          </cell>
          <cell r="E3586">
            <v>0</v>
          </cell>
          <cell r="F3586">
            <v>0</v>
          </cell>
          <cell r="G3586">
            <v>450000</v>
          </cell>
          <cell r="H3586">
            <v>0</v>
          </cell>
          <cell r="I3586">
            <v>150000</v>
          </cell>
        </row>
        <row r="3587">
          <cell r="A3587" t="str">
            <v>3610|472000</v>
          </cell>
          <cell r="B3587" t="str">
            <v>3610</v>
          </cell>
          <cell r="C3587">
            <v>472000</v>
          </cell>
          <cell r="D3587">
            <v>41244</v>
          </cell>
          <cell r="E3587">
            <v>0</v>
          </cell>
          <cell r="F3587">
            <v>0</v>
          </cell>
          <cell r="G3587">
            <v>357617</v>
          </cell>
          <cell r="H3587">
            <v>0</v>
          </cell>
          <cell r="I3587">
            <v>0</v>
          </cell>
        </row>
        <row r="3588">
          <cell r="A3588" t="str">
            <v>3610|446003</v>
          </cell>
          <cell r="B3588" t="str">
            <v>3610</v>
          </cell>
          <cell r="C3588">
            <v>446003</v>
          </cell>
          <cell r="D3588">
            <v>41244</v>
          </cell>
          <cell r="E3588">
            <v>0</v>
          </cell>
          <cell r="F3588">
            <v>0</v>
          </cell>
          <cell r="G3588">
            <v>150000</v>
          </cell>
          <cell r="H3588">
            <v>0</v>
          </cell>
          <cell r="I3588">
            <v>50000</v>
          </cell>
        </row>
        <row r="3589">
          <cell r="A3589" t="str">
            <v>3700|431000</v>
          </cell>
          <cell r="B3589" t="str">
            <v>3700</v>
          </cell>
          <cell r="C3589">
            <v>431000</v>
          </cell>
          <cell r="D3589">
            <v>41244</v>
          </cell>
          <cell r="E3589">
            <v>0</v>
          </cell>
          <cell r="F3589">
            <v>0</v>
          </cell>
          <cell r="G3589">
            <v>184512</v>
          </cell>
          <cell r="H3589">
            <v>0</v>
          </cell>
          <cell r="I3589">
            <v>0</v>
          </cell>
        </row>
        <row r="3590">
          <cell r="A3590" t="str">
            <v>3700|431001</v>
          </cell>
          <cell r="B3590" t="str">
            <v>3700</v>
          </cell>
          <cell r="C3590">
            <v>431001</v>
          </cell>
          <cell r="D3590">
            <v>41244</v>
          </cell>
          <cell r="E3590">
            <v>0</v>
          </cell>
          <cell r="F3590">
            <v>0</v>
          </cell>
          <cell r="G3590">
            <v>146508</v>
          </cell>
          <cell r="H3590">
            <v>0</v>
          </cell>
          <cell r="I3590">
            <v>0</v>
          </cell>
        </row>
        <row r="3591">
          <cell r="A3591" t="str">
            <v>3700|446003</v>
          </cell>
          <cell r="B3591" t="str">
            <v>3700</v>
          </cell>
          <cell r="C3591">
            <v>446003</v>
          </cell>
          <cell r="D3591">
            <v>41244</v>
          </cell>
          <cell r="E3591">
            <v>0</v>
          </cell>
          <cell r="F3591">
            <v>0</v>
          </cell>
          <cell r="G3591">
            <v>300000</v>
          </cell>
          <cell r="H3591">
            <v>0</v>
          </cell>
          <cell r="I3591">
            <v>100000</v>
          </cell>
        </row>
        <row r="3592">
          <cell r="A3592" t="str">
            <v>5100|446003</v>
          </cell>
          <cell r="B3592" t="str">
            <v>5100</v>
          </cell>
          <cell r="C3592">
            <v>446003</v>
          </cell>
          <cell r="D3592">
            <v>41244</v>
          </cell>
          <cell r="E3592">
            <v>0</v>
          </cell>
          <cell r="F3592">
            <v>0</v>
          </cell>
          <cell r="G3592">
            <v>450000</v>
          </cell>
          <cell r="H3592">
            <v>0</v>
          </cell>
          <cell r="I3592">
            <v>150000</v>
          </cell>
        </row>
        <row r="3593">
          <cell r="A3593" t="str">
            <v>5100|449011</v>
          </cell>
          <cell r="B3593" t="str">
            <v>5100</v>
          </cell>
          <cell r="C3593">
            <v>449011</v>
          </cell>
          <cell r="D3593">
            <v>41244</v>
          </cell>
          <cell r="E3593">
            <v>0</v>
          </cell>
          <cell r="F3593">
            <v>0</v>
          </cell>
          <cell r="G3593">
            <v>151031569</v>
          </cell>
          <cell r="H3593">
            <v>0</v>
          </cell>
          <cell r="I3593">
            <v>0</v>
          </cell>
        </row>
        <row r="3594">
          <cell r="A3594" t="str">
            <v>5200|446003</v>
          </cell>
          <cell r="B3594" t="str">
            <v>5200</v>
          </cell>
          <cell r="C3594">
            <v>446003</v>
          </cell>
          <cell r="D3594">
            <v>41244</v>
          </cell>
          <cell r="E3594">
            <v>0</v>
          </cell>
          <cell r="F3594">
            <v>0</v>
          </cell>
          <cell r="G3594">
            <v>1050000</v>
          </cell>
          <cell r="H3594">
            <v>0</v>
          </cell>
          <cell r="I3594">
            <v>350000</v>
          </cell>
        </row>
        <row r="3595">
          <cell r="A3595" t="str">
            <v>5400|439102</v>
          </cell>
          <cell r="B3595" t="str">
            <v>5400</v>
          </cell>
          <cell r="C3595">
            <v>439102</v>
          </cell>
          <cell r="D3595">
            <v>41244</v>
          </cell>
          <cell r="E3595">
            <v>0</v>
          </cell>
          <cell r="F3595">
            <v>0</v>
          </cell>
          <cell r="G3595">
            <v>500000</v>
          </cell>
          <cell r="H3595">
            <v>0</v>
          </cell>
          <cell r="I3595">
            <v>0</v>
          </cell>
        </row>
        <row r="3596">
          <cell r="A3596" t="str">
            <v>5400|446003</v>
          </cell>
          <cell r="B3596" t="str">
            <v>5400</v>
          </cell>
          <cell r="C3596">
            <v>446003</v>
          </cell>
          <cell r="D3596">
            <v>41244</v>
          </cell>
          <cell r="E3596">
            <v>0</v>
          </cell>
          <cell r="F3596">
            <v>0</v>
          </cell>
          <cell r="G3596">
            <v>1500000</v>
          </cell>
          <cell r="H3596">
            <v>0</v>
          </cell>
          <cell r="I3596">
            <v>400000</v>
          </cell>
        </row>
        <row r="3597">
          <cell r="A3597" t="str">
            <v>5400|439101</v>
          </cell>
          <cell r="B3597" t="str">
            <v>5400</v>
          </cell>
          <cell r="C3597">
            <v>439101</v>
          </cell>
          <cell r="D3597">
            <v>41244</v>
          </cell>
          <cell r="E3597">
            <v>0</v>
          </cell>
          <cell r="F3597">
            <v>0</v>
          </cell>
          <cell r="G3597">
            <v>500000</v>
          </cell>
          <cell r="H3597">
            <v>0</v>
          </cell>
          <cell r="I3597">
            <v>0</v>
          </cell>
        </row>
        <row r="3598">
          <cell r="A3598" t="str">
            <v>5700|446003</v>
          </cell>
          <cell r="B3598" t="str">
            <v>5700</v>
          </cell>
          <cell r="C3598">
            <v>446003</v>
          </cell>
          <cell r="D3598">
            <v>41244</v>
          </cell>
          <cell r="E3598">
            <v>0</v>
          </cell>
          <cell r="F3598">
            <v>0</v>
          </cell>
          <cell r="G3598">
            <v>2250000</v>
          </cell>
          <cell r="H3598">
            <v>0</v>
          </cell>
          <cell r="I3598">
            <v>750000</v>
          </cell>
        </row>
        <row r="3599">
          <cell r="A3599" t="str">
            <v>6000|446003</v>
          </cell>
          <cell r="B3599" t="str">
            <v>6000</v>
          </cell>
          <cell r="C3599">
            <v>446003</v>
          </cell>
          <cell r="D3599">
            <v>41244</v>
          </cell>
          <cell r="E3599">
            <v>0</v>
          </cell>
          <cell r="F3599">
            <v>0</v>
          </cell>
          <cell r="G3599">
            <v>450000</v>
          </cell>
          <cell r="H3599">
            <v>0</v>
          </cell>
          <cell r="I3599">
            <v>150000</v>
          </cell>
        </row>
        <row r="3600">
          <cell r="A3600" t="str">
            <v>6110|446003</v>
          </cell>
          <cell r="B3600" t="str">
            <v>6110</v>
          </cell>
          <cell r="C3600">
            <v>446003</v>
          </cell>
          <cell r="D3600">
            <v>41244</v>
          </cell>
          <cell r="E3600">
            <v>0</v>
          </cell>
          <cell r="F3600">
            <v>0</v>
          </cell>
          <cell r="G3600">
            <v>450000</v>
          </cell>
          <cell r="H3600">
            <v>0</v>
          </cell>
          <cell r="I3600">
            <v>150000</v>
          </cell>
        </row>
        <row r="3601">
          <cell r="A3601" t="str">
            <v>6310|446003</v>
          </cell>
          <cell r="B3601" t="str">
            <v>6310</v>
          </cell>
          <cell r="C3601">
            <v>446003</v>
          </cell>
          <cell r="D3601">
            <v>41244</v>
          </cell>
          <cell r="E3601">
            <v>0</v>
          </cell>
          <cell r="F3601">
            <v>0</v>
          </cell>
          <cell r="G3601">
            <v>900000</v>
          </cell>
          <cell r="H3601">
            <v>0</v>
          </cell>
          <cell r="I3601">
            <v>300000</v>
          </cell>
        </row>
        <row r="3602">
          <cell r="A3602" t="str">
            <v>6321|451001</v>
          </cell>
          <cell r="B3602" t="str">
            <v>6321</v>
          </cell>
          <cell r="C3602">
            <v>451001</v>
          </cell>
          <cell r="D3602">
            <v>41244</v>
          </cell>
          <cell r="E3602">
            <v>0</v>
          </cell>
          <cell r="F3602">
            <v>0</v>
          </cell>
          <cell r="G3602">
            <v>14891250</v>
          </cell>
          <cell r="H3602">
            <v>0</v>
          </cell>
          <cell r="I3602">
            <v>0</v>
          </cell>
        </row>
        <row r="3603">
          <cell r="A3603" t="str">
            <v>6323|431000</v>
          </cell>
          <cell r="B3603" t="str">
            <v>6323</v>
          </cell>
          <cell r="C3603">
            <v>431000</v>
          </cell>
          <cell r="D3603">
            <v>41244</v>
          </cell>
          <cell r="E3603">
            <v>0</v>
          </cell>
          <cell r="F3603">
            <v>0</v>
          </cell>
          <cell r="G3603">
            <v>88200</v>
          </cell>
          <cell r="H3603">
            <v>0</v>
          </cell>
          <cell r="I3603">
            <v>0</v>
          </cell>
        </row>
        <row r="3604">
          <cell r="A3604" t="str">
            <v>6326|473120</v>
          </cell>
          <cell r="B3604" t="str">
            <v>6326</v>
          </cell>
          <cell r="C3604">
            <v>473120</v>
          </cell>
          <cell r="D3604">
            <v>41244</v>
          </cell>
          <cell r="E3604">
            <v>0</v>
          </cell>
          <cell r="F3604">
            <v>0</v>
          </cell>
          <cell r="G3604">
            <v>78000</v>
          </cell>
          <cell r="H3604">
            <v>0</v>
          </cell>
          <cell r="I3604">
            <v>0</v>
          </cell>
        </row>
        <row r="3605">
          <cell r="A3605" t="str">
            <v>6410|446003</v>
          </cell>
          <cell r="B3605" t="str">
            <v>6410</v>
          </cell>
          <cell r="C3605">
            <v>446003</v>
          </cell>
          <cell r="D3605">
            <v>41244</v>
          </cell>
          <cell r="E3605">
            <v>0</v>
          </cell>
          <cell r="F3605">
            <v>0</v>
          </cell>
          <cell r="G3605">
            <v>450000</v>
          </cell>
          <cell r="H3605">
            <v>0</v>
          </cell>
          <cell r="I3605">
            <v>150000</v>
          </cell>
        </row>
        <row r="3606">
          <cell r="A3606" t="str">
            <v>6421|246000</v>
          </cell>
          <cell r="B3606" t="str">
            <v>6421</v>
          </cell>
          <cell r="C3606">
            <v>246000</v>
          </cell>
          <cell r="D3606">
            <v>41244</v>
          </cell>
          <cell r="E3606">
            <v>510000</v>
          </cell>
          <cell r="F3606">
            <v>510000</v>
          </cell>
          <cell r="G3606">
            <v>510000</v>
          </cell>
          <cell r="H3606">
            <v>42500</v>
          </cell>
          <cell r="I3606">
            <v>0</v>
          </cell>
        </row>
        <row r="3607">
          <cell r="A3607" t="str">
            <v>0310|246000</v>
          </cell>
          <cell r="B3607" t="str">
            <v>0310</v>
          </cell>
          <cell r="C3607">
            <v>246000</v>
          </cell>
          <cell r="D3607">
            <v>41244</v>
          </cell>
          <cell r="E3607">
            <v>300000</v>
          </cell>
          <cell r="F3607">
            <v>300000</v>
          </cell>
          <cell r="G3607">
            <v>260000</v>
          </cell>
          <cell r="H3607">
            <v>25000</v>
          </cell>
          <cell r="I3607">
            <v>0</v>
          </cell>
        </row>
        <row r="3608">
          <cell r="A3608" t="str">
            <v>0340|474100</v>
          </cell>
          <cell r="B3608" t="str">
            <v>0340</v>
          </cell>
          <cell r="C3608">
            <v>474100</v>
          </cell>
          <cell r="D3608">
            <v>41244</v>
          </cell>
          <cell r="E3608">
            <v>8000000</v>
          </cell>
          <cell r="F3608">
            <v>8000000</v>
          </cell>
          <cell r="G3608">
            <v>2547696</v>
          </cell>
          <cell r="H3608">
            <v>666667</v>
          </cell>
          <cell r="I3608">
            <v>2547696</v>
          </cell>
        </row>
        <row r="3609">
          <cell r="A3609" t="str">
            <v>0340|475004</v>
          </cell>
          <cell r="B3609" t="str">
            <v>0340</v>
          </cell>
          <cell r="C3609">
            <v>475004</v>
          </cell>
          <cell r="D3609">
            <v>41244</v>
          </cell>
          <cell r="E3609">
            <v>1000000</v>
          </cell>
          <cell r="F3609">
            <v>1000000</v>
          </cell>
          <cell r="G3609">
            <v>0</v>
          </cell>
          <cell r="H3609">
            <v>83333</v>
          </cell>
          <cell r="I3609">
            <v>0</v>
          </cell>
        </row>
        <row r="3610">
          <cell r="A3610" t="str">
            <v>2300|475004</v>
          </cell>
          <cell r="B3610" t="str">
            <v>2300</v>
          </cell>
          <cell r="C3610">
            <v>475004</v>
          </cell>
          <cell r="D3610">
            <v>41244</v>
          </cell>
          <cell r="E3610">
            <v>500000</v>
          </cell>
          <cell r="F3610">
            <v>500000</v>
          </cell>
          <cell r="G3610">
            <v>0</v>
          </cell>
          <cell r="H3610">
            <v>41667</v>
          </cell>
          <cell r="I3610">
            <v>0</v>
          </cell>
        </row>
        <row r="3611">
          <cell r="A3611" t="str">
            <v>3420|459005</v>
          </cell>
          <cell r="B3611" t="str">
            <v>3420</v>
          </cell>
          <cell r="C3611">
            <v>459005</v>
          </cell>
          <cell r="D3611">
            <v>41244</v>
          </cell>
          <cell r="E3611">
            <v>1000000</v>
          </cell>
          <cell r="F3611">
            <v>1000000</v>
          </cell>
          <cell r="G3611">
            <v>750000</v>
          </cell>
          <cell r="H3611">
            <v>83333</v>
          </cell>
          <cell r="I3611">
            <v>750000</v>
          </cell>
        </row>
        <row r="3612">
          <cell r="A3612" t="str">
            <v>3500|476201</v>
          </cell>
          <cell r="B3612" t="str">
            <v>3500</v>
          </cell>
          <cell r="C3612">
            <v>476201</v>
          </cell>
          <cell r="D3612">
            <v>41244</v>
          </cell>
          <cell r="E3612">
            <v>45000000</v>
          </cell>
          <cell r="F3612">
            <v>45000000</v>
          </cell>
          <cell r="G3612">
            <v>57870200</v>
          </cell>
          <cell r="H3612">
            <v>3750000</v>
          </cell>
          <cell r="I3612">
            <v>52957800</v>
          </cell>
        </row>
        <row r="3613">
          <cell r="A3613" t="str">
            <v>6321|449040</v>
          </cell>
          <cell r="B3613" t="str">
            <v>6321</v>
          </cell>
          <cell r="C3613">
            <v>449040</v>
          </cell>
          <cell r="D3613">
            <v>41244</v>
          </cell>
          <cell r="E3613">
            <v>3000000</v>
          </cell>
          <cell r="F3613">
            <v>3000000</v>
          </cell>
          <cell r="G3613">
            <v>2215000</v>
          </cell>
          <cell r="H3613">
            <v>249999</v>
          </cell>
          <cell r="I3613">
            <v>880000</v>
          </cell>
        </row>
        <row r="3614">
          <cell r="A3614" t="str">
            <v>6410|459000</v>
          </cell>
          <cell r="B3614" t="str">
            <v>6410</v>
          </cell>
          <cell r="C3614">
            <v>459000</v>
          </cell>
          <cell r="D3614">
            <v>41244</v>
          </cell>
          <cell r="E3614">
            <v>1100000</v>
          </cell>
          <cell r="F3614">
            <v>1100000</v>
          </cell>
          <cell r="G3614">
            <v>1000000</v>
          </cell>
          <cell r="H3614">
            <v>91667</v>
          </cell>
          <cell r="I3614">
            <v>1000000</v>
          </cell>
        </row>
        <row r="3615">
          <cell r="A3615" t="str">
            <v>5520|246000</v>
          </cell>
          <cell r="B3615" t="str">
            <v>5520</v>
          </cell>
          <cell r="C3615">
            <v>246000</v>
          </cell>
          <cell r="D3615">
            <v>41244</v>
          </cell>
          <cell r="E3615">
            <v>150000</v>
          </cell>
          <cell r="F3615">
            <v>150000</v>
          </cell>
          <cell r="G3615">
            <v>150000</v>
          </cell>
          <cell r="H3615">
            <v>12500</v>
          </cell>
          <cell r="I3615">
            <v>0</v>
          </cell>
        </row>
        <row r="3616">
          <cell r="A3616" t="str">
            <v>6126|246000</v>
          </cell>
          <cell r="B3616" t="str">
            <v>6126</v>
          </cell>
          <cell r="C3616">
            <v>246000</v>
          </cell>
          <cell r="D3616">
            <v>41244</v>
          </cell>
          <cell r="E3616">
            <v>450000</v>
          </cell>
          <cell r="F3616">
            <v>450000</v>
          </cell>
          <cell r="G3616">
            <v>450000</v>
          </cell>
          <cell r="H3616">
            <v>37500</v>
          </cell>
          <cell r="I3616">
            <v>0</v>
          </cell>
        </row>
        <row r="3617">
          <cell r="A3617" t="str">
            <v>2100|470102</v>
          </cell>
          <cell r="B3617" t="str">
            <v>2100</v>
          </cell>
          <cell r="C3617">
            <v>470102</v>
          </cell>
          <cell r="D3617">
            <v>41244</v>
          </cell>
          <cell r="E3617">
            <v>500000</v>
          </cell>
          <cell r="F3617">
            <v>500000</v>
          </cell>
          <cell r="G3617">
            <v>45150</v>
          </cell>
          <cell r="H3617">
            <v>41667</v>
          </cell>
          <cell r="I3617">
            <v>0</v>
          </cell>
        </row>
        <row r="3618">
          <cell r="A3618" t="str">
            <v>3440|246000</v>
          </cell>
          <cell r="B3618" t="str">
            <v>3440</v>
          </cell>
          <cell r="C3618">
            <v>246000</v>
          </cell>
          <cell r="D3618">
            <v>41244</v>
          </cell>
          <cell r="E3618">
            <v>400000</v>
          </cell>
          <cell r="F3618">
            <v>400000</v>
          </cell>
          <cell r="G3618">
            <v>330000</v>
          </cell>
          <cell r="H3618">
            <v>33333</v>
          </cell>
          <cell r="I3618">
            <v>0</v>
          </cell>
        </row>
        <row r="3619">
          <cell r="A3619" t="str">
            <v>5700|246000</v>
          </cell>
          <cell r="B3619" t="str">
            <v>5700</v>
          </cell>
          <cell r="C3619">
            <v>246000</v>
          </cell>
          <cell r="D3619">
            <v>41244</v>
          </cell>
          <cell r="E3619">
            <v>130000</v>
          </cell>
          <cell r="F3619">
            <v>130000</v>
          </cell>
          <cell r="G3619">
            <v>38727050000</v>
          </cell>
          <cell r="H3619">
            <v>10833</v>
          </cell>
          <cell r="I3619">
            <v>-13500000000</v>
          </cell>
        </row>
        <row r="3620">
          <cell r="A3620" t="str">
            <v>1500|476900</v>
          </cell>
          <cell r="B3620" t="str">
            <v>1500</v>
          </cell>
          <cell r="C3620">
            <v>476900</v>
          </cell>
          <cell r="D3620">
            <v>41244</v>
          </cell>
          <cell r="E3620">
            <v>150000</v>
          </cell>
          <cell r="F3620">
            <v>150000</v>
          </cell>
          <cell r="G3620">
            <v>142700</v>
          </cell>
          <cell r="H3620">
            <v>12500</v>
          </cell>
          <cell r="I3620">
            <v>0</v>
          </cell>
        </row>
        <row r="3621">
          <cell r="A3621" t="str">
            <v>3100|459003</v>
          </cell>
          <cell r="B3621" t="str">
            <v>3100</v>
          </cell>
          <cell r="C3621">
            <v>459003</v>
          </cell>
          <cell r="D3621">
            <v>41244</v>
          </cell>
          <cell r="E3621">
            <v>17000000</v>
          </cell>
          <cell r="F3621">
            <v>17000000</v>
          </cell>
          <cell r="G3621">
            <v>0</v>
          </cell>
          <cell r="H3621">
            <v>1416667</v>
          </cell>
          <cell r="I3621">
            <v>0</v>
          </cell>
        </row>
        <row r="3622">
          <cell r="A3622" t="str">
            <v>3400|459003</v>
          </cell>
          <cell r="B3622" t="str">
            <v>3400</v>
          </cell>
          <cell r="C3622">
            <v>459003</v>
          </cell>
          <cell r="D3622">
            <v>41244</v>
          </cell>
          <cell r="E3622">
            <v>17000000</v>
          </cell>
          <cell r="F3622">
            <v>17000000</v>
          </cell>
          <cell r="G3622">
            <v>0</v>
          </cell>
          <cell r="H3622">
            <v>1416667</v>
          </cell>
          <cell r="I3622">
            <v>0</v>
          </cell>
        </row>
        <row r="3623">
          <cell r="A3623" t="str">
            <v>3600|473000</v>
          </cell>
          <cell r="B3623" t="str">
            <v>3600</v>
          </cell>
          <cell r="C3623">
            <v>473000</v>
          </cell>
          <cell r="D3623">
            <v>41244</v>
          </cell>
          <cell r="E3623">
            <v>3010000</v>
          </cell>
          <cell r="F3623">
            <v>3010000</v>
          </cell>
          <cell r="G3623">
            <v>425250</v>
          </cell>
          <cell r="H3623">
            <v>250833</v>
          </cell>
          <cell r="I3623">
            <v>425250</v>
          </cell>
        </row>
        <row r="3624">
          <cell r="A3624" t="str">
            <v>3610|476900</v>
          </cell>
          <cell r="B3624" t="str">
            <v>3610</v>
          </cell>
          <cell r="C3624">
            <v>476900</v>
          </cell>
          <cell r="D3624">
            <v>41244</v>
          </cell>
          <cell r="E3624">
            <v>5000000</v>
          </cell>
          <cell r="F3624">
            <v>5000000</v>
          </cell>
          <cell r="G3624">
            <v>0</v>
          </cell>
          <cell r="H3624">
            <v>416667</v>
          </cell>
          <cell r="I3624">
            <v>0</v>
          </cell>
        </row>
        <row r="3625">
          <cell r="A3625" t="str">
            <v>0510|476201</v>
          </cell>
          <cell r="B3625" t="str">
            <v>0510</v>
          </cell>
          <cell r="C3625">
            <v>476201</v>
          </cell>
          <cell r="D3625">
            <v>41244</v>
          </cell>
          <cell r="E3625">
            <v>0</v>
          </cell>
          <cell r="F3625">
            <v>0</v>
          </cell>
          <cell r="G3625">
            <v>29243375</v>
          </cell>
          <cell r="H3625">
            <v>0</v>
          </cell>
          <cell r="I3625">
            <v>0</v>
          </cell>
        </row>
        <row r="3626">
          <cell r="A3626" t="str">
            <v>0510|431001</v>
          </cell>
          <cell r="B3626" t="str">
            <v>0510</v>
          </cell>
          <cell r="C3626">
            <v>431001</v>
          </cell>
          <cell r="D3626">
            <v>41244</v>
          </cell>
          <cell r="E3626">
            <v>0</v>
          </cell>
          <cell r="F3626">
            <v>0</v>
          </cell>
          <cell r="G3626">
            <v>794816</v>
          </cell>
          <cell r="H3626">
            <v>0</v>
          </cell>
          <cell r="I3626">
            <v>0</v>
          </cell>
        </row>
        <row r="3627">
          <cell r="A3627" t="str">
            <v>0530|246000</v>
          </cell>
          <cell r="B3627" t="str">
            <v>0530</v>
          </cell>
          <cell r="C3627">
            <v>246000</v>
          </cell>
          <cell r="D3627">
            <v>41244</v>
          </cell>
          <cell r="E3627">
            <v>0</v>
          </cell>
          <cell r="F3627">
            <v>0</v>
          </cell>
          <cell r="G3627">
            <v>600000</v>
          </cell>
          <cell r="H3627">
            <v>0</v>
          </cell>
          <cell r="I3627">
            <v>0</v>
          </cell>
        </row>
        <row r="3628">
          <cell r="A3628" t="str">
            <v>3220|476000</v>
          </cell>
          <cell r="B3628" t="str">
            <v>3220</v>
          </cell>
          <cell r="C3628">
            <v>476000</v>
          </cell>
          <cell r="D3628">
            <v>41244</v>
          </cell>
          <cell r="E3628">
            <v>0</v>
          </cell>
          <cell r="F3628">
            <v>0</v>
          </cell>
          <cell r="G3628">
            <v>1977225</v>
          </cell>
          <cell r="H3628">
            <v>0</v>
          </cell>
          <cell r="I3628">
            <v>0</v>
          </cell>
        </row>
        <row r="3629">
          <cell r="A3629" t="str">
            <v>3310|433002</v>
          </cell>
          <cell r="B3629" t="str">
            <v>3310</v>
          </cell>
          <cell r="C3629">
            <v>433002</v>
          </cell>
          <cell r="D3629">
            <v>41244</v>
          </cell>
          <cell r="E3629">
            <v>0</v>
          </cell>
          <cell r="F3629">
            <v>0</v>
          </cell>
          <cell r="G3629">
            <v>414900</v>
          </cell>
          <cell r="H3629">
            <v>0</v>
          </cell>
          <cell r="I3629">
            <v>207450</v>
          </cell>
        </row>
        <row r="3630">
          <cell r="A3630" t="str">
            <v>3460|449010</v>
          </cell>
          <cell r="B3630" t="str">
            <v>3460</v>
          </cell>
          <cell r="C3630">
            <v>449010</v>
          </cell>
          <cell r="D3630">
            <v>41244</v>
          </cell>
          <cell r="E3630">
            <v>0</v>
          </cell>
          <cell r="F3630">
            <v>0</v>
          </cell>
          <cell r="G3630">
            <v>4129050</v>
          </cell>
          <cell r="H3630">
            <v>0</v>
          </cell>
          <cell r="I3630">
            <v>0</v>
          </cell>
        </row>
        <row r="3631">
          <cell r="A3631" t="str">
            <v>3500|476000</v>
          </cell>
          <cell r="B3631" t="str">
            <v>3500</v>
          </cell>
          <cell r="C3631">
            <v>476000</v>
          </cell>
          <cell r="D3631">
            <v>41244</v>
          </cell>
          <cell r="E3631">
            <v>0</v>
          </cell>
          <cell r="F3631">
            <v>0</v>
          </cell>
          <cell r="G3631">
            <v>1255972</v>
          </cell>
          <cell r="H3631">
            <v>0</v>
          </cell>
          <cell r="I3631">
            <v>0</v>
          </cell>
        </row>
        <row r="3632">
          <cell r="A3632" t="str">
            <v>3700|477910</v>
          </cell>
          <cell r="B3632" t="str">
            <v>3700</v>
          </cell>
          <cell r="C3632">
            <v>477910</v>
          </cell>
          <cell r="D3632">
            <v>41244</v>
          </cell>
          <cell r="E3632">
            <v>0</v>
          </cell>
          <cell r="F3632">
            <v>0</v>
          </cell>
          <cell r="G3632">
            <v>16400000</v>
          </cell>
          <cell r="H3632">
            <v>0</v>
          </cell>
          <cell r="I3632">
            <v>1000000</v>
          </cell>
        </row>
        <row r="3633">
          <cell r="A3633" t="str">
            <v>3700|447001</v>
          </cell>
          <cell r="B3633" t="str">
            <v>3700</v>
          </cell>
          <cell r="C3633">
            <v>447001</v>
          </cell>
          <cell r="D3633">
            <v>41244</v>
          </cell>
          <cell r="E3633">
            <v>0</v>
          </cell>
          <cell r="F3633">
            <v>0</v>
          </cell>
          <cell r="G3633">
            <v>46604308</v>
          </cell>
          <cell r="H3633">
            <v>0</v>
          </cell>
          <cell r="I3633">
            <v>0</v>
          </cell>
        </row>
        <row r="3634">
          <cell r="A3634" t="str">
            <v>0520|459000</v>
          </cell>
          <cell r="B3634" t="str">
            <v>0520</v>
          </cell>
          <cell r="C3634">
            <v>459000</v>
          </cell>
          <cell r="D3634">
            <v>41244</v>
          </cell>
          <cell r="E3634">
            <v>1400000</v>
          </cell>
          <cell r="F3634">
            <v>1400000</v>
          </cell>
          <cell r="G3634">
            <v>1400000</v>
          </cell>
          <cell r="H3634">
            <v>116667</v>
          </cell>
          <cell r="I3634">
            <v>1400000</v>
          </cell>
        </row>
        <row r="3635">
          <cell r="A3635" t="str">
            <v>3100|476201</v>
          </cell>
          <cell r="B3635" t="str">
            <v>3100</v>
          </cell>
          <cell r="C3635">
            <v>476201</v>
          </cell>
          <cell r="D3635">
            <v>41244</v>
          </cell>
          <cell r="E3635">
            <v>125000000</v>
          </cell>
          <cell r="F3635">
            <v>125000000</v>
          </cell>
          <cell r="G3635">
            <v>72744000</v>
          </cell>
          <cell r="H3635">
            <v>10416666</v>
          </cell>
          <cell r="I3635">
            <v>72744000</v>
          </cell>
        </row>
        <row r="3636">
          <cell r="A3636" t="str">
            <v>3460|477350</v>
          </cell>
          <cell r="B3636" t="str">
            <v>3460</v>
          </cell>
          <cell r="C3636">
            <v>477350</v>
          </cell>
          <cell r="D3636">
            <v>41244</v>
          </cell>
          <cell r="E3636">
            <v>28000000</v>
          </cell>
          <cell r="F3636">
            <v>28000000</v>
          </cell>
          <cell r="G3636">
            <v>9250000</v>
          </cell>
          <cell r="H3636">
            <v>2333333</v>
          </cell>
          <cell r="I3636">
            <v>9250000</v>
          </cell>
        </row>
        <row r="3637">
          <cell r="A3637" t="str">
            <v>2240|459000</v>
          </cell>
          <cell r="B3637" t="str">
            <v>2240</v>
          </cell>
          <cell r="C3637">
            <v>459000</v>
          </cell>
          <cell r="D3637">
            <v>41244</v>
          </cell>
          <cell r="E3637">
            <v>3600000</v>
          </cell>
          <cell r="F3637">
            <v>3600000</v>
          </cell>
          <cell r="G3637">
            <v>0</v>
          </cell>
          <cell r="H3637">
            <v>0</v>
          </cell>
          <cell r="I3637">
            <v>0</v>
          </cell>
        </row>
        <row r="3638">
          <cell r="A3638" t="str">
            <v>0340|439102</v>
          </cell>
          <cell r="B3638" t="str">
            <v>0340</v>
          </cell>
          <cell r="C3638">
            <v>439102</v>
          </cell>
          <cell r="D3638">
            <v>41244</v>
          </cell>
          <cell r="E3638">
            <v>0</v>
          </cell>
          <cell r="F3638">
            <v>0</v>
          </cell>
          <cell r="G3638">
            <v>1000000</v>
          </cell>
          <cell r="H3638">
            <v>0</v>
          </cell>
          <cell r="I3638">
            <v>0</v>
          </cell>
        </row>
        <row r="3639">
          <cell r="A3639" t="str">
            <v>0370|451001</v>
          </cell>
          <cell r="B3639" t="str">
            <v>0370</v>
          </cell>
          <cell r="C3639">
            <v>451001</v>
          </cell>
          <cell r="D3639">
            <v>41244</v>
          </cell>
          <cell r="E3639">
            <v>0</v>
          </cell>
          <cell r="F3639">
            <v>0</v>
          </cell>
          <cell r="G3639">
            <v>47715490</v>
          </cell>
          <cell r="H3639">
            <v>0</v>
          </cell>
          <cell r="I3639">
            <v>0</v>
          </cell>
        </row>
        <row r="3640">
          <cell r="A3640" t="str">
            <v>0380|455002</v>
          </cell>
          <cell r="B3640" t="str">
            <v>0380</v>
          </cell>
          <cell r="C3640">
            <v>455002</v>
          </cell>
          <cell r="D3640">
            <v>41244</v>
          </cell>
          <cell r="E3640">
            <v>0</v>
          </cell>
          <cell r="F3640">
            <v>0</v>
          </cell>
          <cell r="G3640">
            <v>512265</v>
          </cell>
          <cell r="H3640">
            <v>0</v>
          </cell>
          <cell r="I3640">
            <v>0</v>
          </cell>
        </row>
        <row r="3641">
          <cell r="A3641" t="str">
            <v>1110|422003</v>
          </cell>
          <cell r="B3641" t="str">
            <v>1110</v>
          </cell>
          <cell r="C3641">
            <v>422003</v>
          </cell>
          <cell r="D3641">
            <v>41244</v>
          </cell>
          <cell r="E3641">
            <v>0</v>
          </cell>
          <cell r="F3641">
            <v>0</v>
          </cell>
          <cell r="G3641">
            <v>-97315480</v>
          </cell>
          <cell r="H3641">
            <v>0</v>
          </cell>
          <cell r="I3641">
            <v>0</v>
          </cell>
        </row>
        <row r="3642">
          <cell r="A3642" t="str">
            <v>1300|475002</v>
          </cell>
          <cell r="B3642" t="str">
            <v>1300</v>
          </cell>
          <cell r="C3642">
            <v>475002</v>
          </cell>
          <cell r="D3642">
            <v>41244</v>
          </cell>
          <cell r="E3642">
            <v>0</v>
          </cell>
          <cell r="F3642">
            <v>0</v>
          </cell>
          <cell r="G3642">
            <v>37761</v>
          </cell>
          <cell r="H3642">
            <v>0</v>
          </cell>
          <cell r="I3642">
            <v>0</v>
          </cell>
        </row>
        <row r="3643">
          <cell r="A3643" t="str">
            <v>1700|422003</v>
          </cell>
          <cell r="B3643" t="str">
            <v>1700</v>
          </cell>
          <cell r="C3643">
            <v>422003</v>
          </cell>
          <cell r="D3643">
            <v>41244</v>
          </cell>
          <cell r="E3643">
            <v>0</v>
          </cell>
          <cell r="F3643">
            <v>0</v>
          </cell>
          <cell r="G3643">
            <v>176400</v>
          </cell>
          <cell r="H3643">
            <v>0</v>
          </cell>
          <cell r="I3643">
            <v>0</v>
          </cell>
        </row>
        <row r="3644">
          <cell r="A3644" t="str">
            <v>1700|439103</v>
          </cell>
          <cell r="B3644" t="str">
            <v>1700</v>
          </cell>
          <cell r="C3644">
            <v>439103</v>
          </cell>
          <cell r="D3644">
            <v>41244</v>
          </cell>
          <cell r="E3644">
            <v>0</v>
          </cell>
          <cell r="F3644">
            <v>0</v>
          </cell>
          <cell r="G3644">
            <v>1000000</v>
          </cell>
          <cell r="H3644">
            <v>0</v>
          </cell>
          <cell r="I3644">
            <v>0</v>
          </cell>
        </row>
        <row r="3645">
          <cell r="A3645" t="str">
            <v>2260|448002</v>
          </cell>
          <cell r="B3645" t="str">
            <v>2260</v>
          </cell>
          <cell r="C3645">
            <v>448002</v>
          </cell>
          <cell r="D3645">
            <v>41244</v>
          </cell>
          <cell r="E3645">
            <v>0</v>
          </cell>
          <cell r="F3645">
            <v>0</v>
          </cell>
          <cell r="G3645">
            <v>380000</v>
          </cell>
          <cell r="H3645">
            <v>0</v>
          </cell>
          <cell r="I3645">
            <v>0</v>
          </cell>
        </row>
        <row r="3646">
          <cell r="A3646" t="str">
            <v>3200|434011</v>
          </cell>
          <cell r="B3646" t="str">
            <v>3200</v>
          </cell>
          <cell r="C3646">
            <v>434011</v>
          </cell>
          <cell r="D3646">
            <v>41244</v>
          </cell>
          <cell r="E3646">
            <v>0</v>
          </cell>
          <cell r="F3646">
            <v>0</v>
          </cell>
          <cell r="G3646">
            <v>558140</v>
          </cell>
          <cell r="H3646">
            <v>0</v>
          </cell>
          <cell r="I3646">
            <v>336604</v>
          </cell>
        </row>
        <row r="3647">
          <cell r="A3647" t="str">
            <v>3200|439001</v>
          </cell>
          <cell r="B3647" t="str">
            <v>3200</v>
          </cell>
          <cell r="C3647">
            <v>439001</v>
          </cell>
          <cell r="D3647">
            <v>41244</v>
          </cell>
          <cell r="E3647">
            <v>0</v>
          </cell>
          <cell r="F3647">
            <v>0</v>
          </cell>
          <cell r="G3647">
            <v>8081482</v>
          </cell>
          <cell r="H3647">
            <v>0</v>
          </cell>
          <cell r="I3647">
            <v>0</v>
          </cell>
        </row>
        <row r="3648">
          <cell r="A3648" t="str">
            <v>3200|440001</v>
          </cell>
          <cell r="B3648" t="str">
            <v>3200</v>
          </cell>
          <cell r="C3648">
            <v>440001</v>
          </cell>
          <cell r="D3648">
            <v>41244</v>
          </cell>
          <cell r="E3648">
            <v>0</v>
          </cell>
          <cell r="F3648">
            <v>0</v>
          </cell>
          <cell r="G3648">
            <v>773203</v>
          </cell>
          <cell r="H3648">
            <v>0</v>
          </cell>
          <cell r="I3648">
            <v>356782</v>
          </cell>
        </row>
        <row r="3649">
          <cell r="A3649" t="str">
            <v>3200|446001</v>
          </cell>
          <cell r="B3649" t="str">
            <v>3200</v>
          </cell>
          <cell r="C3649">
            <v>446001</v>
          </cell>
          <cell r="D3649">
            <v>41244</v>
          </cell>
          <cell r="E3649">
            <v>0</v>
          </cell>
          <cell r="F3649">
            <v>0</v>
          </cell>
          <cell r="G3649">
            <v>-1591504</v>
          </cell>
          <cell r="H3649">
            <v>0</v>
          </cell>
          <cell r="I3649">
            <v>50000</v>
          </cell>
        </row>
        <row r="3650">
          <cell r="A3650" t="str">
            <v>3470|475000</v>
          </cell>
          <cell r="B3650" t="str">
            <v>3470</v>
          </cell>
          <cell r="C3650">
            <v>475000</v>
          </cell>
          <cell r="D3650">
            <v>41244</v>
          </cell>
          <cell r="E3650">
            <v>0</v>
          </cell>
          <cell r="F3650">
            <v>0</v>
          </cell>
          <cell r="G3650">
            <v>96595590</v>
          </cell>
          <cell r="H3650">
            <v>0</v>
          </cell>
          <cell r="I3650">
            <v>223087</v>
          </cell>
        </row>
        <row r="3651">
          <cell r="A3651" t="str">
            <v>5100|476220</v>
          </cell>
          <cell r="B3651" t="str">
            <v>5100</v>
          </cell>
          <cell r="C3651">
            <v>476220</v>
          </cell>
          <cell r="D3651">
            <v>41244</v>
          </cell>
          <cell r="E3651">
            <v>0</v>
          </cell>
          <cell r="F3651">
            <v>0</v>
          </cell>
          <cell r="G3651">
            <v>1073833</v>
          </cell>
          <cell r="H3651">
            <v>0</v>
          </cell>
          <cell r="I3651">
            <v>0</v>
          </cell>
        </row>
        <row r="3652">
          <cell r="A3652" t="str">
            <v>5700|433002</v>
          </cell>
          <cell r="B3652" t="str">
            <v>5700</v>
          </cell>
          <cell r="C3652">
            <v>433002</v>
          </cell>
          <cell r="D3652">
            <v>41244</v>
          </cell>
          <cell r="E3652">
            <v>0</v>
          </cell>
          <cell r="F3652">
            <v>0</v>
          </cell>
          <cell r="G3652">
            <v>585500</v>
          </cell>
          <cell r="H3652">
            <v>0</v>
          </cell>
          <cell r="I3652">
            <v>292750</v>
          </cell>
        </row>
        <row r="3653">
          <cell r="A3653" t="str">
            <v>6126|431002</v>
          </cell>
          <cell r="B3653" t="str">
            <v>6126</v>
          </cell>
          <cell r="C3653">
            <v>431002</v>
          </cell>
          <cell r="D3653">
            <v>41244</v>
          </cell>
          <cell r="E3653">
            <v>0</v>
          </cell>
          <cell r="F3653">
            <v>0</v>
          </cell>
          <cell r="G3653">
            <v>480688</v>
          </cell>
          <cell r="H3653">
            <v>0</v>
          </cell>
          <cell r="I3653">
            <v>0</v>
          </cell>
        </row>
        <row r="3654">
          <cell r="A3654" t="str">
            <v>6310|405200</v>
          </cell>
          <cell r="B3654" t="str">
            <v>6310</v>
          </cell>
          <cell r="C3654">
            <v>405200</v>
          </cell>
          <cell r="D3654">
            <v>41244</v>
          </cell>
          <cell r="E3654">
            <v>0</v>
          </cell>
          <cell r="F3654">
            <v>0</v>
          </cell>
          <cell r="G3654">
            <v>1619528</v>
          </cell>
          <cell r="H3654">
            <v>0</v>
          </cell>
          <cell r="I3654">
            <v>0</v>
          </cell>
        </row>
        <row r="3655">
          <cell r="A3655" t="str">
            <v>6326|405251</v>
          </cell>
          <cell r="B3655" t="str">
            <v>6326</v>
          </cell>
          <cell r="C3655">
            <v>405251</v>
          </cell>
          <cell r="D3655">
            <v>41244</v>
          </cell>
          <cell r="E3655">
            <v>0</v>
          </cell>
          <cell r="F3655">
            <v>0</v>
          </cell>
          <cell r="G3655">
            <v>12972014</v>
          </cell>
          <cell r="H3655">
            <v>0</v>
          </cell>
          <cell r="I3655">
            <v>12773807</v>
          </cell>
        </row>
        <row r="3656">
          <cell r="A3656" t="str">
            <v>6326|451001</v>
          </cell>
          <cell r="B3656" t="str">
            <v>6326</v>
          </cell>
          <cell r="C3656">
            <v>451001</v>
          </cell>
          <cell r="D3656">
            <v>41244</v>
          </cell>
          <cell r="E3656">
            <v>0</v>
          </cell>
          <cell r="F3656">
            <v>0</v>
          </cell>
          <cell r="G3656">
            <v>28400000</v>
          </cell>
          <cell r="H3656">
            <v>0</v>
          </cell>
          <cell r="I3656">
            <v>0</v>
          </cell>
        </row>
        <row r="3657">
          <cell r="A3657" t="str">
            <v>6326|434010</v>
          </cell>
          <cell r="B3657" t="str">
            <v>6326</v>
          </cell>
          <cell r="C3657">
            <v>434010</v>
          </cell>
          <cell r="D3657">
            <v>41244</v>
          </cell>
          <cell r="E3657">
            <v>0</v>
          </cell>
          <cell r="F3657">
            <v>0</v>
          </cell>
          <cell r="G3657">
            <v>4821506</v>
          </cell>
          <cell r="H3657">
            <v>0</v>
          </cell>
          <cell r="I3657">
            <v>3789032</v>
          </cell>
        </row>
        <row r="3658">
          <cell r="A3658" t="str">
            <v>6326|439000</v>
          </cell>
          <cell r="B3658" t="str">
            <v>6326</v>
          </cell>
          <cell r="C3658">
            <v>439000</v>
          </cell>
          <cell r="D3658">
            <v>41244</v>
          </cell>
          <cell r="E3658">
            <v>0</v>
          </cell>
          <cell r="F3658">
            <v>0</v>
          </cell>
          <cell r="G3658">
            <v>100238367</v>
          </cell>
          <cell r="H3658">
            <v>0</v>
          </cell>
          <cell r="I3658">
            <v>0</v>
          </cell>
        </row>
        <row r="3659">
          <cell r="A3659" t="str">
            <v>6326|440000</v>
          </cell>
          <cell r="B3659" t="str">
            <v>6326</v>
          </cell>
          <cell r="C3659">
            <v>440000</v>
          </cell>
          <cell r="D3659">
            <v>41244</v>
          </cell>
          <cell r="E3659">
            <v>0</v>
          </cell>
          <cell r="F3659">
            <v>0</v>
          </cell>
          <cell r="G3659">
            <v>10943281</v>
          </cell>
          <cell r="H3659">
            <v>0</v>
          </cell>
          <cell r="I3659">
            <v>6689958</v>
          </cell>
        </row>
        <row r="3660">
          <cell r="A3660" t="str">
            <v>6326|447000</v>
          </cell>
          <cell r="B3660" t="str">
            <v>6326</v>
          </cell>
          <cell r="C3660">
            <v>447000</v>
          </cell>
          <cell r="D3660">
            <v>41244</v>
          </cell>
          <cell r="E3660">
            <v>0</v>
          </cell>
          <cell r="F3660">
            <v>0</v>
          </cell>
          <cell r="G3660">
            <v>1622893</v>
          </cell>
          <cell r="H3660">
            <v>0</v>
          </cell>
          <cell r="I3660">
            <v>906034</v>
          </cell>
        </row>
        <row r="3661">
          <cell r="A3661" t="str">
            <v>6326|447010</v>
          </cell>
          <cell r="B3661" t="str">
            <v>6326</v>
          </cell>
          <cell r="C3661">
            <v>447010</v>
          </cell>
          <cell r="D3661">
            <v>41244</v>
          </cell>
          <cell r="E3661">
            <v>0</v>
          </cell>
          <cell r="F3661">
            <v>0</v>
          </cell>
          <cell r="G3661">
            <v>3824664</v>
          </cell>
          <cell r="H3661">
            <v>0</v>
          </cell>
          <cell r="I3661">
            <v>2135247</v>
          </cell>
        </row>
        <row r="3662">
          <cell r="A3662" t="str">
            <v>6326|447020</v>
          </cell>
          <cell r="B3662" t="str">
            <v>6326</v>
          </cell>
          <cell r="C3662">
            <v>447020</v>
          </cell>
          <cell r="D3662">
            <v>41244</v>
          </cell>
          <cell r="E3662">
            <v>0</v>
          </cell>
          <cell r="F3662">
            <v>0</v>
          </cell>
          <cell r="G3662">
            <v>3411098</v>
          </cell>
          <cell r="H3662">
            <v>0</v>
          </cell>
          <cell r="I3662">
            <v>61050</v>
          </cell>
        </row>
        <row r="3663">
          <cell r="A3663" t="str">
            <v>6326|449020</v>
          </cell>
          <cell r="B3663" t="str">
            <v>6326</v>
          </cell>
          <cell r="C3663">
            <v>449020</v>
          </cell>
          <cell r="D3663">
            <v>41244</v>
          </cell>
          <cell r="E3663">
            <v>0</v>
          </cell>
          <cell r="F3663">
            <v>0</v>
          </cell>
          <cell r="G3663">
            <v>14465000</v>
          </cell>
          <cell r="H3663">
            <v>0</v>
          </cell>
          <cell r="I3663">
            <v>8068000</v>
          </cell>
        </row>
        <row r="3664">
          <cell r="A3664" t="str">
            <v>6326|446000</v>
          </cell>
          <cell r="B3664" t="str">
            <v>6326</v>
          </cell>
          <cell r="C3664">
            <v>446000</v>
          </cell>
          <cell r="D3664">
            <v>41244</v>
          </cell>
          <cell r="E3664">
            <v>0</v>
          </cell>
          <cell r="F3664">
            <v>0</v>
          </cell>
          <cell r="G3664">
            <v>-19333036</v>
          </cell>
          <cell r="H3664">
            <v>0</v>
          </cell>
          <cell r="I3664">
            <v>1725000</v>
          </cell>
        </row>
        <row r="3665">
          <cell r="A3665" t="str">
            <v>6326|420000</v>
          </cell>
          <cell r="B3665" t="str">
            <v>6326</v>
          </cell>
          <cell r="C3665">
            <v>420000</v>
          </cell>
          <cell r="D3665">
            <v>41244</v>
          </cell>
          <cell r="E3665">
            <v>0</v>
          </cell>
          <cell r="F3665">
            <v>0</v>
          </cell>
          <cell r="G3665">
            <v>102656422</v>
          </cell>
          <cell r="H3665">
            <v>0</v>
          </cell>
          <cell r="I3665">
            <v>56468126</v>
          </cell>
        </row>
        <row r="3666">
          <cell r="A3666" t="str">
            <v>6410|455001</v>
          </cell>
          <cell r="B3666" t="str">
            <v>6410</v>
          </cell>
          <cell r="C3666">
            <v>455001</v>
          </cell>
          <cell r="D3666">
            <v>41244</v>
          </cell>
          <cell r="E3666">
            <v>0</v>
          </cell>
          <cell r="F3666">
            <v>0</v>
          </cell>
          <cell r="G3666">
            <v>2800000</v>
          </cell>
          <cell r="H3666">
            <v>0</v>
          </cell>
          <cell r="I3666">
            <v>0</v>
          </cell>
        </row>
        <row r="3667">
          <cell r="A3667" t="str">
            <v>6421|451001</v>
          </cell>
          <cell r="B3667" t="str">
            <v>6421</v>
          </cell>
          <cell r="C3667">
            <v>451001</v>
          </cell>
          <cell r="D3667">
            <v>41244</v>
          </cell>
          <cell r="E3667">
            <v>0</v>
          </cell>
          <cell r="F3667">
            <v>0</v>
          </cell>
          <cell r="G3667">
            <v>38135000</v>
          </cell>
          <cell r="H3667">
            <v>0</v>
          </cell>
          <cell r="I3667">
            <v>0</v>
          </cell>
        </row>
        <row r="3668">
          <cell r="A3668" t="str">
            <v>0310|459005</v>
          </cell>
          <cell r="B3668" t="str">
            <v>0310</v>
          </cell>
          <cell r="C3668">
            <v>459005</v>
          </cell>
          <cell r="D3668">
            <v>41244</v>
          </cell>
          <cell r="E3668">
            <v>22000000</v>
          </cell>
          <cell r="F3668">
            <v>22000000</v>
          </cell>
          <cell r="G3668">
            <v>0</v>
          </cell>
          <cell r="H3668">
            <v>1833333</v>
          </cell>
          <cell r="I3668">
            <v>0</v>
          </cell>
        </row>
        <row r="3669">
          <cell r="A3669" t="str">
            <v>0370|246000</v>
          </cell>
          <cell r="B3669" t="str">
            <v>0370</v>
          </cell>
          <cell r="C3669">
            <v>246000</v>
          </cell>
          <cell r="D3669">
            <v>41244</v>
          </cell>
          <cell r="E3669">
            <v>4000000</v>
          </cell>
          <cell r="F3669">
            <v>4000000</v>
          </cell>
          <cell r="G3669">
            <v>7432500</v>
          </cell>
          <cell r="H3669">
            <v>333333</v>
          </cell>
          <cell r="I3669">
            <v>7432500</v>
          </cell>
        </row>
        <row r="3670">
          <cell r="A3670" t="str">
            <v>6126|459005</v>
          </cell>
          <cell r="B3670" t="str">
            <v>6126</v>
          </cell>
          <cell r="C3670">
            <v>459005</v>
          </cell>
          <cell r="D3670">
            <v>41244</v>
          </cell>
          <cell r="E3670">
            <v>500000</v>
          </cell>
          <cell r="F3670">
            <v>500000</v>
          </cell>
          <cell r="G3670">
            <v>0</v>
          </cell>
          <cell r="H3670">
            <v>41667</v>
          </cell>
          <cell r="I3670">
            <v>0</v>
          </cell>
        </row>
        <row r="3671">
          <cell r="A3671" t="str">
            <v>6321|476000</v>
          </cell>
          <cell r="B3671" t="str">
            <v>6321</v>
          </cell>
          <cell r="C3671">
            <v>476000</v>
          </cell>
          <cell r="D3671">
            <v>41244</v>
          </cell>
          <cell r="E3671">
            <v>1000000</v>
          </cell>
          <cell r="F3671">
            <v>1000000</v>
          </cell>
          <cell r="G3671">
            <v>0</v>
          </cell>
          <cell r="H3671">
            <v>83333</v>
          </cell>
          <cell r="I3671">
            <v>0</v>
          </cell>
        </row>
        <row r="3672">
          <cell r="A3672" t="str">
            <v>5100|449010</v>
          </cell>
          <cell r="B3672" t="str">
            <v>5100</v>
          </cell>
          <cell r="C3672">
            <v>449010</v>
          </cell>
          <cell r="D3672">
            <v>41244</v>
          </cell>
          <cell r="E3672">
            <v>17000000</v>
          </cell>
          <cell r="F3672">
            <v>17000000</v>
          </cell>
          <cell r="G3672">
            <v>86202487</v>
          </cell>
          <cell r="H3672">
            <v>1416666</v>
          </cell>
          <cell r="I3672">
            <v>1355200</v>
          </cell>
        </row>
        <row r="3673">
          <cell r="A3673" t="str">
            <v>0100|475005</v>
          </cell>
          <cell r="B3673" t="str">
            <v>0100</v>
          </cell>
          <cell r="C3673">
            <v>475005</v>
          </cell>
          <cell r="D3673">
            <v>41244</v>
          </cell>
          <cell r="E3673">
            <v>0</v>
          </cell>
          <cell r="F3673">
            <v>0</v>
          </cell>
          <cell r="G3673">
            <v>41400</v>
          </cell>
          <cell r="H3673">
            <v>0</v>
          </cell>
          <cell r="I3673">
            <v>41400</v>
          </cell>
        </row>
        <row r="3674">
          <cell r="A3674" t="str">
            <v>0340|449040</v>
          </cell>
          <cell r="B3674" t="str">
            <v>0340</v>
          </cell>
          <cell r="C3674">
            <v>449040</v>
          </cell>
          <cell r="D3674">
            <v>41244</v>
          </cell>
          <cell r="E3674">
            <v>0</v>
          </cell>
          <cell r="F3674">
            <v>0</v>
          </cell>
          <cell r="G3674">
            <v>750000</v>
          </cell>
          <cell r="H3674">
            <v>0</v>
          </cell>
          <cell r="I3674">
            <v>750000</v>
          </cell>
        </row>
        <row r="3675">
          <cell r="A3675" t="str">
            <v>0510|476220</v>
          </cell>
          <cell r="B3675" t="str">
            <v>0510</v>
          </cell>
          <cell r="C3675">
            <v>476220</v>
          </cell>
          <cell r="D3675">
            <v>41244</v>
          </cell>
          <cell r="E3675">
            <v>0</v>
          </cell>
          <cell r="F3675">
            <v>0</v>
          </cell>
          <cell r="G3675">
            <v>18553951</v>
          </cell>
          <cell r="H3675">
            <v>0</v>
          </cell>
          <cell r="I3675">
            <v>18553951</v>
          </cell>
        </row>
        <row r="3676">
          <cell r="A3676" t="str">
            <v>0520|474110</v>
          </cell>
          <cell r="B3676" t="str">
            <v>0520</v>
          </cell>
          <cell r="C3676">
            <v>474110</v>
          </cell>
          <cell r="D3676">
            <v>41244</v>
          </cell>
          <cell r="E3676">
            <v>0</v>
          </cell>
          <cell r="F3676">
            <v>0</v>
          </cell>
          <cell r="G3676">
            <v>0</v>
          </cell>
          <cell r="H3676">
            <v>0</v>
          </cell>
          <cell r="I3676">
            <v>0</v>
          </cell>
        </row>
        <row r="3677">
          <cell r="A3677" t="str">
            <v>0530|477100</v>
          </cell>
          <cell r="B3677" t="str">
            <v>0530</v>
          </cell>
          <cell r="C3677">
            <v>477100</v>
          </cell>
          <cell r="D3677">
            <v>41244</v>
          </cell>
          <cell r="E3677">
            <v>0</v>
          </cell>
          <cell r="F3677">
            <v>0</v>
          </cell>
          <cell r="G3677">
            <v>5429188</v>
          </cell>
          <cell r="H3677">
            <v>0</v>
          </cell>
          <cell r="I3677">
            <v>5429188</v>
          </cell>
        </row>
        <row r="3678">
          <cell r="A3678" t="str">
            <v>2300|476900</v>
          </cell>
          <cell r="B3678" t="str">
            <v>2300</v>
          </cell>
          <cell r="C3678">
            <v>476900</v>
          </cell>
          <cell r="D3678">
            <v>41244</v>
          </cell>
          <cell r="E3678">
            <v>0</v>
          </cell>
          <cell r="F3678">
            <v>0</v>
          </cell>
          <cell r="G3678">
            <v>126400</v>
          </cell>
          <cell r="H3678">
            <v>0</v>
          </cell>
          <cell r="I3678">
            <v>126400</v>
          </cell>
        </row>
        <row r="3679">
          <cell r="A3679" t="str">
            <v>2300|400040</v>
          </cell>
          <cell r="B3679" t="str">
            <v>2300</v>
          </cell>
          <cell r="C3679">
            <v>400040</v>
          </cell>
          <cell r="D3679">
            <v>41244</v>
          </cell>
          <cell r="E3679">
            <v>0</v>
          </cell>
          <cell r="F3679">
            <v>0</v>
          </cell>
          <cell r="G3679">
            <v>276495</v>
          </cell>
          <cell r="H3679">
            <v>0</v>
          </cell>
          <cell r="I3679">
            <v>276495</v>
          </cell>
        </row>
        <row r="3680">
          <cell r="A3680" t="str">
            <v>3100|449060</v>
          </cell>
          <cell r="B3680" t="str">
            <v>3100</v>
          </cell>
          <cell r="C3680">
            <v>449060</v>
          </cell>
          <cell r="D3680">
            <v>41244</v>
          </cell>
          <cell r="E3680">
            <v>0</v>
          </cell>
          <cell r="F3680">
            <v>0</v>
          </cell>
          <cell r="G3680">
            <v>114369</v>
          </cell>
          <cell r="H3680">
            <v>0</v>
          </cell>
          <cell r="I3680">
            <v>114369</v>
          </cell>
        </row>
        <row r="3681">
          <cell r="A3681" t="str">
            <v>3130|431000</v>
          </cell>
          <cell r="B3681" t="str">
            <v>3130</v>
          </cell>
          <cell r="C3681">
            <v>431000</v>
          </cell>
          <cell r="D3681">
            <v>41244</v>
          </cell>
          <cell r="E3681">
            <v>0</v>
          </cell>
          <cell r="F3681">
            <v>0</v>
          </cell>
          <cell r="G3681">
            <v>178752</v>
          </cell>
          <cell r="H3681">
            <v>0</v>
          </cell>
          <cell r="I3681">
            <v>178752</v>
          </cell>
        </row>
        <row r="3682">
          <cell r="A3682" t="str">
            <v>3200|420001</v>
          </cell>
          <cell r="B3682" t="str">
            <v>3200</v>
          </cell>
          <cell r="C3682">
            <v>420001</v>
          </cell>
          <cell r="D3682">
            <v>41244</v>
          </cell>
          <cell r="E3682">
            <v>0</v>
          </cell>
          <cell r="F3682">
            <v>0</v>
          </cell>
          <cell r="G3682">
            <v>2674000</v>
          </cell>
          <cell r="H3682">
            <v>0</v>
          </cell>
          <cell r="I3682">
            <v>2674000</v>
          </cell>
        </row>
        <row r="3683">
          <cell r="A3683" t="str">
            <v>3200|435001</v>
          </cell>
          <cell r="B3683" t="str">
            <v>3200</v>
          </cell>
          <cell r="C3683">
            <v>435001</v>
          </cell>
          <cell r="D3683">
            <v>41244</v>
          </cell>
          <cell r="E3683">
            <v>0</v>
          </cell>
          <cell r="F3683">
            <v>0</v>
          </cell>
          <cell r="G3683">
            <v>2674000</v>
          </cell>
          <cell r="H3683">
            <v>0</v>
          </cell>
          <cell r="I3683">
            <v>2674000</v>
          </cell>
        </row>
        <row r="3684">
          <cell r="A3684" t="str">
            <v>3200|439201</v>
          </cell>
          <cell r="B3684" t="str">
            <v>3200</v>
          </cell>
          <cell r="C3684">
            <v>439201</v>
          </cell>
          <cell r="D3684">
            <v>41244</v>
          </cell>
          <cell r="E3684">
            <v>0</v>
          </cell>
          <cell r="F3684">
            <v>0</v>
          </cell>
          <cell r="G3684">
            <v>375000</v>
          </cell>
          <cell r="H3684">
            <v>0</v>
          </cell>
          <cell r="I3684">
            <v>375000</v>
          </cell>
        </row>
        <row r="3685">
          <cell r="A3685" t="str">
            <v>3200|447001</v>
          </cell>
          <cell r="B3685" t="str">
            <v>3200</v>
          </cell>
          <cell r="C3685">
            <v>447001</v>
          </cell>
          <cell r="D3685">
            <v>41244</v>
          </cell>
          <cell r="E3685">
            <v>0</v>
          </cell>
          <cell r="F3685">
            <v>0</v>
          </cell>
          <cell r="G3685">
            <v>14440</v>
          </cell>
          <cell r="H3685">
            <v>0</v>
          </cell>
          <cell r="I3685">
            <v>14440</v>
          </cell>
        </row>
        <row r="3686">
          <cell r="A3686" t="str">
            <v>3200|447011</v>
          </cell>
          <cell r="B3686" t="str">
            <v>3200</v>
          </cell>
          <cell r="C3686">
            <v>447011</v>
          </cell>
          <cell r="D3686">
            <v>41244</v>
          </cell>
          <cell r="E3686">
            <v>0</v>
          </cell>
          <cell r="F3686">
            <v>0</v>
          </cell>
          <cell r="G3686">
            <v>98938</v>
          </cell>
          <cell r="H3686">
            <v>0</v>
          </cell>
          <cell r="I3686">
            <v>98938</v>
          </cell>
        </row>
        <row r="3687">
          <cell r="A3687" t="str">
            <v>3200|449025</v>
          </cell>
          <cell r="B3687" t="str">
            <v>3200</v>
          </cell>
          <cell r="C3687">
            <v>449025</v>
          </cell>
          <cell r="D3687">
            <v>41244</v>
          </cell>
          <cell r="E3687">
            <v>0</v>
          </cell>
          <cell r="F3687">
            <v>0</v>
          </cell>
          <cell r="G3687">
            <v>307500</v>
          </cell>
          <cell r="H3687">
            <v>0</v>
          </cell>
          <cell r="I3687">
            <v>307500</v>
          </cell>
        </row>
        <row r="3688">
          <cell r="A3688" t="str">
            <v>3210|451001</v>
          </cell>
          <cell r="B3688" t="str">
            <v>3210</v>
          </cell>
          <cell r="C3688">
            <v>451001</v>
          </cell>
          <cell r="D3688">
            <v>41244</v>
          </cell>
          <cell r="E3688">
            <v>0</v>
          </cell>
          <cell r="F3688">
            <v>0</v>
          </cell>
          <cell r="G3688">
            <v>68800000</v>
          </cell>
          <cell r="H3688">
            <v>0</v>
          </cell>
          <cell r="I3688">
            <v>68800000</v>
          </cell>
        </row>
        <row r="3689">
          <cell r="A3689" t="str">
            <v>3410|477860</v>
          </cell>
          <cell r="B3689" t="str">
            <v>3410</v>
          </cell>
          <cell r="C3689">
            <v>477860</v>
          </cell>
          <cell r="D3689">
            <v>41244</v>
          </cell>
          <cell r="E3689">
            <v>0</v>
          </cell>
          <cell r="F3689">
            <v>0</v>
          </cell>
          <cell r="G3689">
            <v>9148920</v>
          </cell>
          <cell r="H3689">
            <v>0</v>
          </cell>
          <cell r="I3689">
            <v>9148920</v>
          </cell>
        </row>
        <row r="3690">
          <cell r="A3690" t="str">
            <v>3410|459003</v>
          </cell>
          <cell r="B3690" t="str">
            <v>3410</v>
          </cell>
          <cell r="C3690">
            <v>459003</v>
          </cell>
          <cell r="D3690">
            <v>41244</v>
          </cell>
          <cell r="E3690">
            <v>0</v>
          </cell>
          <cell r="F3690">
            <v>0</v>
          </cell>
          <cell r="G3690">
            <v>26805219</v>
          </cell>
          <cell r="H3690">
            <v>0</v>
          </cell>
          <cell r="I3690">
            <v>26805219</v>
          </cell>
        </row>
        <row r="3691">
          <cell r="A3691" t="str">
            <v>3410|477900</v>
          </cell>
          <cell r="B3691" t="str">
            <v>3410</v>
          </cell>
          <cell r="C3691">
            <v>477900</v>
          </cell>
          <cell r="D3691">
            <v>41244</v>
          </cell>
          <cell r="E3691">
            <v>0</v>
          </cell>
          <cell r="F3691">
            <v>0</v>
          </cell>
          <cell r="G3691">
            <v>200000</v>
          </cell>
          <cell r="H3691">
            <v>0</v>
          </cell>
          <cell r="I3691">
            <v>200000</v>
          </cell>
        </row>
        <row r="3692">
          <cell r="A3692" t="str">
            <v>3420|459003</v>
          </cell>
          <cell r="B3692" t="str">
            <v>3420</v>
          </cell>
          <cell r="C3692">
            <v>459003</v>
          </cell>
          <cell r="D3692">
            <v>41244</v>
          </cell>
          <cell r="E3692">
            <v>0</v>
          </cell>
          <cell r="F3692">
            <v>0</v>
          </cell>
          <cell r="G3692">
            <v>8935114</v>
          </cell>
          <cell r="H3692">
            <v>0</v>
          </cell>
          <cell r="I3692">
            <v>8935114</v>
          </cell>
        </row>
        <row r="3693">
          <cell r="A3693" t="str">
            <v>3430|459003</v>
          </cell>
          <cell r="B3693" t="str">
            <v>3430</v>
          </cell>
          <cell r="C3693">
            <v>459003</v>
          </cell>
          <cell r="D3693">
            <v>41244</v>
          </cell>
          <cell r="E3693">
            <v>0</v>
          </cell>
          <cell r="F3693">
            <v>0</v>
          </cell>
          <cell r="G3693">
            <v>4467432</v>
          </cell>
          <cell r="H3693">
            <v>0</v>
          </cell>
          <cell r="I3693">
            <v>4467432</v>
          </cell>
        </row>
        <row r="3694">
          <cell r="A3694" t="str">
            <v>3440|477001</v>
          </cell>
          <cell r="B3694" t="str">
            <v>3440</v>
          </cell>
          <cell r="C3694">
            <v>477001</v>
          </cell>
          <cell r="D3694">
            <v>41244</v>
          </cell>
          <cell r="E3694">
            <v>0</v>
          </cell>
          <cell r="F3694">
            <v>0</v>
          </cell>
          <cell r="G3694">
            <v>27220000</v>
          </cell>
          <cell r="H3694">
            <v>0</v>
          </cell>
          <cell r="I3694">
            <v>27220000</v>
          </cell>
        </row>
        <row r="3695">
          <cell r="A3695" t="str">
            <v>3440|459003</v>
          </cell>
          <cell r="B3695" t="str">
            <v>3440</v>
          </cell>
          <cell r="C3695">
            <v>459003</v>
          </cell>
          <cell r="D3695">
            <v>41244</v>
          </cell>
          <cell r="E3695">
            <v>0</v>
          </cell>
          <cell r="F3695">
            <v>0</v>
          </cell>
          <cell r="G3695">
            <v>58649183</v>
          </cell>
          <cell r="H3695">
            <v>0</v>
          </cell>
          <cell r="I3695">
            <v>58649183</v>
          </cell>
        </row>
        <row r="3696">
          <cell r="A3696" t="str">
            <v>3460|459003</v>
          </cell>
          <cell r="B3696" t="str">
            <v>3460</v>
          </cell>
          <cell r="C3696">
            <v>459003</v>
          </cell>
          <cell r="D3696">
            <v>41244</v>
          </cell>
          <cell r="E3696">
            <v>0</v>
          </cell>
          <cell r="F3696">
            <v>0</v>
          </cell>
          <cell r="G3696">
            <v>8934990</v>
          </cell>
          <cell r="H3696">
            <v>0</v>
          </cell>
          <cell r="I3696">
            <v>8934990</v>
          </cell>
        </row>
        <row r="3697">
          <cell r="A3697" t="str">
            <v>5500|475005</v>
          </cell>
          <cell r="B3697" t="str">
            <v>5500</v>
          </cell>
          <cell r="C3697">
            <v>475005</v>
          </cell>
          <cell r="D3697">
            <v>41244</v>
          </cell>
          <cell r="E3697">
            <v>0</v>
          </cell>
          <cell r="F3697">
            <v>0</v>
          </cell>
          <cell r="G3697">
            <v>3848400</v>
          </cell>
          <cell r="H3697">
            <v>0</v>
          </cell>
          <cell r="I3697">
            <v>3848400</v>
          </cell>
        </row>
        <row r="3698">
          <cell r="A3698" t="str">
            <v>5500|405250</v>
          </cell>
          <cell r="B3698" t="str">
            <v>5500</v>
          </cell>
          <cell r="C3698">
            <v>405250</v>
          </cell>
          <cell r="D3698">
            <v>41244</v>
          </cell>
          <cell r="E3698">
            <v>0</v>
          </cell>
          <cell r="F3698">
            <v>0</v>
          </cell>
          <cell r="G3698">
            <v>234174</v>
          </cell>
          <cell r="H3698">
            <v>0</v>
          </cell>
          <cell r="I3698">
            <v>234174</v>
          </cell>
        </row>
        <row r="3699">
          <cell r="A3699" t="str">
            <v>3200|477420</v>
          </cell>
          <cell r="B3699" t="str">
            <v>3200</v>
          </cell>
          <cell r="C3699">
            <v>477420</v>
          </cell>
          <cell r="D3699">
            <v>41244</v>
          </cell>
          <cell r="E3699">
            <v>0</v>
          </cell>
          <cell r="F3699">
            <v>0</v>
          </cell>
          <cell r="G3699">
            <v>622810025</v>
          </cell>
          <cell r="H3699">
            <v>0</v>
          </cell>
          <cell r="I3699">
            <v>622810025</v>
          </cell>
        </row>
        <row r="3700">
          <cell r="A3700" t="str">
            <v>3410|477450</v>
          </cell>
          <cell r="B3700" t="str">
            <v>3410</v>
          </cell>
          <cell r="C3700">
            <v>477450</v>
          </cell>
          <cell r="D3700">
            <v>41244</v>
          </cell>
          <cell r="E3700">
            <v>0</v>
          </cell>
          <cell r="F3700">
            <v>0</v>
          </cell>
          <cell r="G3700">
            <v>53000000</v>
          </cell>
          <cell r="H3700">
            <v>0</v>
          </cell>
          <cell r="I3700">
            <v>53000000</v>
          </cell>
        </row>
        <row r="3701">
          <cell r="A3701" t="str">
            <v>0340|476223</v>
          </cell>
          <cell r="B3701" t="str">
            <v>0340</v>
          </cell>
          <cell r="C3701">
            <v>476223</v>
          </cell>
          <cell r="D3701">
            <v>41244</v>
          </cell>
          <cell r="E3701">
            <v>0</v>
          </cell>
          <cell r="F3701">
            <v>0</v>
          </cell>
          <cell r="G3701">
            <v>145194963</v>
          </cell>
          <cell r="H3701">
            <v>0</v>
          </cell>
          <cell r="I3701">
            <v>145194963</v>
          </cell>
        </row>
        <row r="3702">
          <cell r="A3702" t="str">
            <v>0380|439100</v>
          </cell>
          <cell r="B3702" t="str">
            <v>0380</v>
          </cell>
          <cell r="C3702">
            <v>439100</v>
          </cell>
          <cell r="D3702">
            <v>41244</v>
          </cell>
          <cell r="E3702">
            <v>0</v>
          </cell>
          <cell r="F3702">
            <v>0</v>
          </cell>
          <cell r="G3702">
            <v>1000000</v>
          </cell>
          <cell r="H3702">
            <v>0</v>
          </cell>
          <cell r="I3702">
            <v>1000000</v>
          </cell>
        </row>
        <row r="3703">
          <cell r="A3703" t="str">
            <v>1100|466004</v>
          </cell>
          <cell r="B3703" t="str">
            <v>1100</v>
          </cell>
          <cell r="C3703">
            <v>466004</v>
          </cell>
          <cell r="D3703">
            <v>41244</v>
          </cell>
          <cell r="E3703">
            <v>0</v>
          </cell>
          <cell r="F3703">
            <v>0</v>
          </cell>
          <cell r="G3703">
            <v>-12446700</v>
          </cell>
          <cell r="H3703">
            <v>0</v>
          </cell>
          <cell r="I3703">
            <v>-12446700</v>
          </cell>
        </row>
        <row r="3704">
          <cell r="A3704" t="str">
            <v>1200|451000</v>
          </cell>
          <cell r="B3704" t="str">
            <v>1200</v>
          </cell>
          <cell r="C3704">
            <v>451000</v>
          </cell>
          <cell r="D3704">
            <v>41244</v>
          </cell>
          <cell r="E3704">
            <v>0</v>
          </cell>
          <cell r="F3704">
            <v>0</v>
          </cell>
          <cell r="G3704">
            <v>856800</v>
          </cell>
          <cell r="H3704">
            <v>0</v>
          </cell>
          <cell r="I3704">
            <v>856800</v>
          </cell>
        </row>
        <row r="3705">
          <cell r="A3705" t="str">
            <v>1700|246000</v>
          </cell>
          <cell r="B3705" t="str">
            <v>1700</v>
          </cell>
          <cell r="C3705">
            <v>246000</v>
          </cell>
          <cell r="D3705">
            <v>41244</v>
          </cell>
          <cell r="E3705">
            <v>0</v>
          </cell>
          <cell r="F3705">
            <v>0</v>
          </cell>
          <cell r="G3705">
            <v>69440000</v>
          </cell>
          <cell r="H3705">
            <v>0</v>
          </cell>
          <cell r="I3705">
            <v>69440000</v>
          </cell>
        </row>
        <row r="3706">
          <cell r="A3706" t="str">
            <v>2200|449050</v>
          </cell>
          <cell r="B3706" t="str">
            <v>2200</v>
          </cell>
          <cell r="C3706">
            <v>449050</v>
          </cell>
          <cell r="D3706">
            <v>41244</v>
          </cell>
          <cell r="E3706">
            <v>0</v>
          </cell>
          <cell r="F3706">
            <v>0</v>
          </cell>
          <cell r="G3706">
            <v>-508591600</v>
          </cell>
          <cell r="H3706">
            <v>0</v>
          </cell>
          <cell r="I3706">
            <v>-508591600</v>
          </cell>
        </row>
        <row r="3707">
          <cell r="A3707" t="str">
            <v>2210|431002</v>
          </cell>
          <cell r="B3707" t="str">
            <v>2210</v>
          </cell>
          <cell r="C3707">
            <v>431002</v>
          </cell>
          <cell r="D3707">
            <v>41244</v>
          </cell>
          <cell r="E3707">
            <v>0</v>
          </cell>
          <cell r="F3707">
            <v>0</v>
          </cell>
          <cell r="G3707">
            <v>745000</v>
          </cell>
          <cell r="H3707">
            <v>0</v>
          </cell>
          <cell r="I3707">
            <v>745000</v>
          </cell>
        </row>
        <row r="3708">
          <cell r="A3708" t="str">
            <v>2230|476223</v>
          </cell>
          <cell r="B3708" t="str">
            <v>2230</v>
          </cell>
          <cell r="C3708">
            <v>476223</v>
          </cell>
          <cell r="D3708">
            <v>41244</v>
          </cell>
          <cell r="E3708">
            <v>0</v>
          </cell>
          <cell r="F3708">
            <v>0</v>
          </cell>
          <cell r="G3708">
            <v>1272632940</v>
          </cell>
          <cell r="H3708">
            <v>0</v>
          </cell>
          <cell r="I3708">
            <v>1272632940</v>
          </cell>
        </row>
        <row r="3709">
          <cell r="A3709" t="str">
            <v>2240|476223</v>
          </cell>
          <cell r="B3709" t="str">
            <v>2240</v>
          </cell>
          <cell r="C3709">
            <v>476223</v>
          </cell>
          <cell r="D3709">
            <v>41244</v>
          </cell>
          <cell r="E3709">
            <v>0</v>
          </cell>
          <cell r="F3709">
            <v>0</v>
          </cell>
          <cell r="G3709">
            <v>260451784</v>
          </cell>
          <cell r="H3709">
            <v>0</v>
          </cell>
          <cell r="I3709">
            <v>260451784</v>
          </cell>
        </row>
        <row r="3710">
          <cell r="A3710" t="str">
            <v>2260|476223</v>
          </cell>
          <cell r="B3710" t="str">
            <v>2260</v>
          </cell>
          <cell r="C3710">
            <v>476223</v>
          </cell>
          <cell r="D3710">
            <v>41244</v>
          </cell>
          <cell r="E3710">
            <v>0</v>
          </cell>
          <cell r="F3710">
            <v>0</v>
          </cell>
          <cell r="G3710">
            <v>764900748</v>
          </cell>
          <cell r="H3710">
            <v>0</v>
          </cell>
          <cell r="I3710">
            <v>764900748</v>
          </cell>
        </row>
        <row r="3711">
          <cell r="A3711" t="str">
            <v>2500|473120</v>
          </cell>
          <cell r="B3711" t="str">
            <v>2500</v>
          </cell>
          <cell r="C3711">
            <v>473120</v>
          </cell>
          <cell r="D3711">
            <v>41244</v>
          </cell>
          <cell r="E3711">
            <v>0</v>
          </cell>
          <cell r="F3711">
            <v>0</v>
          </cell>
          <cell r="G3711">
            <v>437800</v>
          </cell>
          <cell r="H3711">
            <v>0</v>
          </cell>
          <cell r="I3711">
            <v>437800</v>
          </cell>
        </row>
        <row r="3712">
          <cell r="A3712" t="str">
            <v>3470|470102</v>
          </cell>
          <cell r="B3712" t="str">
            <v>3470</v>
          </cell>
          <cell r="C3712">
            <v>470102</v>
          </cell>
          <cell r="D3712">
            <v>41244</v>
          </cell>
          <cell r="E3712">
            <v>0</v>
          </cell>
          <cell r="F3712">
            <v>0</v>
          </cell>
          <cell r="G3712">
            <v>75000</v>
          </cell>
          <cell r="H3712">
            <v>0</v>
          </cell>
          <cell r="I3712">
            <v>75000</v>
          </cell>
        </row>
        <row r="3713">
          <cell r="A3713" t="str">
            <v>5100|439201</v>
          </cell>
          <cell r="B3713" t="str">
            <v>5100</v>
          </cell>
          <cell r="C3713">
            <v>439201</v>
          </cell>
          <cell r="D3713">
            <v>41244</v>
          </cell>
          <cell r="E3713">
            <v>0</v>
          </cell>
          <cell r="F3713">
            <v>0</v>
          </cell>
          <cell r="G3713">
            <v>1602365</v>
          </cell>
          <cell r="H3713">
            <v>0</v>
          </cell>
          <cell r="I3713">
            <v>1602365</v>
          </cell>
        </row>
        <row r="3714">
          <cell r="A3714" t="str">
            <v>5500|211100</v>
          </cell>
          <cell r="B3714" t="str">
            <v>5500</v>
          </cell>
          <cell r="C3714">
            <v>211100</v>
          </cell>
          <cell r="D3714">
            <v>41244</v>
          </cell>
          <cell r="E3714">
            <v>0</v>
          </cell>
          <cell r="F3714">
            <v>0</v>
          </cell>
          <cell r="G3714">
            <v>0</v>
          </cell>
          <cell r="H3714">
            <v>0</v>
          </cell>
          <cell r="I3714">
            <v>0</v>
          </cell>
        </row>
        <row r="3715">
          <cell r="A3715" t="str">
            <v>5700|455002</v>
          </cell>
          <cell r="B3715" t="str">
            <v>5700</v>
          </cell>
          <cell r="C3715">
            <v>455002</v>
          </cell>
          <cell r="D3715">
            <v>41244</v>
          </cell>
          <cell r="E3715">
            <v>0</v>
          </cell>
          <cell r="F3715">
            <v>0</v>
          </cell>
          <cell r="G3715">
            <v>356250</v>
          </cell>
          <cell r="H3715">
            <v>0</v>
          </cell>
          <cell r="I3715">
            <v>356250</v>
          </cell>
        </row>
        <row r="3716">
          <cell r="A3716" t="str">
            <v>5700|476223</v>
          </cell>
          <cell r="B3716" t="str">
            <v>5700</v>
          </cell>
          <cell r="C3716">
            <v>476223</v>
          </cell>
          <cell r="D3716">
            <v>41244</v>
          </cell>
          <cell r="E3716">
            <v>0</v>
          </cell>
          <cell r="F3716">
            <v>0</v>
          </cell>
          <cell r="G3716">
            <v>794436500</v>
          </cell>
          <cell r="H3716">
            <v>0</v>
          </cell>
          <cell r="I3716">
            <v>794436500</v>
          </cell>
        </row>
        <row r="3717">
          <cell r="A3717" t="str">
            <v>6322|470101</v>
          </cell>
          <cell r="B3717" t="str">
            <v>6322</v>
          </cell>
          <cell r="C3717">
            <v>470101</v>
          </cell>
          <cell r="D3717">
            <v>41244</v>
          </cell>
          <cell r="E3717">
            <v>0</v>
          </cell>
          <cell r="F3717">
            <v>0</v>
          </cell>
          <cell r="G3717">
            <v>2500000</v>
          </cell>
          <cell r="H3717">
            <v>0</v>
          </cell>
          <cell r="I3717">
            <v>2500000</v>
          </cell>
        </row>
        <row r="3718">
          <cell r="A3718" t="str">
            <v>6325|449061</v>
          </cell>
          <cell r="B3718" t="str">
            <v>6325</v>
          </cell>
          <cell r="C3718">
            <v>449061</v>
          </cell>
          <cell r="D3718">
            <v>41244</v>
          </cell>
          <cell r="E3718">
            <v>0</v>
          </cell>
          <cell r="F3718">
            <v>0</v>
          </cell>
          <cell r="G3718">
            <v>263200</v>
          </cell>
          <cell r="H3718">
            <v>0</v>
          </cell>
          <cell r="I3718">
            <v>263200</v>
          </cell>
        </row>
        <row r="3719">
          <cell r="A3719" t="str">
            <v>6326|422000</v>
          </cell>
          <cell r="B3719" t="str">
            <v>6326</v>
          </cell>
          <cell r="C3719">
            <v>422000</v>
          </cell>
          <cell r="D3719">
            <v>41244</v>
          </cell>
          <cell r="E3719">
            <v>0</v>
          </cell>
          <cell r="F3719">
            <v>0</v>
          </cell>
          <cell r="G3719">
            <v>49850</v>
          </cell>
          <cell r="H3719">
            <v>0</v>
          </cell>
          <cell r="I3719">
            <v>49850</v>
          </cell>
        </row>
        <row r="3720">
          <cell r="A3720" t="str">
            <v>6326|439100</v>
          </cell>
          <cell r="B3720" t="str">
            <v>6326</v>
          </cell>
          <cell r="C3720">
            <v>439100</v>
          </cell>
          <cell r="D3720">
            <v>41244</v>
          </cell>
          <cell r="E3720">
            <v>0</v>
          </cell>
          <cell r="F3720">
            <v>0</v>
          </cell>
          <cell r="G3720">
            <v>1000000</v>
          </cell>
          <cell r="H3720">
            <v>0</v>
          </cell>
          <cell r="I3720">
            <v>1000000</v>
          </cell>
        </row>
        <row r="3721">
          <cell r="A3721" t="str">
            <v>6326|435000</v>
          </cell>
          <cell r="B3721" t="str">
            <v>6326</v>
          </cell>
          <cell r="C3721">
            <v>435000</v>
          </cell>
          <cell r="D3721">
            <v>41244</v>
          </cell>
          <cell r="E3721">
            <v>0</v>
          </cell>
          <cell r="F3721">
            <v>0</v>
          </cell>
          <cell r="G3721">
            <v>57709383</v>
          </cell>
          <cell r="H3721">
            <v>0</v>
          </cell>
          <cell r="I3721">
            <v>57709383</v>
          </cell>
        </row>
        <row r="3722">
          <cell r="A3722" t="str">
            <v>6326|448000</v>
          </cell>
          <cell r="B3722" t="str">
            <v>6326</v>
          </cell>
          <cell r="C3722">
            <v>448000</v>
          </cell>
          <cell r="D3722">
            <v>41244</v>
          </cell>
          <cell r="E3722">
            <v>0</v>
          </cell>
          <cell r="F3722">
            <v>0</v>
          </cell>
          <cell r="G3722">
            <v>925000</v>
          </cell>
          <cell r="H3722">
            <v>0</v>
          </cell>
          <cell r="I3722">
            <v>925000</v>
          </cell>
        </row>
        <row r="3723">
          <cell r="A3723" t="str">
            <v>6422|449060</v>
          </cell>
          <cell r="B3723" t="str">
            <v>6422</v>
          </cell>
          <cell r="C3723">
            <v>449060</v>
          </cell>
          <cell r="D3723">
            <v>41244</v>
          </cell>
          <cell r="E3723">
            <v>0</v>
          </cell>
          <cell r="F3723">
            <v>0</v>
          </cell>
          <cell r="G3723">
            <v>52915</v>
          </cell>
          <cell r="H3723">
            <v>0</v>
          </cell>
          <cell r="I3723">
            <v>52915</v>
          </cell>
        </row>
        <row r="3724">
          <cell r="A3724" t="str">
            <v>6710|211100</v>
          </cell>
          <cell r="B3724" t="str">
            <v>6710</v>
          </cell>
          <cell r="C3724">
            <v>211100</v>
          </cell>
          <cell r="D3724">
            <v>41244</v>
          </cell>
          <cell r="E3724">
            <v>0</v>
          </cell>
          <cell r="F3724">
            <v>0</v>
          </cell>
          <cell r="G3724">
            <v>0</v>
          </cell>
          <cell r="H3724">
            <v>0</v>
          </cell>
          <cell r="I3724">
            <v>0</v>
          </cell>
        </row>
        <row r="3725">
          <cell r="A3725" t="str">
            <v>H160|476201</v>
          </cell>
          <cell r="B3725" t="str">
            <v>H160</v>
          </cell>
          <cell r="C3725">
            <v>476201</v>
          </cell>
          <cell r="D3725">
            <v>41244</v>
          </cell>
          <cell r="E3725">
            <v>0</v>
          </cell>
          <cell r="F3725">
            <v>0</v>
          </cell>
          <cell r="G3725">
            <v>0</v>
          </cell>
          <cell r="H3725">
            <v>0</v>
          </cell>
          <cell r="I3725">
            <v>0</v>
          </cell>
        </row>
        <row r="3726">
          <cell r="A3726" t="str">
            <v>1500|475004</v>
          </cell>
          <cell r="B3726" t="str">
            <v>1500</v>
          </cell>
          <cell r="C3726">
            <v>475004</v>
          </cell>
          <cell r="D3726">
            <v>41244</v>
          </cell>
          <cell r="E3726">
            <v>3300000</v>
          </cell>
          <cell r="F3726">
            <v>3300000</v>
          </cell>
          <cell r="G3726">
            <v>3191000</v>
          </cell>
          <cell r="H3726">
            <v>275000</v>
          </cell>
          <cell r="I3726">
            <v>3191000</v>
          </cell>
        </row>
      </sheetData>
      <sheetData sheetId="2">
        <row r="1">
          <cell r="E1" t="str">
            <v>Data</v>
          </cell>
        </row>
        <row r="2">
          <cell r="A2" t="str">
            <v>CCID|GL</v>
          </cell>
          <cell r="B2" t="str">
            <v>CCId</v>
          </cell>
          <cell r="C2" t="str">
            <v>GLAcc</v>
          </cell>
          <cell r="D2" t="str">
            <v>Prd</v>
          </cell>
          <cell r="E2" t="str">
            <v>Plan Year</v>
          </cell>
          <cell r="F2" t="str">
            <v>YTD Plan</v>
          </cell>
          <cell r="G2" t="str">
            <v>YTD Actual</v>
          </cell>
          <cell r="H2" t="str">
            <v>Budget Monthly</v>
          </cell>
          <cell r="I2" t="str">
            <v>Actual Monthly</v>
          </cell>
        </row>
        <row r="3">
          <cell r="A3" t="str">
            <v>0100|211100</v>
          </cell>
          <cell r="B3" t="str">
            <v>0100</v>
          </cell>
          <cell r="C3">
            <v>211100</v>
          </cell>
          <cell r="D3">
            <v>41426</v>
          </cell>
          <cell r="E3">
            <v>245350583</v>
          </cell>
          <cell r="F3">
            <v>122675292</v>
          </cell>
          <cell r="G3">
            <v>56052874</v>
          </cell>
          <cell r="H3">
            <v>20445882</v>
          </cell>
          <cell r="I3">
            <v>9723100</v>
          </cell>
        </row>
        <row r="4">
          <cell r="A4" t="str">
            <v>0200|211104</v>
          </cell>
          <cell r="B4" t="str">
            <v>0200</v>
          </cell>
          <cell r="C4">
            <v>211104</v>
          </cell>
          <cell r="D4">
            <v>41426</v>
          </cell>
          <cell r="E4">
            <v>1053631332</v>
          </cell>
          <cell r="F4">
            <v>526815666</v>
          </cell>
          <cell r="G4">
            <v>300571945</v>
          </cell>
          <cell r="H4">
            <v>87802611</v>
          </cell>
          <cell r="I4">
            <v>50650372</v>
          </cell>
        </row>
        <row r="5">
          <cell r="A5" t="str">
            <v>0200|400040</v>
          </cell>
          <cell r="B5" t="str">
            <v>0200</v>
          </cell>
          <cell r="C5">
            <v>400040</v>
          </cell>
          <cell r="D5">
            <v>41426</v>
          </cell>
          <cell r="E5">
            <v>60000000</v>
          </cell>
          <cell r="F5">
            <v>30000000</v>
          </cell>
          <cell r="G5">
            <v>14316437</v>
          </cell>
          <cell r="H5">
            <v>5000000</v>
          </cell>
          <cell r="I5">
            <v>-3355450</v>
          </cell>
        </row>
        <row r="6">
          <cell r="A6" t="str">
            <v>0200|405200</v>
          </cell>
          <cell r="B6" t="str">
            <v>0200</v>
          </cell>
          <cell r="C6">
            <v>405200</v>
          </cell>
          <cell r="D6">
            <v>41426</v>
          </cell>
          <cell r="E6">
            <v>8000000</v>
          </cell>
          <cell r="F6">
            <v>4000000</v>
          </cell>
          <cell r="G6">
            <v>643580</v>
          </cell>
          <cell r="H6">
            <v>666667</v>
          </cell>
          <cell r="I6">
            <v>643580</v>
          </cell>
        </row>
        <row r="7">
          <cell r="A7" t="str">
            <v>0200|405251</v>
          </cell>
          <cell r="B7" t="str">
            <v>0200</v>
          </cell>
          <cell r="C7">
            <v>405251</v>
          </cell>
          <cell r="D7">
            <v>41426</v>
          </cell>
          <cell r="E7">
            <v>4000000</v>
          </cell>
          <cell r="F7">
            <v>2000000</v>
          </cell>
          <cell r="G7">
            <v>4957761</v>
          </cell>
          <cell r="H7">
            <v>333333</v>
          </cell>
          <cell r="I7">
            <v>0</v>
          </cell>
        </row>
        <row r="8">
          <cell r="A8" t="str">
            <v>0200|405254</v>
          </cell>
          <cell r="B8" t="str">
            <v>0200</v>
          </cell>
          <cell r="C8">
            <v>405254</v>
          </cell>
          <cell r="D8">
            <v>41426</v>
          </cell>
          <cell r="E8">
            <v>9000000</v>
          </cell>
          <cell r="F8">
            <v>4500000</v>
          </cell>
          <cell r="G8">
            <v>1725000</v>
          </cell>
          <cell r="H8">
            <v>750000</v>
          </cell>
          <cell r="I8">
            <v>0</v>
          </cell>
        </row>
        <row r="9">
          <cell r="A9" t="str">
            <v>0200|406000</v>
          </cell>
          <cell r="B9" t="str">
            <v>0200</v>
          </cell>
          <cell r="C9">
            <v>406000</v>
          </cell>
          <cell r="D9">
            <v>41426</v>
          </cell>
          <cell r="E9">
            <v>34000000</v>
          </cell>
          <cell r="F9">
            <v>17000000</v>
          </cell>
          <cell r="G9">
            <v>8367500</v>
          </cell>
          <cell r="H9">
            <v>2833333</v>
          </cell>
          <cell r="I9">
            <v>0</v>
          </cell>
        </row>
        <row r="10">
          <cell r="A10" t="str">
            <v>0200|420000</v>
          </cell>
          <cell r="B10" t="str">
            <v>0200</v>
          </cell>
          <cell r="C10">
            <v>420000</v>
          </cell>
          <cell r="D10">
            <v>41426</v>
          </cell>
          <cell r="E10">
            <v>1963965474</v>
          </cell>
          <cell r="F10">
            <v>981982737</v>
          </cell>
          <cell r="G10">
            <v>1109149989</v>
          </cell>
          <cell r="H10">
            <v>163663789</v>
          </cell>
          <cell r="I10">
            <v>168199690</v>
          </cell>
        </row>
        <row r="11">
          <cell r="A11" t="str">
            <v>0200|420001</v>
          </cell>
          <cell r="B11" t="str">
            <v>0200</v>
          </cell>
          <cell r="C11">
            <v>420001</v>
          </cell>
          <cell r="D11">
            <v>41426</v>
          </cell>
          <cell r="E11">
            <v>290305560</v>
          </cell>
          <cell r="F11">
            <v>145152780</v>
          </cell>
          <cell r="G11">
            <v>134094000</v>
          </cell>
          <cell r="H11">
            <v>24192130</v>
          </cell>
          <cell r="I11">
            <v>22349000</v>
          </cell>
        </row>
        <row r="12">
          <cell r="A12" t="str">
            <v>0200|420003</v>
          </cell>
          <cell r="B12" t="str">
            <v>0200</v>
          </cell>
          <cell r="C12">
            <v>420003</v>
          </cell>
          <cell r="D12">
            <v>41426</v>
          </cell>
          <cell r="E12">
            <v>255520683</v>
          </cell>
          <cell r="F12">
            <v>127760342</v>
          </cell>
          <cell r="G12">
            <v>208472913</v>
          </cell>
          <cell r="H12">
            <v>21293391</v>
          </cell>
          <cell r="I12">
            <v>33194879</v>
          </cell>
        </row>
        <row r="13">
          <cell r="A13" t="str">
            <v>0200|422000</v>
          </cell>
          <cell r="B13" t="str">
            <v>0200</v>
          </cell>
          <cell r="C13">
            <v>422000</v>
          </cell>
          <cell r="D13">
            <v>41426</v>
          </cell>
          <cell r="E13">
            <v>5163800</v>
          </cell>
          <cell r="F13">
            <v>2581900</v>
          </cell>
          <cell r="G13">
            <v>3841850</v>
          </cell>
          <cell r="H13">
            <v>430317</v>
          </cell>
          <cell r="I13">
            <v>0</v>
          </cell>
        </row>
        <row r="14">
          <cell r="A14" t="str">
            <v>0200|422001</v>
          </cell>
          <cell r="B14" t="str">
            <v>0200</v>
          </cell>
          <cell r="C14">
            <v>422001</v>
          </cell>
          <cell r="D14">
            <v>41426</v>
          </cell>
          <cell r="E14">
            <v>508140</v>
          </cell>
          <cell r="F14">
            <v>254070</v>
          </cell>
          <cell r="G14">
            <v>0</v>
          </cell>
          <cell r="H14">
            <v>42345</v>
          </cell>
          <cell r="I14">
            <v>0</v>
          </cell>
        </row>
        <row r="15">
          <cell r="A15" t="str">
            <v>0200|431000</v>
          </cell>
          <cell r="B15" t="str">
            <v>0200</v>
          </cell>
          <cell r="C15">
            <v>431000</v>
          </cell>
          <cell r="D15">
            <v>41426</v>
          </cell>
          <cell r="E15">
            <v>210000000</v>
          </cell>
          <cell r="F15">
            <v>105000000</v>
          </cell>
          <cell r="G15">
            <v>136097104</v>
          </cell>
          <cell r="H15">
            <v>17500000</v>
          </cell>
          <cell r="I15">
            <v>2582736</v>
          </cell>
        </row>
        <row r="16">
          <cell r="A16" t="str">
            <v>0200|431001</v>
          </cell>
          <cell r="B16" t="str">
            <v>0200</v>
          </cell>
          <cell r="C16">
            <v>431001</v>
          </cell>
          <cell r="D16">
            <v>41426</v>
          </cell>
          <cell r="E16">
            <v>20000000</v>
          </cell>
          <cell r="F16">
            <v>10000000</v>
          </cell>
          <cell r="G16">
            <v>0</v>
          </cell>
          <cell r="H16">
            <v>1666667</v>
          </cell>
          <cell r="I16">
            <v>0</v>
          </cell>
        </row>
        <row r="17">
          <cell r="A17" t="str">
            <v>0200|431002</v>
          </cell>
          <cell r="B17" t="str">
            <v>0200</v>
          </cell>
          <cell r="C17">
            <v>431002</v>
          </cell>
          <cell r="D17">
            <v>41426</v>
          </cell>
          <cell r="E17">
            <v>920063</v>
          </cell>
          <cell r="F17">
            <v>460032</v>
          </cell>
          <cell r="G17">
            <v>2579451</v>
          </cell>
          <cell r="H17">
            <v>76672</v>
          </cell>
          <cell r="I17">
            <v>0</v>
          </cell>
        </row>
        <row r="18">
          <cell r="A18" t="str">
            <v>0200|434010</v>
          </cell>
          <cell r="B18" t="str">
            <v>0200</v>
          </cell>
          <cell r="C18">
            <v>434010</v>
          </cell>
          <cell r="D18">
            <v>41426</v>
          </cell>
          <cell r="E18">
            <v>4740115</v>
          </cell>
          <cell r="F18">
            <v>2370058</v>
          </cell>
          <cell r="G18">
            <v>79058518</v>
          </cell>
          <cell r="H18">
            <v>395010</v>
          </cell>
          <cell r="I18">
            <v>12303964</v>
          </cell>
        </row>
        <row r="19">
          <cell r="A19" t="str">
            <v>0200|434011</v>
          </cell>
          <cell r="B19" t="str">
            <v>0200</v>
          </cell>
          <cell r="C19">
            <v>434011</v>
          </cell>
          <cell r="D19">
            <v>41426</v>
          </cell>
          <cell r="E19">
            <v>5204552</v>
          </cell>
          <cell r="F19">
            <v>2602276</v>
          </cell>
          <cell r="G19">
            <v>5003826</v>
          </cell>
          <cell r="H19">
            <v>433713</v>
          </cell>
          <cell r="I19">
            <v>821288</v>
          </cell>
        </row>
        <row r="20">
          <cell r="A20" t="str">
            <v>0200|434013</v>
          </cell>
          <cell r="B20" t="str">
            <v>0200</v>
          </cell>
          <cell r="C20">
            <v>434013</v>
          </cell>
          <cell r="D20">
            <v>41426</v>
          </cell>
          <cell r="E20">
            <v>0</v>
          </cell>
          <cell r="F20">
            <v>0</v>
          </cell>
          <cell r="G20">
            <v>9207773</v>
          </cell>
          <cell r="H20">
            <v>0</v>
          </cell>
          <cell r="I20">
            <v>1200976</v>
          </cell>
        </row>
        <row r="21">
          <cell r="A21" t="str">
            <v>0200|435000</v>
          </cell>
          <cell r="B21" t="str">
            <v>0200</v>
          </cell>
          <cell r="C21">
            <v>435000</v>
          </cell>
          <cell r="D21">
            <v>41426</v>
          </cell>
          <cell r="E21">
            <v>170235913</v>
          </cell>
          <cell r="F21">
            <v>85117957</v>
          </cell>
          <cell r="G21">
            <v>227599018</v>
          </cell>
          <cell r="H21">
            <v>14186327</v>
          </cell>
          <cell r="I21">
            <v>6574362</v>
          </cell>
        </row>
        <row r="22">
          <cell r="A22" t="str">
            <v>0200|435001</v>
          </cell>
          <cell r="B22" t="str">
            <v>0200</v>
          </cell>
          <cell r="C22">
            <v>435001</v>
          </cell>
          <cell r="D22">
            <v>41426</v>
          </cell>
          <cell r="E22">
            <v>36288195</v>
          </cell>
          <cell r="F22">
            <v>18144098</v>
          </cell>
          <cell r="G22">
            <v>50698000</v>
          </cell>
          <cell r="H22">
            <v>3024017</v>
          </cell>
          <cell r="I22">
            <v>0</v>
          </cell>
        </row>
        <row r="23">
          <cell r="A23" t="str">
            <v>0200|435003</v>
          </cell>
          <cell r="B23" t="str">
            <v>0200</v>
          </cell>
          <cell r="C23">
            <v>435003</v>
          </cell>
          <cell r="D23">
            <v>41426</v>
          </cell>
          <cell r="E23">
            <v>31940085</v>
          </cell>
          <cell r="F23">
            <v>15970043</v>
          </cell>
          <cell r="G23">
            <v>84794000</v>
          </cell>
          <cell r="H23">
            <v>2661674</v>
          </cell>
          <cell r="I23">
            <v>0</v>
          </cell>
        </row>
        <row r="24">
          <cell r="A24" t="str">
            <v>0200|439000</v>
          </cell>
          <cell r="B24" t="str">
            <v>0200</v>
          </cell>
          <cell r="C24">
            <v>439000</v>
          </cell>
          <cell r="D24">
            <v>41426</v>
          </cell>
          <cell r="E24">
            <v>370561238</v>
          </cell>
          <cell r="F24">
            <v>185280619</v>
          </cell>
          <cell r="G24">
            <v>149379942</v>
          </cell>
          <cell r="H24">
            <v>30880103</v>
          </cell>
          <cell r="I24">
            <v>22802195</v>
          </cell>
        </row>
        <row r="25">
          <cell r="A25" t="str">
            <v>0200|439001</v>
          </cell>
          <cell r="B25" t="str">
            <v>0200</v>
          </cell>
          <cell r="C25">
            <v>439001</v>
          </cell>
          <cell r="D25">
            <v>41426</v>
          </cell>
          <cell r="E25">
            <v>22553763</v>
          </cell>
          <cell r="F25">
            <v>11276882</v>
          </cell>
          <cell r="G25">
            <v>11035921</v>
          </cell>
          <cell r="H25">
            <v>1879481</v>
          </cell>
          <cell r="I25">
            <v>1831288</v>
          </cell>
        </row>
        <row r="26">
          <cell r="A26" t="str">
            <v>0200|439003</v>
          </cell>
          <cell r="B26" t="str">
            <v>0200</v>
          </cell>
          <cell r="C26">
            <v>439003</v>
          </cell>
          <cell r="D26">
            <v>41426</v>
          </cell>
          <cell r="E26">
            <v>39449879</v>
          </cell>
          <cell r="F26">
            <v>19724940</v>
          </cell>
          <cell r="G26">
            <v>56996719</v>
          </cell>
          <cell r="H26">
            <v>3287490</v>
          </cell>
          <cell r="I26">
            <v>6445211</v>
          </cell>
        </row>
        <row r="27">
          <cell r="A27" t="str">
            <v>0200|439200</v>
          </cell>
          <cell r="B27" t="str">
            <v>0200</v>
          </cell>
          <cell r="C27">
            <v>439200</v>
          </cell>
          <cell r="D27">
            <v>41426</v>
          </cell>
          <cell r="E27">
            <v>230000</v>
          </cell>
          <cell r="F27">
            <v>115000</v>
          </cell>
          <cell r="G27">
            <v>0</v>
          </cell>
          <cell r="H27">
            <v>19167</v>
          </cell>
          <cell r="I27">
            <v>0</v>
          </cell>
        </row>
        <row r="28">
          <cell r="A28" t="str">
            <v>0200|440000</v>
          </cell>
          <cell r="B28" t="str">
            <v>0200</v>
          </cell>
          <cell r="C28">
            <v>440000</v>
          </cell>
          <cell r="D28">
            <v>41426</v>
          </cell>
          <cell r="E28">
            <v>163663789</v>
          </cell>
          <cell r="F28">
            <v>81831895</v>
          </cell>
          <cell r="G28">
            <v>81862871</v>
          </cell>
          <cell r="H28">
            <v>13638650</v>
          </cell>
          <cell r="I28">
            <v>14719574</v>
          </cell>
        </row>
        <row r="29">
          <cell r="A29" t="str">
            <v>0200|440001</v>
          </cell>
          <cell r="B29" t="str">
            <v>0200</v>
          </cell>
          <cell r="C29">
            <v>440001</v>
          </cell>
          <cell r="D29">
            <v>41426</v>
          </cell>
          <cell r="E29">
            <v>24192130</v>
          </cell>
          <cell r="F29">
            <v>12096065</v>
          </cell>
          <cell r="G29">
            <v>5368682</v>
          </cell>
          <cell r="H29">
            <v>2016011</v>
          </cell>
          <cell r="I29">
            <v>869758</v>
          </cell>
        </row>
        <row r="30">
          <cell r="A30" t="str">
            <v>0200|440003</v>
          </cell>
          <cell r="B30" t="str">
            <v>0200</v>
          </cell>
          <cell r="C30">
            <v>440003</v>
          </cell>
          <cell r="D30">
            <v>41426</v>
          </cell>
          <cell r="E30">
            <v>21293390</v>
          </cell>
          <cell r="F30">
            <v>10646695</v>
          </cell>
          <cell r="G30">
            <v>19653566</v>
          </cell>
          <cell r="H30">
            <v>1774449</v>
          </cell>
          <cell r="I30">
            <v>3945243</v>
          </cell>
        </row>
        <row r="31">
          <cell r="A31" t="str">
            <v>0200|446000</v>
          </cell>
          <cell r="B31" t="str">
            <v>0200</v>
          </cell>
          <cell r="C31">
            <v>446000</v>
          </cell>
          <cell r="D31">
            <v>41426</v>
          </cell>
          <cell r="E31">
            <v>83689771</v>
          </cell>
          <cell r="F31">
            <v>41844886</v>
          </cell>
          <cell r="G31">
            <v>43415000</v>
          </cell>
          <cell r="H31">
            <v>6974148</v>
          </cell>
          <cell r="I31">
            <v>7050000</v>
          </cell>
        </row>
        <row r="32">
          <cell r="A32" t="str">
            <v>0200|446001</v>
          </cell>
          <cell r="B32" t="str">
            <v>0200</v>
          </cell>
          <cell r="C32">
            <v>446001</v>
          </cell>
          <cell r="D32">
            <v>41426</v>
          </cell>
          <cell r="E32">
            <v>0</v>
          </cell>
          <cell r="F32">
            <v>0</v>
          </cell>
          <cell r="G32">
            <v>2100000</v>
          </cell>
          <cell r="H32">
            <v>0</v>
          </cell>
          <cell r="I32">
            <v>350000</v>
          </cell>
        </row>
        <row r="33">
          <cell r="A33" t="str">
            <v>0200|447000</v>
          </cell>
          <cell r="B33" t="str">
            <v>0200</v>
          </cell>
          <cell r="C33">
            <v>447000</v>
          </cell>
          <cell r="D33">
            <v>41426</v>
          </cell>
          <cell r="E33">
            <v>30834258</v>
          </cell>
          <cell r="F33">
            <v>15417129</v>
          </cell>
          <cell r="G33">
            <v>17324987</v>
          </cell>
          <cell r="H33">
            <v>2569521</v>
          </cell>
          <cell r="I33">
            <v>2762651</v>
          </cell>
        </row>
        <row r="34">
          <cell r="A34" t="str">
            <v>0200|447001</v>
          </cell>
          <cell r="B34" t="str">
            <v>0200</v>
          </cell>
          <cell r="C34">
            <v>447001</v>
          </cell>
          <cell r="D34">
            <v>41426</v>
          </cell>
          <cell r="E34">
            <v>4557797</v>
          </cell>
          <cell r="F34">
            <v>2278899</v>
          </cell>
          <cell r="G34">
            <v>2105280</v>
          </cell>
          <cell r="H34">
            <v>379817</v>
          </cell>
          <cell r="I34">
            <v>350880</v>
          </cell>
        </row>
        <row r="35">
          <cell r="A35" t="str">
            <v>0200|447003</v>
          </cell>
          <cell r="B35" t="str">
            <v>0200</v>
          </cell>
          <cell r="C35">
            <v>447003</v>
          </cell>
          <cell r="D35">
            <v>41426</v>
          </cell>
          <cell r="E35">
            <v>4012241</v>
          </cell>
          <cell r="F35">
            <v>2006121</v>
          </cell>
          <cell r="G35">
            <v>2795969</v>
          </cell>
          <cell r="H35">
            <v>334354</v>
          </cell>
          <cell r="I35">
            <v>470098</v>
          </cell>
        </row>
        <row r="36">
          <cell r="A36" t="str">
            <v>0200|447010</v>
          </cell>
          <cell r="B36" t="str">
            <v>0200</v>
          </cell>
          <cell r="C36">
            <v>447010</v>
          </cell>
          <cell r="D36">
            <v>41426</v>
          </cell>
          <cell r="E36">
            <v>72666723</v>
          </cell>
          <cell r="F36">
            <v>36333362</v>
          </cell>
          <cell r="G36">
            <v>40829595</v>
          </cell>
          <cell r="H36">
            <v>6055561</v>
          </cell>
          <cell r="I36">
            <v>6510707</v>
          </cell>
        </row>
        <row r="37">
          <cell r="A37" t="str">
            <v>0200|447011</v>
          </cell>
          <cell r="B37" t="str">
            <v>0200</v>
          </cell>
          <cell r="C37">
            <v>447011</v>
          </cell>
          <cell r="D37">
            <v>41426</v>
          </cell>
          <cell r="E37">
            <v>10741306</v>
          </cell>
          <cell r="F37">
            <v>5370653</v>
          </cell>
          <cell r="G37">
            <v>4961478</v>
          </cell>
          <cell r="H37">
            <v>895109</v>
          </cell>
          <cell r="I37">
            <v>826913</v>
          </cell>
        </row>
        <row r="38">
          <cell r="A38" t="str">
            <v>0200|447013</v>
          </cell>
          <cell r="B38" t="str">
            <v>0200</v>
          </cell>
          <cell r="C38">
            <v>447013</v>
          </cell>
          <cell r="D38">
            <v>41426</v>
          </cell>
          <cell r="E38">
            <v>9454265</v>
          </cell>
          <cell r="F38">
            <v>4727133</v>
          </cell>
          <cell r="G38">
            <v>6589221</v>
          </cell>
          <cell r="H38">
            <v>787856</v>
          </cell>
          <cell r="I38">
            <v>1107873</v>
          </cell>
        </row>
        <row r="39">
          <cell r="A39" t="str">
            <v>0200|447020</v>
          </cell>
          <cell r="B39" t="str">
            <v>0200</v>
          </cell>
          <cell r="C39">
            <v>447020</v>
          </cell>
          <cell r="D39">
            <v>41426</v>
          </cell>
          <cell r="E39">
            <v>3083426</v>
          </cell>
          <cell r="F39">
            <v>1541713</v>
          </cell>
          <cell r="G39">
            <v>1563950</v>
          </cell>
          <cell r="H39">
            <v>256952</v>
          </cell>
          <cell r="I39">
            <v>221475</v>
          </cell>
        </row>
        <row r="40">
          <cell r="A40" t="str">
            <v>0200|447021</v>
          </cell>
          <cell r="B40" t="str">
            <v>0200</v>
          </cell>
          <cell r="C40">
            <v>447021</v>
          </cell>
          <cell r="D40">
            <v>41426</v>
          </cell>
          <cell r="E40">
            <v>455780</v>
          </cell>
          <cell r="F40">
            <v>227890</v>
          </cell>
          <cell r="G40">
            <v>370237</v>
          </cell>
          <cell r="H40">
            <v>37982</v>
          </cell>
          <cell r="I40">
            <v>61950</v>
          </cell>
        </row>
        <row r="41">
          <cell r="A41" t="str">
            <v>0200|447023</v>
          </cell>
          <cell r="B41" t="str">
            <v>0200</v>
          </cell>
          <cell r="C41">
            <v>447023</v>
          </cell>
          <cell r="D41">
            <v>41426</v>
          </cell>
          <cell r="E41">
            <v>332040</v>
          </cell>
          <cell r="F41">
            <v>166020</v>
          </cell>
          <cell r="G41">
            <v>489262</v>
          </cell>
          <cell r="H41">
            <v>27670</v>
          </cell>
          <cell r="I41">
            <v>82950</v>
          </cell>
        </row>
        <row r="42">
          <cell r="A42" t="str">
            <v>0200|448000</v>
          </cell>
          <cell r="B42" t="str">
            <v>0200</v>
          </cell>
          <cell r="C42">
            <v>448000</v>
          </cell>
          <cell r="D42">
            <v>41426</v>
          </cell>
          <cell r="E42">
            <v>167371590</v>
          </cell>
          <cell r="F42">
            <v>83685795</v>
          </cell>
          <cell r="G42">
            <v>91778839</v>
          </cell>
          <cell r="H42">
            <v>13947632</v>
          </cell>
          <cell r="I42">
            <v>9078200</v>
          </cell>
        </row>
        <row r="43">
          <cell r="A43" t="str">
            <v>0200|448001</v>
          </cell>
          <cell r="B43" t="str">
            <v>0200</v>
          </cell>
          <cell r="C43">
            <v>448001</v>
          </cell>
          <cell r="D43">
            <v>41426</v>
          </cell>
          <cell r="E43">
            <v>18644553</v>
          </cell>
          <cell r="F43">
            <v>9322277</v>
          </cell>
          <cell r="G43">
            <v>11878060</v>
          </cell>
          <cell r="H43">
            <v>1553713</v>
          </cell>
          <cell r="I43">
            <v>3224960</v>
          </cell>
        </row>
        <row r="44">
          <cell r="A44" t="str">
            <v>0200|448002</v>
          </cell>
          <cell r="B44" t="str">
            <v>0200</v>
          </cell>
          <cell r="C44">
            <v>448002</v>
          </cell>
          <cell r="D44">
            <v>41426</v>
          </cell>
          <cell r="E44">
            <v>0</v>
          </cell>
          <cell r="F44">
            <v>0</v>
          </cell>
          <cell r="G44">
            <v>3777200</v>
          </cell>
          <cell r="H44">
            <v>0</v>
          </cell>
          <cell r="I44">
            <v>1527500</v>
          </cell>
        </row>
        <row r="45">
          <cell r="A45" t="str">
            <v>0200|448003</v>
          </cell>
          <cell r="B45" t="str">
            <v>0200</v>
          </cell>
          <cell r="C45">
            <v>448003</v>
          </cell>
          <cell r="D45">
            <v>41426</v>
          </cell>
          <cell r="E45">
            <v>14470431</v>
          </cell>
          <cell r="F45">
            <v>7235216</v>
          </cell>
          <cell r="G45">
            <v>5709743</v>
          </cell>
          <cell r="H45">
            <v>1205870</v>
          </cell>
          <cell r="I45">
            <v>2133443</v>
          </cell>
        </row>
        <row r="46">
          <cell r="A46" t="str">
            <v>0200|449004</v>
          </cell>
          <cell r="B46" t="str">
            <v>0200</v>
          </cell>
          <cell r="C46">
            <v>449004</v>
          </cell>
          <cell r="D46">
            <v>41426</v>
          </cell>
          <cell r="E46">
            <v>5600000</v>
          </cell>
          <cell r="F46">
            <v>2800000</v>
          </cell>
          <cell r="G46">
            <v>-1000000</v>
          </cell>
          <cell r="H46">
            <v>466667</v>
          </cell>
          <cell r="I46">
            <v>-1000000</v>
          </cell>
        </row>
        <row r="47">
          <cell r="A47" t="str">
            <v>0200|449020</v>
          </cell>
          <cell r="B47" t="str">
            <v>0200</v>
          </cell>
          <cell r="C47">
            <v>449020</v>
          </cell>
          <cell r="D47">
            <v>41426</v>
          </cell>
          <cell r="E47">
            <v>142560000</v>
          </cell>
          <cell r="F47">
            <v>71280000</v>
          </cell>
          <cell r="G47">
            <v>82024000</v>
          </cell>
          <cell r="H47">
            <v>11880000</v>
          </cell>
          <cell r="I47">
            <v>11964000</v>
          </cell>
        </row>
        <row r="48">
          <cell r="A48" t="str">
            <v>0200|449023</v>
          </cell>
          <cell r="B48" t="str">
            <v>0200</v>
          </cell>
          <cell r="C48">
            <v>449023</v>
          </cell>
          <cell r="D48">
            <v>41426</v>
          </cell>
          <cell r="E48">
            <v>29436000</v>
          </cell>
          <cell r="F48">
            <v>14718000</v>
          </cell>
          <cell r="G48">
            <v>21648000</v>
          </cell>
          <cell r="H48">
            <v>2453000</v>
          </cell>
          <cell r="I48">
            <v>3523000</v>
          </cell>
        </row>
        <row r="49">
          <cell r="A49" t="str">
            <v>0200|449025</v>
          </cell>
          <cell r="B49" t="str">
            <v>0200</v>
          </cell>
          <cell r="C49">
            <v>449025</v>
          </cell>
          <cell r="D49">
            <v>41426</v>
          </cell>
          <cell r="E49">
            <v>7920000</v>
          </cell>
          <cell r="F49">
            <v>3960000</v>
          </cell>
          <cell r="G49">
            <v>5349000</v>
          </cell>
          <cell r="H49">
            <v>660000</v>
          </cell>
          <cell r="I49">
            <v>900000</v>
          </cell>
        </row>
        <row r="50">
          <cell r="A50" t="str">
            <v>0200|449032</v>
          </cell>
          <cell r="B50" t="str">
            <v>0200</v>
          </cell>
          <cell r="C50">
            <v>449032</v>
          </cell>
          <cell r="D50">
            <v>41426</v>
          </cell>
          <cell r="E50">
            <v>26362200</v>
          </cell>
          <cell r="F50">
            <v>13181100</v>
          </cell>
          <cell r="G50">
            <v>11982503</v>
          </cell>
          <cell r="H50">
            <v>2196850</v>
          </cell>
          <cell r="I50">
            <v>0</v>
          </cell>
        </row>
        <row r="51">
          <cell r="A51" t="str">
            <v>0200|449050</v>
          </cell>
          <cell r="B51" t="str">
            <v>0200</v>
          </cell>
          <cell r="C51">
            <v>449050</v>
          </cell>
          <cell r="D51">
            <v>41426</v>
          </cell>
          <cell r="E51">
            <v>29849700</v>
          </cell>
          <cell r="F51">
            <v>14924850</v>
          </cell>
          <cell r="G51">
            <v>14799982</v>
          </cell>
          <cell r="H51">
            <v>2487475</v>
          </cell>
          <cell r="I51">
            <v>2466667</v>
          </cell>
        </row>
        <row r="52">
          <cell r="A52" t="str">
            <v>0200|449060</v>
          </cell>
          <cell r="B52" t="str">
            <v>0200</v>
          </cell>
          <cell r="C52">
            <v>449060</v>
          </cell>
          <cell r="D52">
            <v>41426</v>
          </cell>
          <cell r="E52">
            <v>14000000</v>
          </cell>
          <cell r="F52">
            <v>7000000</v>
          </cell>
          <cell r="G52">
            <v>8377502</v>
          </cell>
          <cell r="H52">
            <v>1166667</v>
          </cell>
          <cell r="I52">
            <v>0</v>
          </cell>
        </row>
        <row r="53">
          <cell r="A53" t="str">
            <v>0200|449061</v>
          </cell>
          <cell r="B53" t="str">
            <v>0200</v>
          </cell>
          <cell r="C53">
            <v>449061</v>
          </cell>
          <cell r="D53">
            <v>41426</v>
          </cell>
          <cell r="E53">
            <v>29290430</v>
          </cell>
          <cell r="F53">
            <v>14645215</v>
          </cell>
          <cell r="G53">
            <v>11304150</v>
          </cell>
          <cell r="H53">
            <v>2440869</v>
          </cell>
          <cell r="I53">
            <v>2752400</v>
          </cell>
        </row>
        <row r="54">
          <cell r="A54" t="str">
            <v>0200|451000</v>
          </cell>
          <cell r="B54" t="str">
            <v>0200</v>
          </cell>
          <cell r="C54">
            <v>451000</v>
          </cell>
          <cell r="D54">
            <v>41426</v>
          </cell>
          <cell r="E54">
            <v>4041271</v>
          </cell>
          <cell r="F54">
            <v>2020636</v>
          </cell>
          <cell r="G54">
            <v>992000</v>
          </cell>
          <cell r="H54">
            <v>336773</v>
          </cell>
          <cell r="I54">
            <v>0</v>
          </cell>
        </row>
        <row r="55">
          <cell r="A55" t="str">
            <v>0200|452000</v>
          </cell>
          <cell r="B55" t="str">
            <v>0200</v>
          </cell>
          <cell r="C55">
            <v>452000</v>
          </cell>
          <cell r="D55">
            <v>41426</v>
          </cell>
          <cell r="E55">
            <v>350000000</v>
          </cell>
          <cell r="F55">
            <v>175000000</v>
          </cell>
          <cell r="G55">
            <v>193747957</v>
          </cell>
          <cell r="H55">
            <v>29166667</v>
          </cell>
          <cell r="I55">
            <v>-32851208</v>
          </cell>
        </row>
        <row r="56">
          <cell r="A56" t="str">
            <v>0200|452001</v>
          </cell>
          <cell r="B56" t="str">
            <v>0200</v>
          </cell>
          <cell r="C56">
            <v>452001</v>
          </cell>
          <cell r="D56">
            <v>41426</v>
          </cell>
          <cell r="E56">
            <v>1708000000</v>
          </cell>
          <cell r="F56">
            <v>854000000</v>
          </cell>
          <cell r="G56">
            <v>-1630000</v>
          </cell>
          <cell r="H56">
            <v>142333333</v>
          </cell>
          <cell r="I56">
            <v>-1630000</v>
          </cell>
        </row>
        <row r="57">
          <cell r="A57" t="str">
            <v>0200|455000</v>
          </cell>
          <cell r="B57" t="str">
            <v>0200</v>
          </cell>
          <cell r="C57">
            <v>455000</v>
          </cell>
          <cell r="D57">
            <v>41426</v>
          </cell>
          <cell r="E57">
            <v>76000000</v>
          </cell>
          <cell r="F57">
            <v>38000000</v>
          </cell>
          <cell r="G57">
            <v>-3070749</v>
          </cell>
          <cell r="H57">
            <v>6333333</v>
          </cell>
          <cell r="I57">
            <v>-14203356</v>
          </cell>
        </row>
        <row r="58">
          <cell r="A58" t="str">
            <v>0200|455001</v>
          </cell>
          <cell r="B58" t="str">
            <v>0200</v>
          </cell>
          <cell r="C58">
            <v>455001</v>
          </cell>
          <cell r="D58">
            <v>41426</v>
          </cell>
          <cell r="E58">
            <v>60000000</v>
          </cell>
          <cell r="F58">
            <v>30000000</v>
          </cell>
          <cell r="G58">
            <v>13772340</v>
          </cell>
          <cell r="H58">
            <v>5000000</v>
          </cell>
          <cell r="I58">
            <v>0</v>
          </cell>
        </row>
        <row r="59">
          <cell r="A59" t="str">
            <v>0200|455002</v>
          </cell>
          <cell r="B59" t="str">
            <v>0200</v>
          </cell>
          <cell r="C59">
            <v>455002</v>
          </cell>
          <cell r="D59">
            <v>41426</v>
          </cell>
          <cell r="E59">
            <v>20000000</v>
          </cell>
          <cell r="F59">
            <v>10000000</v>
          </cell>
          <cell r="G59">
            <v>2565000</v>
          </cell>
          <cell r="H59">
            <v>1666667</v>
          </cell>
          <cell r="I59">
            <v>0</v>
          </cell>
        </row>
        <row r="60">
          <cell r="A60" t="str">
            <v>0200|459000</v>
          </cell>
          <cell r="B60" t="str">
            <v>0200</v>
          </cell>
          <cell r="C60">
            <v>459000</v>
          </cell>
          <cell r="D60">
            <v>41426</v>
          </cell>
          <cell r="E60">
            <v>841700</v>
          </cell>
          <cell r="F60">
            <v>420850</v>
          </cell>
          <cell r="G60">
            <v>2295000</v>
          </cell>
          <cell r="H60">
            <v>70142</v>
          </cell>
          <cell r="I60">
            <v>0</v>
          </cell>
        </row>
        <row r="61">
          <cell r="A61" t="str">
            <v>0200|459005</v>
          </cell>
          <cell r="B61" t="str">
            <v>0200</v>
          </cell>
          <cell r="C61">
            <v>459005</v>
          </cell>
          <cell r="D61">
            <v>41426</v>
          </cell>
          <cell r="E61">
            <v>1743300</v>
          </cell>
          <cell r="F61">
            <v>871652</v>
          </cell>
          <cell r="G61">
            <v>919320</v>
          </cell>
          <cell r="H61">
            <v>145276</v>
          </cell>
          <cell r="I61">
            <v>0</v>
          </cell>
        </row>
        <row r="62">
          <cell r="A62" t="str">
            <v>0200|470101</v>
          </cell>
          <cell r="B62" t="str">
            <v>0200</v>
          </cell>
          <cell r="C62">
            <v>470101</v>
          </cell>
          <cell r="D62">
            <v>41426</v>
          </cell>
          <cell r="E62">
            <v>2921747</v>
          </cell>
          <cell r="F62">
            <v>1460874</v>
          </cell>
          <cell r="G62">
            <v>1386751</v>
          </cell>
          <cell r="H62">
            <v>243479</v>
          </cell>
          <cell r="I62">
            <v>290000</v>
          </cell>
        </row>
        <row r="63">
          <cell r="A63" t="str">
            <v>0200|470102</v>
          </cell>
          <cell r="B63" t="str">
            <v>0200</v>
          </cell>
          <cell r="C63">
            <v>470102</v>
          </cell>
          <cell r="D63">
            <v>41426</v>
          </cell>
          <cell r="E63">
            <v>4429644</v>
          </cell>
          <cell r="F63">
            <v>2214822</v>
          </cell>
          <cell r="G63">
            <v>5563800</v>
          </cell>
          <cell r="H63">
            <v>369137</v>
          </cell>
          <cell r="I63">
            <v>407500</v>
          </cell>
        </row>
        <row r="64">
          <cell r="A64" t="str">
            <v>0200|472000</v>
          </cell>
          <cell r="B64" t="str">
            <v>0200</v>
          </cell>
          <cell r="C64">
            <v>472000</v>
          </cell>
          <cell r="D64">
            <v>41426</v>
          </cell>
          <cell r="E64">
            <v>5000000</v>
          </cell>
          <cell r="F64">
            <v>2500000</v>
          </cell>
          <cell r="G64">
            <v>0</v>
          </cell>
          <cell r="H64">
            <v>416667</v>
          </cell>
          <cell r="I64">
            <v>0</v>
          </cell>
        </row>
        <row r="65">
          <cell r="A65" t="str">
            <v>0200|473120</v>
          </cell>
          <cell r="B65" t="str">
            <v>0200</v>
          </cell>
          <cell r="C65">
            <v>473120</v>
          </cell>
          <cell r="D65">
            <v>41426</v>
          </cell>
          <cell r="E65">
            <v>10441832</v>
          </cell>
          <cell r="F65">
            <v>5220916</v>
          </cell>
          <cell r="G65">
            <v>4254220</v>
          </cell>
          <cell r="H65">
            <v>870153</v>
          </cell>
          <cell r="I65">
            <v>732437</v>
          </cell>
        </row>
        <row r="66">
          <cell r="A66" t="str">
            <v>0200|475006</v>
          </cell>
          <cell r="B66" t="str">
            <v>0200</v>
          </cell>
          <cell r="C66">
            <v>475006</v>
          </cell>
          <cell r="D66">
            <v>41426</v>
          </cell>
          <cell r="E66">
            <v>2246481</v>
          </cell>
          <cell r="F66">
            <v>1123241</v>
          </cell>
          <cell r="G66">
            <v>1261877</v>
          </cell>
          <cell r="H66">
            <v>187207</v>
          </cell>
          <cell r="I66">
            <v>210313</v>
          </cell>
        </row>
        <row r="67">
          <cell r="A67" t="str">
            <v>0200|476001</v>
          </cell>
          <cell r="B67" t="str">
            <v>0200</v>
          </cell>
          <cell r="C67">
            <v>476001</v>
          </cell>
          <cell r="D67">
            <v>41426</v>
          </cell>
          <cell r="E67">
            <v>1923289</v>
          </cell>
          <cell r="F67">
            <v>961645</v>
          </cell>
          <cell r="G67">
            <v>500000</v>
          </cell>
          <cell r="H67">
            <v>160275</v>
          </cell>
          <cell r="I67">
            <v>0</v>
          </cell>
        </row>
        <row r="68">
          <cell r="A68" t="str">
            <v>0200|476220</v>
          </cell>
          <cell r="B68" t="str">
            <v>0200</v>
          </cell>
          <cell r="C68">
            <v>476220</v>
          </cell>
          <cell r="D68">
            <v>41426</v>
          </cell>
          <cell r="E68">
            <v>6153491</v>
          </cell>
          <cell r="F68">
            <v>3076746</v>
          </cell>
          <cell r="G68">
            <v>104249304</v>
          </cell>
          <cell r="H68">
            <v>512791</v>
          </cell>
          <cell r="I68">
            <v>51071971</v>
          </cell>
        </row>
        <row r="69">
          <cell r="A69" t="str">
            <v>0200|476223</v>
          </cell>
          <cell r="B69" t="str">
            <v>0200</v>
          </cell>
          <cell r="C69">
            <v>476223</v>
          </cell>
          <cell r="D69">
            <v>41426</v>
          </cell>
          <cell r="E69">
            <v>130000000</v>
          </cell>
          <cell r="F69">
            <v>65000000</v>
          </cell>
          <cell r="G69">
            <v>0</v>
          </cell>
          <cell r="H69">
            <v>10833333</v>
          </cell>
          <cell r="I69">
            <v>0</v>
          </cell>
        </row>
        <row r="70">
          <cell r="A70" t="str">
            <v>0230|211104</v>
          </cell>
          <cell r="B70" t="str">
            <v>0230</v>
          </cell>
          <cell r="C70">
            <v>211104</v>
          </cell>
          <cell r="D70">
            <v>41426</v>
          </cell>
          <cell r="E70">
            <v>54527696</v>
          </cell>
          <cell r="F70">
            <v>27263848</v>
          </cell>
          <cell r="G70">
            <v>5939557</v>
          </cell>
          <cell r="H70">
            <v>4543975</v>
          </cell>
          <cell r="I70">
            <v>979066</v>
          </cell>
        </row>
        <row r="71">
          <cell r="A71" t="str">
            <v>0230|405200</v>
          </cell>
          <cell r="B71" t="str">
            <v>0230</v>
          </cell>
          <cell r="C71">
            <v>405200</v>
          </cell>
          <cell r="D71">
            <v>41426</v>
          </cell>
          <cell r="E71">
            <v>0</v>
          </cell>
          <cell r="F71">
            <v>0</v>
          </cell>
          <cell r="G71">
            <v>2043000</v>
          </cell>
          <cell r="H71">
            <v>0</v>
          </cell>
          <cell r="I71">
            <v>0</v>
          </cell>
        </row>
        <row r="72">
          <cell r="A72" t="str">
            <v>0230|405252</v>
          </cell>
          <cell r="B72" t="str">
            <v>0230</v>
          </cell>
          <cell r="C72">
            <v>405252</v>
          </cell>
          <cell r="D72">
            <v>41426</v>
          </cell>
          <cell r="E72">
            <v>100000000</v>
          </cell>
          <cell r="F72">
            <v>50000000</v>
          </cell>
          <cell r="G72">
            <v>6360646</v>
          </cell>
          <cell r="H72">
            <v>8333333</v>
          </cell>
          <cell r="I72">
            <v>0</v>
          </cell>
        </row>
        <row r="73">
          <cell r="A73" t="str">
            <v>0230|406000</v>
          </cell>
          <cell r="B73" t="str">
            <v>0230</v>
          </cell>
          <cell r="C73">
            <v>406000</v>
          </cell>
          <cell r="D73">
            <v>41426</v>
          </cell>
          <cell r="E73">
            <v>10000000</v>
          </cell>
          <cell r="F73">
            <v>5000000</v>
          </cell>
          <cell r="G73">
            <v>19218500</v>
          </cell>
          <cell r="H73">
            <v>833333</v>
          </cell>
          <cell r="I73">
            <v>7011500</v>
          </cell>
        </row>
        <row r="74">
          <cell r="A74" t="str">
            <v>0230|420001</v>
          </cell>
          <cell r="B74" t="str">
            <v>0230</v>
          </cell>
          <cell r="C74">
            <v>420001</v>
          </cell>
          <cell r="D74">
            <v>41426</v>
          </cell>
          <cell r="E74">
            <v>69897960</v>
          </cell>
          <cell r="F74">
            <v>34948980</v>
          </cell>
          <cell r="G74">
            <v>30864000</v>
          </cell>
          <cell r="H74">
            <v>5824830</v>
          </cell>
          <cell r="I74">
            <v>5144000</v>
          </cell>
        </row>
        <row r="75">
          <cell r="A75" t="str">
            <v>0230|420002</v>
          </cell>
          <cell r="B75" t="str">
            <v>0230</v>
          </cell>
          <cell r="C75">
            <v>420002</v>
          </cell>
          <cell r="D75">
            <v>41426</v>
          </cell>
          <cell r="E75">
            <v>79764732</v>
          </cell>
          <cell r="F75">
            <v>39882366</v>
          </cell>
          <cell r="G75">
            <v>36534000</v>
          </cell>
          <cell r="H75">
            <v>6647061</v>
          </cell>
          <cell r="I75">
            <v>6089000</v>
          </cell>
        </row>
        <row r="76">
          <cell r="A76" t="str">
            <v>0230|420003</v>
          </cell>
          <cell r="B76" t="str">
            <v>0230</v>
          </cell>
          <cell r="C76">
            <v>420003</v>
          </cell>
          <cell r="D76">
            <v>41426</v>
          </cell>
          <cell r="E76">
            <v>969660529</v>
          </cell>
          <cell r="F76">
            <v>484830265</v>
          </cell>
          <cell r="G76">
            <v>470617791</v>
          </cell>
          <cell r="H76">
            <v>80805045</v>
          </cell>
          <cell r="I76">
            <v>79312913</v>
          </cell>
        </row>
        <row r="77">
          <cell r="A77" t="str">
            <v>0230|422003</v>
          </cell>
          <cell r="B77" t="str">
            <v>0230</v>
          </cell>
          <cell r="C77">
            <v>422003</v>
          </cell>
          <cell r="D77">
            <v>41426</v>
          </cell>
          <cell r="E77">
            <v>1084680</v>
          </cell>
          <cell r="F77">
            <v>542340</v>
          </cell>
          <cell r="G77">
            <v>796200</v>
          </cell>
          <cell r="H77">
            <v>90390</v>
          </cell>
          <cell r="I77">
            <v>0</v>
          </cell>
        </row>
        <row r="78">
          <cell r="A78" t="str">
            <v>0230|431001</v>
          </cell>
          <cell r="B78" t="str">
            <v>0230</v>
          </cell>
          <cell r="C78">
            <v>431001</v>
          </cell>
          <cell r="D78">
            <v>41426</v>
          </cell>
          <cell r="E78">
            <v>4000000</v>
          </cell>
          <cell r="F78">
            <v>2000000</v>
          </cell>
          <cell r="G78">
            <v>3051858</v>
          </cell>
          <cell r="H78">
            <v>333333</v>
          </cell>
          <cell r="I78">
            <v>0</v>
          </cell>
        </row>
        <row r="79">
          <cell r="A79" t="str">
            <v>0230|431002</v>
          </cell>
          <cell r="B79" t="str">
            <v>0230</v>
          </cell>
          <cell r="C79">
            <v>431002</v>
          </cell>
          <cell r="D79">
            <v>41426</v>
          </cell>
          <cell r="E79">
            <v>156077</v>
          </cell>
          <cell r="F79">
            <v>78039</v>
          </cell>
          <cell r="G79">
            <v>0</v>
          </cell>
          <cell r="H79">
            <v>13007</v>
          </cell>
          <cell r="I79">
            <v>0</v>
          </cell>
        </row>
        <row r="80">
          <cell r="A80" t="str">
            <v>0230|434011</v>
          </cell>
          <cell r="B80" t="str">
            <v>0230</v>
          </cell>
          <cell r="C80">
            <v>434011</v>
          </cell>
          <cell r="D80">
            <v>41426</v>
          </cell>
          <cell r="E80">
            <v>0</v>
          </cell>
          <cell r="F80">
            <v>0</v>
          </cell>
          <cell r="G80">
            <v>2501914</v>
          </cell>
          <cell r="H80">
            <v>0</v>
          </cell>
          <cell r="I80">
            <v>410644</v>
          </cell>
        </row>
        <row r="81">
          <cell r="A81" t="str">
            <v>0230|434012</v>
          </cell>
          <cell r="B81" t="str">
            <v>0230</v>
          </cell>
          <cell r="C81">
            <v>434012</v>
          </cell>
          <cell r="D81">
            <v>41426</v>
          </cell>
          <cell r="E81">
            <v>0</v>
          </cell>
          <cell r="F81">
            <v>0</v>
          </cell>
          <cell r="G81">
            <v>987200</v>
          </cell>
          <cell r="H81">
            <v>0</v>
          </cell>
          <cell r="I81">
            <v>166248</v>
          </cell>
        </row>
        <row r="82">
          <cell r="A82" t="str">
            <v>0230|434013</v>
          </cell>
          <cell r="B82" t="str">
            <v>0230</v>
          </cell>
          <cell r="C82">
            <v>434013</v>
          </cell>
          <cell r="D82">
            <v>41426</v>
          </cell>
          <cell r="E82">
            <v>46088426</v>
          </cell>
          <cell r="F82">
            <v>23044213</v>
          </cell>
          <cell r="G82">
            <v>15001608</v>
          </cell>
          <cell r="H82">
            <v>3840702</v>
          </cell>
          <cell r="I82">
            <v>2401952</v>
          </cell>
        </row>
        <row r="83">
          <cell r="A83" t="str">
            <v>0230|435002</v>
          </cell>
          <cell r="B83" t="str">
            <v>0230</v>
          </cell>
          <cell r="C83">
            <v>435002</v>
          </cell>
          <cell r="D83">
            <v>41426</v>
          </cell>
          <cell r="E83">
            <v>13626475</v>
          </cell>
          <cell r="F83">
            <v>6813238</v>
          </cell>
          <cell r="G83">
            <v>6800500</v>
          </cell>
          <cell r="H83">
            <v>1135540</v>
          </cell>
          <cell r="I83">
            <v>0</v>
          </cell>
        </row>
        <row r="84">
          <cell r="A84" t="str">
            <v>0230|435003</v>
          </cell>
          <cell r="B84" t="str">
            <v>0230</v>
          </cell>
          <cell r="C84">
            <v>435003</v>
          </cell>
          <cell r="D84">
            <v>41426</v>
          </cell>
          <cell r="E84">
            <v>121207566</v>
          </cell>
          <cell r="F84">
            <v>60603783</v>
          </cell>
          <cell r="G84">
            <v>210818500</v>
          </cell>
          <cell r="H84">
            <v>10100630</v>
          </cell>
          <cell r="I84">
            <v>0</v>
          </cell>
        </row>
        <row r="85">
          <cell r="A85" t="str">
            <v>0230|439001</v>
          </cell>
          <cell r="B85" t="str">
            <v>0230</v>
          </cell>
          <cell r="C85">
            <v>439001</v>
          </cell>
          <cell r="D85">
            <v>41426</v>
          </cell>
          <cell r="E85">
            <v>11276882</v>
          </cell>
          <cell r="F85">
            <v>5638441</v>
          </cell>
          <cell r="G85">
            <v>5517961</v>
          </cell>
          <cell r="H85">
            <v>939740</v>
          </cell>
          <cell r="I85">
            <v>915644</v>
          </cell>
        </row>
        <row r="86">
          <cell r="A86" t="str">
            <v>0230|439003</v>
          </cell>
          <cell r="B86" t="str">
            <v>0230</v>
          </cell>
          <cell r="C86">
            <v>439003</v>
          </cell>
          <cell r="D86">
            <v>41426</v>
          </cell>
          <cell r="E86">
            <v>157799517</v>
          </cell>
          <cell r="F86">
            <v>78899759</v>
          </cell>
          <cell r="G86">
            <v>80292432</v>
          </cell>
          <cell r="H86">
            <v>13149960</v>
          </cell>
          <cell r="I86">
            <v>12890421</v>
          </cell>
        </row>
        <row r="87">
          <cell r="A87" t="str">
            <v>0230|439008</v>
          </cell>
          <cell r="B87" t="str">
            <v>0230</v>
          </cell>
          <cell r="C87">
            <v>439008</v>
          </cell>
          <cell r="D87">
            <v>41426</v>
          </cell>
          <cell r="E87">
            <v>16422063</v>
          </cell>
          <cell r="F87">
            <v>8211032</v>
          </cell>
          <cell r="G87">
            <v>9508951</v>
          </cell>
          <cell r="H87">
            <v>1368506</v>
          </cell>
          <cell r="I87">
            <v>1598254</v>
          </cell>
        </row>
        <row r="88">
          <cell r="A88" t="str">
            <v>0230|439203</v>
          </cell>
          <cell r="B88" t="str">
            <v>0230</v>
          </cell>
          <cell r="C88">
            <v>439203</v>
          </cell>
          <cell r="D88">
            <v>41426</v>
          </cell>
          <cell r="E88">
            <v>0</v>
          </cell>
          <cell r="F88">
            <v>0</v>
          </cell>
          <cell r="G88">
            <v>840000</v>
          </cell>
          <cell r="H88">
            <v>0</v>
          </cell>
          <cell r="I88">
            <v>0</v>
          </cell>
        </row>
        <row r="89">
          <cell r="A89" t="str">
            <v>0230|440001</v>
          </cell>
          <cell r="B89" t="str">
            <v>0230</v>
          </cell>
          <cell r="C89">
            <v>440001</v>
          </cell>
          <cell r="D89">
            <v>41426</v>
          </cell>
          <cell r="E89">
            <v>5824830</v>
          </cell>
          <cell r="F89">
            <v>2912415</v>
          </cell>
          <cell r="G89">
            <v>2684340</v>
          </cell>
          <cell r="H89">
            <v>485402</v>
          </cell>
          <cell r="I89">
            <v>434879</v>
          </cell>
        </row>
        <row r="90">
          <cell r="A90" t="str">
            <v>0230|440002</v>
          </cell>
          <cell r="B90" t="str">
            <v>0230</v>
          </cell>
          <cell r="C90">
            <v>440002</v>
          </cell>
          <cell r="D90">
            <v>41426</v>
          </cell>
          <cell r="E90">
            <v>6647061</v>
          </cell>
          <cell r="F90">
            <v>3323531</v>
          </cell>
          <cell r="G90">
            <v>3531249</v>
          </cell>
          <cell r="H90">
            <v>553922</v>
          </cell>
          <cell r="I90">
            <v>397619</v>
          </cell>
        </row>
        <row r="91">
          <cell r="A91" t="str">
            <v>0230|440003</v>
          </cell>
          <cell r="B91" t="str">
            <v>0230</v>
          </cell>
          <cell r="C91">
            <v>440003</v>
          </cell>
          <cell r="D91">
            <v>41426</v>
          </cell>
          <cell r="E91">
            <v>80805044</v>
          </cell>
          <cell r="F91">
            <v>40402522</v>
          </cell>
          <cell r="G91">
            <v>45834673</v>
          </cell>
          <cell r="H91">
            <v>6733754</v>
          </cell>
          <cell r="I91">
            <v>9426414</v>
          </cell>
        </row>
        <row r="92">
          <cell r="A92" t="str">
            <v>0230|446001</v>
          </cell>
          <cell r="B92" t="str">
            <v>0230</v>
          </cell>
          <cell r="C92">
            <v>446001</v>
          </cell>
          <cell r="D92">
            <v>41426</v>
          </cell>
          <cell r="E92">
            <v>2912415</v>
          </cell>
          <cell r="F92">
            <v>1456208</v>
          </cell>
          <cell r="G92">
            <v>1100000</v>
          </cell>
          <cell r="H92">
            <v>242702</v>
          </cell>
          <cell r="I92">
            <v>100000</v>
          </cell>
        </row>
        <row r="93">
          <cell r="A93" t="str">
            <v>0230|446002</v>
          </cell>
          <cell r="B93" t="str">
            <v>0230</v>
          </cell>
          <cell r="C93">
            <v>446002</v>
          </cell>
          <cell r="D93">
            <v>41426</v>
          </cell>
          <cell r="E93">
            <v>3323530</v>
          </cell>
          <cell r="F93">
            <v>1661765</v>
          </cell>
          <cell r="G93">
            <v>900000</v>
          </cell>
          <cell r="H93">
            <v>276961</v>
          </cell>
          <cell r="I93">
            <v>150000</v>
          </cell>
        </row>
        <row r="94">
          <cell r="A94" t="str">
            <v>0230|447001</v>
          </cell>
          <cell r="B94" t="str">
            <v>0230</v>
          </cell>
          <cell r="C94">
            <v>447001</v>
          </cell>
          <cell r="D94">
            <v>41426</v>
          </cell>
          <cell r="E94">
            <v>1097398</v>
          </cell>
          <cell r="F94">
            <v>548699</v>
          </cell>
          <cell r="G94">
            <v>484566</v>
          </cell>
          <cell r="H94">
            <v>91450</v>
          </cell>
          <cell r="I94">
            <v>80761</v>
          </cell>
        </row>
        <row r="95">
          <cell r="A95" t="str">
            <v>0230|447002</v>
          </cell>
          <cell r="B95" t="str">
            <v>0230</v>
          </cell>
          <cell r="C95">
            <v>447002</v>
          </cell>
          <cell r="D95">
            <v>41426</v>
          </cell>
          <cell r="E95">
            <v>1252306</v>
          </cell>
          <cell r="F95">
            <v>626153</v>
          </cell>
          <cell r="G95">
            <v>197286</v>
          </cell>
          <cell r="H95">
            <v>104359</v>
          </cell>
          <cell r="I95">
            <v>32881</v>
          </cell>
        </row>
        <row r="96">
          <cell r="A96" t="str">
            <v>0230|447003</v>
          </cell>
          <cell r="B96" t="str">
            <v>0230</v>
          </cell>
          <cell r="C96">
            <v>447003</v>
          </cell>
          <cell r="D96">
            <v>41426</v>
          </cell>
          <cell r="E96">
            <v>15223828</v>
          </cell>
          <cell r="F96">
            <v>7611914</v>
          </cell>
          <cell r="G96">
            <v>7892232</v>
          </cell>
          <cell r="H96">
            <v>1268652</v>
          </cell>
          <cell r="I96">
            <v>1315372</v>
          </cell>
        </row>
        <row r="97">
          <cell r="A97" t="str">
            <v>0230|447011</v>
          </cell>
          <cell r="B97" t="str">
            <v>0230</v>
          </cell>
          <cell r="C97">
            <v>447011</v>
          </cell>
          <cell r="D97">
            <v>41426</v>
          </cell>
          <cell r="E97">
            <v>2586225</v>
          </cell>
          <cell r="F97">
            <v>1293113</v>
          </cell>
          <cell r="G97">
            <v>1141968</v>
          </cell>
          <cell r="H97">
            <v>215519</v>
          </cell>
          <cell r="I97">
            <v>190328</v>
          </cell>
        </row>
        <row r="98">
          <cell r="A98" t="str">
            <v>0230|447012</v>
          </cell>
          <cell r="B98" t="str">
            <v>0230</v>
          </cell>
          <cell r="C98">
            <v>447012</v>
          </cell>
          <cell r="D98">
            <v>41426</v>
          </cell>
          <cell r="E98">
            <v>2951295</v>
          </cell>
          <cell r="F98">
            <v>1475648</v>
          </cell>
          <cell r="G98">
            <v>1351758</v>
          </cell>
          <cell r="H98">
            <v>245942</v>
          </cell>
          <cell r="I98">
            <v>225293</v>
          </cell>
        </row>
        <row r="99">
          <cell r="A99" t="str">
            <v>0230|447013</v>
          </cell>
          <cell r="B99" t="str">
            <v>0230</v>
          </cell>
          <cell r="C99">
            <v>447013</v>
          </cell>
          <cell r="D99">
            <v>41426</v>
          </cell>
          <cell r="E99">
            <v>35877440</v>
          </cell>
          <cell r="F99">
            <v>17938720</v>
          </cell>
          <cell r="G99">
            <v>18599502</v>
          </cell>
          <cell r="H99">
            <v>2989787</v>
          </cell>
          <cell r="I99">
            <v>3099917</v>
          </cell>
        </row>
        <row r="100">
          <cell r="A100" t="str">
            <v>0230|447021</v>
          </cell>
          <cell r="B100" t="str">
            <v>0230</v>
          </cell>
          <cell r="C100">
            <v>447021</v>
          </cell>
          <cell r="D100">
            <v>41426</v>
          </cell>
          <cell r="E100">
            <v>109740</v>
          </cell>
          <cell r="F100">
            <v>54870</v>
          </cell>
          <cell r="G100">
            <v>24159</v>
          </cell>
          <cell r="H100">
            <v>9145</v>
          </cell>
          <cell r="I100">
            <v>4025</v>
          </cell>
        </row>
        <row r="101">
          <cell r="A101" t="str">
            <v>0230|447022</v>
          </cell>
          <cell r="B101" t="str">
            <v>0230</v>
          </cell>
          <cell r="C101">
            <v>447022</v>
          </cell>
          <cell r="D101">
            <v>41426</v>
          </cell>
          <cell r="E101">
            <v>125231</v>
          </cell>
          <cell r="F101">
            <v>62616</v>
          </cell>
          <cell r="G101">
            <v>9829</v>
          </cell>
          <cell r="H101">
            <v>10436</v>
          </cell>
          <cell r="I101">
            <v>1650</v>
          </cell>
        </row>
        <row r="102">
          <cell r="A102" t="str">
            <v>0230|447023</v>
          </cell>
          <cell r="B102" t="str">
            <v>0230</v>
          </cell>
          <cell r="C102">
            <v>447023</v>
          </cell>
          <cell r="D102">
            <v>41426</v>
          </cell>
          <cell r="E102">
            <v>1259875</v>
          </cell>
          <cell r="F102">
            <v>629938</v>
          </cell>
          <cell r="G102">
            <v>2233677</v>
          </cell>
          <cell r="H102">
            <v>104990</v>
          </cell>
          <cell r="I102">
            <v>372275</v>
          </cell>
        </row>
        <row r="103">
          <cell r="A103" t="str">
            <v>0230|448002</v>
          </cell>
          <cell r="B103" t="str">
            <v>0230</v>
          </cell>
          <cell r="C103">
            <v>448002</v>
          </cell>
          <cell r="D103">
            <v>41426</v>
          </cell>
          <cell r="E103">
            <v>5967791</v>
          </cell>
          <cell r="F103">
            <v>2983896</v>
          </cell>
          <cell r="G103">
            <v>3863900</v>
          </cell>
          <cell r="H103">
            <v>497316</v>
          </cell>
          <cell r="I103">
            <v>2187500</v>
          </cell>
        </row>
        <row r="104">
          <cell r="A104" t="str">
            <v>0230|448003</v>
          </cell>
          <cell r="B104" t="str">
            <v>0230</v>
          </cell>
          <cell r="C104">
            <v>448003</v>
          </cell>
          <cell r="D104">
            <v>41426</v>
          </cell>
          <cell r="E104">
            <v>54914354</v>
          </cell>
          <cell r="F104">
            <v>27457177</v>
          </cell>
          <cell r="G104">
            <v>60566347</v>
          </cell>
          <cell r="H104">
            <v>4576196</v>
          </cell>
          <cell r="I104">
            <v>25969337</v>
          </cell>
        </row>
        <row r="105">
          <cell r="A105" t="str">
            <v>0230|449022</v>
          </cell>
          <cell r="B105" t="str">
            <v>0230</v>
          </cell>
          <cell r="C105">
            <v>449022</v>
          </cell>
          <cell r="D105">
            <v>41426</v>
          </cell>
          <cell r="E105">
            <v>3960000</v>
          </cell>
          <cell r="F105">
            <v>1980000</v>
          </cell>
          <cell r="G105">
            <v>1955000</v>
          </cell>
          <cell r="H105">
            <v>330000</v>
          </cell>
          <cell r="I105">
            <v>272000</v>
          </cell>
        </row>
        <row r="106">
          <cell r="A106" t="str">
            <v>0230|449023</v>
          </cell>
          <cell r="B106" t="str">
            <v>0230</v>
          </cell>
          <cell r="C106">
            <v>449023</v>
          </cell>
          <cell r="D106">
            <v>41426</v>
          </cell>
          <cell r="E106">
            <v>37356000</v>
          </cell>
          <cell r="F106">
            <v>18678000</v>
          </cell>
          <cell r="G106">
            <v>23965000</v>
          </cell>
          <cell r="H106">
            <v>3113000</v>
          </cell>
          <cell r="I106">
            <v>3980000</v>
          </cell>
        </row>
        <row r="107">
          <cell r="A107" t="str">
            <v>0230|449025</v>
          </cell>
          <cell r="B107" t="str">
            <v>0230</v>
          </cell>
          <cell r="C107">
            <v>449025</v>
          </cell>
          <cell r="D107">
            <v>41426</v>
          </cell>
          <cell r="E107">
            <v>3960000</v>
          </cell>
          <cell r="F107">
            <v>1980000</v>
          </cell>
          <cell r="G107">
            <v>2109000</v>
          </cell>
          <cell r="H107">
            <v>330000</v>
          </cell>
          <cell r="I107">
            <v>323000</v>
          </cell>
        </row>
        <row r="108">
          <cell r="A108" t="str">
            <v>0230|449032</v>
          </cell>
          <cell r="B108" t="str">
            <v>0230</v>
          </cell>
          <cell r="C108">
            <v>449032</v>
          </cell>
          <cell r="D108">
            <v>41426</v>
          </cell>
          <cell r="E108">
            <v>67182600</v>
          </cell>
          <cell r="F108">
            <v>33591300</v>
          </cell>
          <cell r="G108">
            <v>6545500</v>
          </cell>
          <cell r="H108">
            <v>5598549</v>
          </cell>
          <cell r="I108">
            <v>5130000</v>
          </cell>
        </row>
        <row r="109">
          <cell r="A109" t="str">
            <v>0230|449040</v>
          </cell>
          <cell r="B109" t="str">
            <v>0230</v>
          </cell>
          <cell r="C109">
            <v>449040</v>
          </cell>
          <cell r="D109">
            <v>41426</v>
          </cell>
          <cell r="E109">
            <v>14220600</v>
          </cell>
          <cell r="F109">
            <v>7110300</v>
          </cell>
          <cell r="G109">
            <v>8560000</v>
          </cell>
          <cell r="H109">
            <v>1185051</v>
          </cell>
          <cell r="I109">
            <v>3760000</v>
          </cell>
        </row>
        <row r="110">
          <cell r="A110" t="str">
            <v>0230|449050</v>
          </cell>
          <cell r="B110" t="str">
            <v>0230</v>
          </cell>
          <cell r="C110">
            <v>449050</v>
          </cell>
          <cell r="D110">
            <v>41426</v>
          </cell>
          <cell r="E110">
            <v>5814200</v>
          </cell>
          <cell r="F110">
            <v>2907100</v>
          </cell>
          <cell r="G110">
            <v>19200000</v>
          </cell>
          <cell r="H110">
            <v>484517</v>
          </cell>
          <cell r="I110">
            <v>3200000</v>
          </cell>
        </row>
        <row r="111">
          <cell r="A111" t="str">
            <v>0230|449061</v>
          </cell>
          <cell r="B111" t="str">
            <v>0230</v>
          </cell>
          <cell r="C111">
            <v>449061</v>
          </cell>
          <cell r="D111">
            <v>41426</v>
          </cell>
          <cell r="E111">
            <v>24968460</v>
          </cell>
          <cell r="F111">
            <v>12484230</v>
          </cell>
          <cell r="G111">
            <v>8109600</v>
          </cell>
          <cell r="H111">
            <v>2080705</v>
          </cell>
          <cell r="I111">
            <v>1301500</v>
          </cell>
        </row>
        <row r="112">
          <cell r="A112" t="str">
            <v>0230|455000</v>
          </cell>
          <cell r="B112" t="str">
            <v>0230</v>
          </cell>
          <cell r="C112">
            <v>455000</v>
          </cell>
          <cell r="D112">
            <v>41426</v>
          </cell>
          <cell r="E112">
            <v>0</v>
          </cell>
          <cell r="F112">
            <v>0</v>
          </cell>
          <cell r="G112">
            <v>105100</v>
          </cell>
          <cell r="H112">
            <v>0</v>
          </cell>
          <cell r="I112">
            <v>0</v>
          </cell>
        </row>
        <row r="113">
          <cell r="A113" t="str">
            <v>0230|459000</v>
          </cell>
          <cell r="B113" t="str">
            <v>0230</v>
          </cell>
          <cell r="C113">
            <v>459000</v>
          </cell>
          <cell r="D113">
            <v>41426</v>
          </cell>
          <cell r="E113">
            <v>729900</v>
          </cell>
          <cell r="F113">
            <v>364951</v>
          </cell>
          <cell r="G113">
            <v>625000</v>
          </cell>
          <cell r="H113">
            <v>60826</v>
          </cell>
          <cell r="I113">
            <v>0</v>
          </cell>
        </row>
        <row r="114">
          <cell r="A114" t="str">
            <v>0230|459005</v>
          </cell>
          <cell r="B114" t="str">
            <v>0230</v>
          </cell>
          <cell r="C114">
            <v>459005</v>
          </cell>
          <cell r="D114">
            <v>41426</v>
          </cell>
          <cell r="E114">
            <v>1035453</v>
          </cell>
          <cell r="F114">
            <v>517727</v>
          </cell>
          <cell r="G114">
            <v>1400000</v>
          </cell>
          <cell r="H114">
            <v>86288</v>
          </cell>
          <cell r="I114">
            <v>0</v>
          </cell>
        </row>
        <row r="115">
          <cell r="A115" t="str">
            <v>0230|470102</v>
          </cell>
          <cell r="B115" t="str">
            <v>0230</v>
          </cell>
          <cell r="C115">
            <v>470102</v>
          </cell>
          <cell r="D115">
            <v>41426</v>
          </cell>
          <cell r="E115">
            <v>8937193</v>
          </cell>
          <cell r="F115">
            <v>4468597</v>
          </cell>
          <cell r="G115">
            <v>1543925</v>
          </cell>
          <cell r="H115">
            <v>744767</v>
          </cell>
          <cell r="I115">
            <v>378675</v>
          </cell>
        </row>
        <row r="116">
          <cell r="A116" t="str">
            <v>0230|471000</v>
          </cell>
          <cell r="B116" t="str">
            <v>0230</v>
          </cell>
          <cell r="C116">
            <v>471000</v>
          </cell>
          <cell r="D116">
            <v>41426</v>
          </cell>
          <cell r="E116">
            <v>44145900</v>
          </cell>
          <cell r="F116">
            <v>22072950</v>
          </cell>
          <cell r="G116">
            <v>2791240</v>
          </cell>
          <cell r="H116">
            <v>3678825</v>
          </cell>
          <cell r="I116">
            <v>370000</v>
          </cell>
        </row>
        <row r="117">
          <cell r="A117" t="str">
            <v>0230|473000</v>
          </cell>
          <cell r="B117" t="str">
            <v>0230</v>
          </cell>
          <cell r="C117">
            <v>473000</v>
          </cell>
          <cell r="D117">
            <v>41426</v>
          </cell>
          <cell r="E117">
            <v>294611</v>
          </cell>
          <cell r="F117">
            <v>147306</v>
          </cell>
          <cell r="G117">
            <v>0</v>
          </cell>
          <cell r="H117">
            <v>24551</v>
          </cell>
          <cell r="I117">
            <v>0</v>
          </cell>
        </row>
        <row r="118">
          <cell r="A118" t="str">
            <v>0230|473120</v>
          </cell>
          <cell r="B118" t="str">
            <v>0230</v>
          </cell>
          <cell r="C118">
            <v>473120</v>
          </cell>
          <cell r="D118">
            <v>41426</v>
          </cell>
          <cell r="E118">
            <v>8293931</v>
          </cell>
          <cell r="F118">
            <v>4146966</v>
          </cell>
          <cell r="G118">
            <v>6964948</v>
          </cell>
          <cell r="H118">
            <v>691161</v>
          </cell>
          <cell r="I118">
            <v>1452666</v>
          </cell>
        </row>
        <row r="119">
          <cell r="A119" t="str">
            <v>0230|474100</v>
          </cell>
          <cell r="B119" t="str">
            <v>0230</v>
          </cell>
          <cell r="C119">
            <v>474100</v>
          </cell>
          <cell r="D119">
            <v>41426</v>
          </cell>
          <cell r="E119">
            <v>90056600</v>
          </cell>
          <cell r="F119">
            <v>45028300</v>
          </cell>
          <cell r="G119">
            <v>34253716</v>
          </cell>
          <cell r="H119">
            <v>7504717</v>
          </cell>
          <cell r="I119">
            <v>0</v>
          </cell>
        </row>
        <row r="120">
          <cell r="A120" t="str">
            <v>0230|474110</v>
          </cell>
          <cell r="B120" t="str">
            <v>0230</v>
          </cell>
          <cell r="C120">
            <v>474110</v>
          </cell>
          <cell r="D120">
            <v>41426</v>
          </cell>
          <cell r="E120">
            <v>11548749</v>
          </cell>
          <cell r="F120">
            <v>5774375</v>
          </cell>
          <cell r="G120">
            <v>0</v>
          </cell>
          <cell r="H120">
            <v>962396</v>
          </cell>
          <cell r="I120">
            <v>0</v>
          </cell>
        </row>
        <row r="121">
          <cell r="A121" t="str">
            <v>0230|475003</v>
          </cell>
          <cell r="B121" t="str">
            <v>0230</v>
          </cell>
          <cell r="C121">
            <v>475003</v>
          </cell>
          <cell r="D121">
            <v>41426</v>
          </cell>
          <cell r="E121">
            <v>6018998</v>
          </cell>
          <cell r="F121">
            <v>3009499</v>
          </cell>
          <cell r="G121">
            <v>3125000</v>
          </cell>
          <cell r="H121">
            <v>501583</v>
          </cell>
          <cell r="I121">
            <v>0</v>
          </cell>
        </row>
        <row r="122">
          <cell r="A122" t="str">
            <v>0230|475004</v>
          </cell>
          <cell r="B122" t="str">
            <v>0230</v>
          </cell>
          <cell r="C122">
            <v>475004</v>
          </cell>
          <cell r="D122">
            <v>41426</v>
          </cell>
          <cell r="E122">
            <v>18058109</v>
          </cell>
          <cell r="F122">
            <v>9029055</v>
          </cell>
          <cell r="G122">
            <v>12361426</v>
          </cell>
          <cell r="H122">
            <v>1504843</v>
          </cell>
          <cell r="I122">
            <v>2401336</v>
          </cell>
        </row>
        <row r="123">
          <cell r="A123" t="str">
            <v>0230|475006</v>
          </cell>
          <cell r="B123" t="str">
            <v>0230</v>
          </cell>
          <cell r="C123">
            <v>475006</v>
          </cell>
          <cell r="D123">
            <v>41426</v>
          </cell>
          <cell r="E123">
            <v>10195742</v>
          </cell>
          <cell r="F123">
            <v>5097871</v>
          </cell>
          <cell r="G123">
            <v>6468750</v>
          </cell>
          <cell r="H123">
            <v>849645</v>
          </cell>
          <cell r="I123">
            <v>1179625</v>
          </cell>
        </row>
        <row r="124">
          <cell r="A124" t="str">
            <v>0230|476000</v>
          </cell>
          <cell r="B124" t="str">
            <v>0230</v>
          </cell>
          <cell r="C124">
            <v>476000</v>
          </cell>
          <cell r="D124">
            <v>41426</v>
          </cell>
          <cell r="E124">
            <v>35190338</v>
          </cell>
          <cell r="F124">
            <v>17595169</v>
          </cell>
          <cell r="G124">
            <v>10449489</v>
          </cell>
          <cell r="H124">
            <v>2932528</v>
          </cell>
          <cell r="I124">
            <v>6860490</v>
          </cell>
        </row>
        <row r="125">
          <cell r="A125" t="str">
            <v>0230|476001</v>
          </cell>
          <cell r="B125" t="str">
            <v>0230</v>
          </cell>
          <cell r="C125">
            <v>476001</v>
          </cell>
          <cell r="D125">
            <v>41426</v>
          </cell>
          <cell r="E125">
            <v>13304141</v>
          </cell>
          <cell r="F125">
            <v>6652071</v>
          </cell>
          <cell r="G125">
            <v>4686700</v>
          </cell>
          <cell r="H125">
            <v>1108679</v>
          </cell>
          <cell r="I125">
            <v>0</v>
          </cell>
        </row>
        <row r="126">
          <cell r="A126" t="str">
            <v>0230|476220</v>
          </cell>
          <cell r="B126" t="str">
            <v>0230</v>
          </cell>
          <cell r="C126">
            <v>476220</v>
          </cell>
          <cell r="D126">
            <v>41426</v>
          </cell>
          <cell r="E126">
            <v>1927727</v>
          </cell>
          <cell r="F126">
            <v>963864</v>
          </cell>
          <cell r="G126">
            <v>0</v>
          </cell>
          <cell r="H126">
            <v>160644</v>
          </cell>
          <cell r="I126">
            <v>0</v>
          </cell>
        </row>
        <row r="127">
          <cell r="A127" t="str">
            <v>0230|476900</v>
          </cell>
          <cell r="B127" t="str">
            <v>0230</v>
          </cell>
          <cell r="C127">
            <v>476900</v>
          </cell>
          <cell r="D127">
            <v>41426</v>
          </cell>
          <cell r="E127">
            <v>7486700</v>
          </cell>
          <cell r="F127">
            <v>3743352</v>
          </cell>
          <cell r="G127">
            <v>5256133</v>
          </cell>
          <cell r="H127">
            <v>623895</v>
          </cell>
          <cell r="I127">
            <v>2758390</v>
          </cell>
        </row>
        <row r="128">
          <cell r="A128" t="str">
            <v>0230|477500</v>
          </cell>
          <cell r="B128" t="str">
            <v>0230</v>
          </cell>
          <cell r="C128">
            <v>477500</v>
          </cell>
          <cell r="D128">
            <v>41426</v>
          </cell>
          <cell r="E128">
            <v>280509</v>
          </cell>
          <cell r="F128">
            <v>140255</v>
          </cell>
          <cell r="G128">
            <v>0</v>
          </cell>
          <cell r="H128">
            <v>23376</v>
          </cell>
          <cell r="I128">
            <v>0</v>
          </cell>
        </row>
        <row r="129">
          <cell r="A129" t="str">
            <v>0230|477800</v>
          </cell>
          <cell r="B129" t="str">
            <v>0230</v>
          </cell>
          <cell r="C129">
            <v>477800</v>
          </cell>
          <cell r="D129">
            <v>41426</v>
          </cell>
          <cell r="E129">
            <v>0</v>
          </cell>
          <cell r="F129">
            <v>0</v>
          </cell>
          <cell r="G129">
            <v>114795613</v>
          </cell>
          <cell r="H129">
            <v>0</v>
          </cell>
          <cell r="I129">
            <v>-64184315</v>
          </cell>
        </row>
        <row r="130">
          <cell r="A130" t="str">
            <v>0260|211104</v>
          </cell>
          <cell r="B130" t="str">
            <v>0260</v>
          </cell>
          <cell r="C130">
            <v>211104</v>
          </cell>
          <cell r="D130">
            <v>41426</v>
          </cell>
          <cell r="E130">
            <v>417509790</v>
          </cell>
          <cell r="F130">
            <v>208754895</v>
          </cell>
          <cell r="G130">
            <v>95387096</v>
          </cell>
          <cell r="H130">
            <v>34792482</v>
          </cell>
          <cell r="I130">
            <v>16690220</v>
          </cell>
        </row>
        <row r="131">
          <cell r="A131" t="str">
            <v>0260|400040</v>
          </cell>
          <cell r="B131" t="str">
            <v>0260</v>
          </cell>
          <cell r="C131">
            <v>400040</v>
          </cell>
          <cell r="D131">
            <v>41426</v>
          </cell>
          <cell r="E131">
            <v>52000000</v>
          </cell>
          <cell r="F131">
            <v>26000000</v>
          </cell>
          <cell r="G131">
            <v>22173173</v>
          </cell>
          <cell r="H131">
            <v>4333333</v>
          </cell>
          <cell r="I131">
            <v>1334879</v>
          </cell>
        </row>
        <row r="132">
          <cell r="A132" t="str">
            <v>0260|420001</v>
          </cell>
          <cell r="B132" t="str">
            <v>0260</v>
          </cell>
          <cell r="C132">
            <v>420001</v>
          </cell>
          <cell r="D132">
            <v>41426</v>
          </cell>
          <cell r="E132">
            <v>1117051121</v>
          </cell>
          <cell r="F132">
            <v>558525561</v>
          </cell>
          <cell r="G132">
            <v>551976434</v>
          </cell>
          <cell r="H132">
            <v>93087594</v>
          </cell>
          <cell r="I132">
            <v>86533020</v>
          </cell>
        </row>
        <row r="133">
          <cell r="A133" t="str">
            <v>0260|420003</v>
          </cell>
          <cell r="B133" t="str">
            <v>0260</v>
          </cell>
          <cell r="C133">
            <v>420003</v>
          </cell>
          <cell r="D133">
            <v>41426</v>
          </cell>
          <cell r="E133">
            <v>255520683</v>
          </cell>
          <cell r="F133">
            <v>127760342</v>
          </cell>
          <cell r="G133">
            <v>126179805</v>
          </cell>
          <cell r="H133">
            <v>21293391</v>
          </cell>
          <cell r="I133">
            <v>21265001</v>
          </cell>
        </row>
        <row r="134">
          <cell r="A134" t="str">
            <v>0260|422001</v>
          </cell>
          <cell r="B134" t="str">
            <v>0260</v>
          </cell>
          <cell r="C134">
            <v>422001</v>
          </cell>
          <cell r="D134">
            <v>41426</v>
          </cell>
          <cell r="E134">
            <v>867870</v>
          </cell>
          <cell r="F134">
            <v>433935</v>
          </cell>
          <cell r="G134">
            <v>1816350</v>
          </cell>
          <cell r="H134">
            <v>72322</v>
          </cell>
          <cell r="I134">
            <v>0</v>
          </cell>
        </row>
        <row r="135">
          <cell r="A135" t="str">
            <v>0260|431000</v>
          </cell>
          <cell r="B135" t="str">
            <v>0260</v>
          </cell>
          <cell r="C135">
            <v>431000</v>
          </cell>
          <cell r="D135">
            <v>41426</v>
          </cell>
          <cell r="E135">
            <v>2500000</v>
          </cell>
          <cell r="F135">
            <v>1250000</v>
          </cell>
          <cell r="G135">
            <v>0</v>
          </cell>
          <cell r="H135">
            <v>208333</v>
          </cell>
          <cell r="I135">
            <v>0</v>
          </cell>
        </row>
        <row r="136">
          <cell r="A136" t="str">
            <v>0260|431001</v>
          </cell>
          <cell r="B136" t="str">
            <v>0260</v>
          </cell>
          <cell r="C136">
            <v>431001</v>
          </cell>
          <cell r="D136">
            <v>41426</v>
          </cell>
          <cell r="E136">
            <v>50000000</v>
          </cell>
          <cell r="F136">
            <v>25000000</v>
          </cell>
          <cell r="G136">
            <v>15606507</v>
          </cell>
          <cell r="H136">
            <v>4166667</v>
          </cell>
          <cell r="I136">
            <v>50000</v>
          </cell>
        </row>
        <row r="137">
          <cell r="A137" t="str">
            <v>0260|434011</v>
          </cell>
          <cell r="B137" t="str">
            <v>0260</v>
          </cell>
          <cell r="C137">
            <v>434011</v>
          </cell>
          <cell r="D137">
            <v>41426</v>
          </cell>
          <cell r="E137">
            <v>0</v>
          </cell>
          <cell r="F137">
            <v>0</v>
          </cell>
          <cell r="G137">
            <v>42111083</v>
          </cell>
          <cell r="H137">
            <v>0</v>
          </cell>
          <cell r="I137">
            <v>6980952</v>
          </cell>
        </row>
        <row r="138">
          <cell r="A138" t="str">
            <v>0260|434013</v>
          </cell>
          <cell r="B138" t="str">
            <v>0260</v>
          </cell>
          <cell r="C138">
            <v>434013</v>
          </cell>
          <cell r="D138">
            <v>41426</v>
          </cell>
          <cell r="E138">
            <v>0</v>
          </cell>
          <cell r="F138">
            <v>0</v>
          </cell>
          <cell r="G138">
            <v>3750402</v>
          </cell>
          <cell r="H138">
            <v>0</v>
          </cell>
          <cell r="I138">
            <v>600488</v>
          </cell>
        </row>
        <row r="139">
          <cell r="A139" t="str">
            <v>0260|435001</v>
          </cell>
          <cell r="B139" t="str">
            <v>0260</v>
          </cell>
          <cell r="C139">
            <v>435001</v>
          </cell>
          <cell r="D139">
            <v>41426</v>
          </cell>
          <cell r="E139">
            <v>105183658</v>
          </cell>
          <cell r="F139">
            <v>52591829</v>
          </cell>
          <cell r="G139">
            <v>124295286</v>
          </cell>
          <cell r="H139">
            <v>8765305</v>
          </cell>
          <cell r="I139">
            <v>0</v>
          </cell>
        </row>
        <row r="140">
          <cell r="A140" t="str">
            <v>0260|435003</v>
          </cell>
          <cell r="B140" t="str">
            <v>0260</v>
          </cell>
          <cell r="C140">
            <v>435003</v>
          </cell>
          <cell r="D140">
            <v>41426</v>
          </cell>
          <cell r="E140">
            <v>31940085</v>
          </cell>
          <cell r="F140">
            <v>15970043</v>
          </cell>
          <cell r="G140">
            <v>48623500</v>
          </cell>
          <cell r="H140">
            <v>2661674</v>
          </cell>
          <cell r="I140">
            <v>0</v>
          </cell>
        </row>
        <row r="141">
          <cell r="A141" t="str">
            <v>0260|439001</v>
          </cell>
          <cell r="B141" t="str">
            <v>0260</v>
          </cell>
          <cell r="C141">
            <v>439001</v>
          </cell>
          <cell r="D141">
            <v>41426</v>
          </cell>
          <cell r="E141">
            <v>202983868</v>
          </cell>
          <cell r="F141">
            <v>101491934</v>
          </cell>
          <cell r="G141">
            <v>92865602</v>
          </cell>
          <cell r="H141">
            <v>16915322</v>
          </cell>
          <cell r="I141">
            <v>15565952</v>
          </cell>
        </row>
        <row r="142">
          <cell r="A142" t="str">
            <v>0260|439003</v>
          </cell>
          <cell r="B142" t="str">
            <v>0260</v>
          </cell>
          <cell r="C142">
            <v>439003</v>
          </cell>
          <cell r="D142">
            <v>41426</v>
          </cell>
          <cell r="E142">
            <v>39449879</v>
          </cell>
          <cell r="F142">
            <v>19724940</v>
          </cell>
          <cell r="G142">
            <v>20073108</v>
          </cell>
          <cell r="H142">
            <v>3287490</v>
          </cell>
          <cell r="I142">
            <v>3222605</v>
          </cell>
        </row>
        <row r="143">
          <cell r="A143" t="str">
            <v>0260|440001</v>
          </cell>
          <cell r="B143" t="str">
            <v>0260</v>
          </cell>
          <cell r="C143">
            <v>440001</v>
          </cell>
          <cell r="D143">
            <v>41426</v>
          </cell>
          <cell r="E143">
            <v>93087593</v>
          </cell>
          <cell r="F143">
            <v>46543797</v>
          </cell>
          <cell r="G143">
            <v>45313721</v>
          </cell>
          <cell r="H143">
            <v>7757300</v>
          </cell>
          <cell r="I143">
            <v>7392945</v>
          </cell>
        </row>
        <row r="144">
          <cell r="A144" t="str">
            <v>0260|440003</v>
          </cell>
          <cell r="B144" t="str">
            <v>0260</v>
          </cell>
          <cell r="C144">
            <v>440003</v>
          </cell>
          <cell r="D144">
            <v>41426</v>
          </cell>
          <cell r="E144">
            <v>21293390</v>
          </cell>
          <cell r="F144">
            <v>10646695</v>
          </cell>
          <cell r="G144">
            <v>12288976</v>
          </cell>
          <cell r="H144">
            <v>1774449</v>
          </cell>
          <cell r="I144">
            <v>2527365</v>
          </cell>
        </row>
        <row r="145">
          <cell r="A145" t="str">
            <v>0260|446001</v>
          </cell>
          <cell r="B145" t="str">
            <v>0260</v>
          </cell>
          <cell r="C145">
            <v>446001</v>
          </cell>
          <cell r="D145">
            <v>41426</v>
          </cell>
          <cell r="E145">
            <v>34447732</v>
          </cell>
          <cell r="F145">
            <v>17223866</v>
          </cell>
          <cell r="G145">
            <v>15000000</v>
          </cell>
          <cell r="H145">
            <v>2870644</v>
          </cell>
          <cell r="I145">
            <v>2450000</v>
          </cell>
        </row>
        <row r="146">
          <cell r="A146" t="str">
            <v>0260|447001</v>
          </cell>
          <cell r="B146" t="str">
            <v>0260</v>
          </cell>
          <cell r="C146">
            <v>447001</v>
          </cell>
          <cell r="D146">
            <v>41426</v>
          </cell>
          <cell r="E146">
            <v>17537703</v>
          </cell>
          <cell r="F146">
            <v>8768852</v>
          </cell>
          <cell r="G146">
            <v>8627309</v>
          </cell>
          <cell r="H146">
            <v>1461476</v>
          </cell>
          <cell r="I146">
            <v>1418062</v>
          </cell>
        </row>
        <row r="147">
          <cell r="A147" t="str">
            <v>0260|447003</v>
          </cell>
          <cell r="B147" t="str">
            <v>0260</v>
          </cell>
          <cell r="C147">
            <v>447003</v>
          </cell>
          <cell r="D147">
            <v>41426</v>
          </cell>
          <cell r="E147">
            <v>4012241</v>
          </cell>
          <cell r="F147">
            <v>2006121</v>
          </cell>
          <cell r="G147">
            <v>1936614</v>
          </cell>
          <cell r="H147">
            <v>334354</v>
          </cell>
          <cell r="I147">
            <v>322769</v>
          </cell>
        </row>
        <row r="148">
          <cell r="A148" t="str">
            <v>0260|447011</v>
          </cell>
          <cell r="B148" t="str">
            <v>0260</v>
          </cell>
          <cell r="C148">
            <v>447011</v>
          </cell>
          <cell r="D148">
            <v>41426</v>
          </cell>
          <cell r="E148">
            <v>41330891</v>
          </cell>
          <cell r="F148">
            <v>20665446</v>
          </cell>
          <cell r="G148">
            <v>20331882</v>
          </cell>
          <cell r="H148">
            <v>3444241</v>
          </cell>
          <cell r="I148">
            <v>3341932</v>
          </cell>
        </row>
        <row r="149">
          <cell r="A149" t="str">
            <v>0260|447013</v>
          </cell>
          <cell r="B149" t="str">
            <v>0260</v>
          </cell>
          <cell r="C149">
            <v>447013</v>
          </cell>
          <cell r="D149">
            <v>41426</v>
          </cell>
          <cell r="E149">
            <v>9454265</v>
          </cell>
          <cell r="F149">
            <v>4727133</v>
          </cell>
          <cell r="G149">
            <v>4563990</v>
          </cell>
          <cell r="H149">
            <v>787856</v>
          </cell>
          <cell r="I149">
            <v>760665</v>
          </cell>
        </row>
        <row r="150">
          <cell r="A150" t="str">
            <v>0260|447021</v>
          </cell>
          <cell r="B150" t="str">
            <v>0260</v>
          </cell>
          <cell r="C150">
            <v>447021</v>
          </cell>
          <cell r="D150">
            <v>41426</v>
          </cell>
          <cell r="E150">
            <v>1753770</v>
          </cell>
          <cell r="F150">
            <v>876885</v>
          </cell>
          <cell r="G150">
            <v>764106</v>
          </cell>
          <cell r="H150">
            <v>146147</v>
          </cell>
          <cell r="I150">
            <v>116225</v>
          </cell>
        </row>
        <row r="151">
          <cell r="A151" t="str">
            <v>0260|447023</v>
          </cell>
          <cell r="B151" t="str">
            <v>0260</v>
          </cell>
          <cell r="C151">
            <v>447023</v>
          </cell>
          <cell r="D151">
            <v>41426</v>
          </cell>
          <cell r="E151">
            <v>332040</v>
          </cell>
          <cell r="F151">
            <v>166020</v>
          </cell>
          <cell r="G151">
            <v>341749</v>
          </cell>
          <cell r="H151">
            <v>27670</v>
          </cell>
          <cell r="I151">
            <v>56925</v>
          </cell>
        </row>
        <row r="152">
          <cell r="A152" t="str">
            <v>0260|448000</v>
          </cell>
          <cell r="B152" t="str">
            <v>0260</v>
          </cell>
          <cell r="C152">
            <v>448000</v>
          </cell>
          <cell r="D152">
            <v>41426</v>
          </cell>
          <cell r="E152">
            <v>0</v>
          </cell>
          <cell r="F152">
            <v>0</v>
          </cell>
          <cell r="G152">
            <v>180000</v>
          </cell>
          <cell r="H152">
            <v>0</v>
          </cell>
          <cell r="I152">
            <v>0</v>
          </cell>
        </row>
        <row r="153">
          <cell r="A153" t="str">
            <v>0260|448001</v>
          </cell>
          <cell r="B153" t="str">
            <v>0260</v>
          </cell>
          <cell r="C153">
            <v>448001</v>
          </cell>
          <cell r="D153">
            <v>41426</v>
          </cell>
          <cell r="E153">
            <v>91132595</v>
          </cell>
          <cell r="F153">
            <v>45566298</v>
          </cell>
          <cell r="G153">
            <v>30811579</v>
          </cell>
          <cell r="H153">
            <v>7594383</v>
          </cell>
          <cell r="I153">
            <v>861800</v>
          </cell>
        </row>
        <row r="154">
          <cell r="A154" t="str">
            <v>0260|448003</v>
          </cell>
          <cell r="B154" t="str">
            <v>0260</v>
          </cell>
          <cell r="C154">
            <v>448003</v>
          </cell>
          <cell r="D154">
            <v>41426</v>
          </cell>
          <cell r="E154">
            <v>14470431</v>
          </cell>
          <cell r="F154">
            <v>7235216</v>
          </cell>
          <cell r="G154">
            <v>1588600</v>
          </cell>
          <cell r="H154">
            <v>1205870</v>
          </cell>
          <cell r="I154">
            <v>0</v>
          </cell>
        </row>
        <row r="155">
          <cell r="A155" t="str">
            <v>0260|449023</v>
          </cell>
          <cell r="B155" t="str">
            <v>0260</v>
          </cell>
          <cell r="C155">
            <v>449023</v>
          </cell>
          <cell r="D155">
            <v>41426</v>
          </cell>
          <cell r="E155">
            <v>29436000</v>
          </cell>
          <cell r="F155">
            <v>14718000</v>
          </cell>
          <cell r="G155">
            <v>19200000</v>
          </cell>
          <cell r="H155">
            <v>2453000</v>
          </cell>
          <cell r="I155">
            <v>3200000</v>
          </cell>
        </row>
        <row r="156">
          <cell r="A156" t="str">
            <v>0260|449025</v>
          </cell>
          <cell r="B156" t="str">
            <v>0260</v>
          </cell>
          <cell r="C156">
            <v>449025</v>
          </cell>
          <cell r="D156">
            <v>41426</v>
          </cell>
          <cell r="E156">
            <v>71280000</v>
          </cell>
          <cell r="F156">
            <v>35640000</v>
          </cell>
          <cell r="G156">
            <v>36822000</v>
          </cell>
          <cell r="H156">
            <v>5940000</v>
          </cell>
          <cell r="I156">
            <v>5868500</v>
          </cell>
        </row>
        <row r="157">
          <cell r="A157" t="str">
            <v>0260|449032</v>
          </cell>
          <cell r="B157" t="str">
            <v>0260</v>
          </cell>
          <cell r="C157">
            <v>449032</v>
          </cell>
          <cell r="D157">
            <v>41426</v>
          </cell>
          <cell r="E157">
            <v>36600164</v>
          </cell>
          <cell r="F157">
            <v>18300082</v>
          </cell>
          <cell r="G157">
            <v>4283750</v>
          </cell>
          <cell r="H157">
            <v>3050014</v>
          </cell>
          <cell r="I157">
            <v>0</v>
          </cell>
        </row>
        <row r="158">
          <cell r="A158" t="str">
            <v>0260|449040</v>
          </cell>
          <cell r="B158" t="str">
            <v>0260</v>
          </cell>
          <cell r="C158">
            <v>449040</v>
          </cell>
          <cell r="D158">
            <v>41426</v>
          </cell>
          <cell r="E158">
            <v>657728</v>
          </cell>
          <cell r="F158">
            <v>328864</v>
          </cell>
          <cell r="G158">
            <v>0</v>
          </cell>
          <cell r="H158">
            <v>54811</v>
          </cell>
          <cell r="I158">
            <v>0</v>
          </cell>
        </row>
        <row r="159">
          <cell r="A159" t="str">
            <v>0260|449050</v>
          </cell>
          <cell r="B159" t="str">
            <v>0260</v>
          </cell>
          <cell r="C159">
            <v>449050</v>
          </cell>
          <cell r="D159">
            <v>41426</v>
          </cell>
          <cell r="E159">
            <v>26907540</v>
          </cell>
          <cell r="F159">
            <v>13453770</v>
          </cell>
          <cell r="G159">
            <v>14799022</v>
          </cell>
          <cell r="H159">
            <v>2242295</v>
          </cell>
          <cell r="I159">
            <v>2466667</v>
          </cell>
        </row>
        <row r="160">
          <cell r="A160" t="str">
            <v>0260|449060</v>
          </cell>
          <cell r="B160" t="str">
            <v>0260</v>
          </cell>
          <cell r="C160">
            <v>449060</v>
          </cell>
          <cell r="D160">
            <v>41426</v>
          </cell>
          <cell r="E160">
            <v>500000</v>
          </cell>
          <cell r="F160">
            <v>250000</v>
          </cell>
          <cell r="G160">
            <v>353577</v>
          </cell>
          <cell r="H160">
            <v>41667</v>
          </cell>
          <cell r="I160">
            <v>0</v>
          </cell>
        </row>
        <row r="161">
          <cell r="A161" t="str">
            <v>0260|449061</v>
          </cell>
          <cell r="B161" t="str">
            <v>0260</v>
          </cell>
          <cell r="C161">
            <v>449061</v>
          </cell>
          <cell r="D161">
            <v>41426</v>
          </cell>
          <cell r="E161">
            <v>8832622</v>
          </cell>
          <cell r="F161">
            <v>4416311</v>
          </cell>
          <cell r="G161">
            <v>3127375</v>
          </cell>
          <cell r="H161">
            <v>736052</v>
          </cell>
          <cell r="I161">
            <v>1723100</v>
          </cell>
        </row>
        <row r="162">
          <cell r="A162" t="str">
            <v>0260|451000</v>
          </cell>
          <cell r="B162" t="str">
            <v>0260</v>
          </cell>
          <cell r="C162">
            <v>451000</v>
          </cell>
          <cell r="D162">
            <v>41426</v>
          </cell>
          <cell r="E162">
            <v>4748445</v>
          </cell>
          <cell r="F162">
            <v>2374223</v>
          </cell>
          <cell r="G162">
            <v>1927500</v>
          </cell>
          <cell r="H162">
            <v>395704</v>
          </cell>
          <cell r="I162">
            <v>1927500</v>
          </cell>
        </row>
        <row r="163">
          <cell r="A163" t="str">
            <v>0260|452000</v>
          </cell>
          <cell r="B163" t="str">
            <v>0260</v>
          </cell>
          <cell r="C163">
            <v>452000</v>
          </cell>
          <cell r="D163">
            <v>41426</v>
          </cell>
          <cell r="E163">
            <v>1</v>
          </cell>
          <cell r="F163">
            <v>1</v>
          </cell>
          <cell r="G163">
            <v>0</v>
          </cell>
          <cell r="H163">
            <v>1</v>
          </cell>
          <cell r="I163">
            <v>0</v>
          </cell>
        </row>
        <row r="164">
          <cell r="A164" t="str">
            <v>0260|452001</v>
          </cell>
          <cell r="B164" t="str">
            <v>0260</v>
          </cell>
          <cell r="C164">
            <v>452001</v>
          </cell>
          <cell r="D164">
            <v>41426</v>
          </cell>
          <cell r="E164">
            <v>1</v>
          </cell>
          <cell r="F164">
            <v>1</v>
          </cell>
          <cell r="G164">
            <v>0</v>
          </cell>
          <cell r="H164">
            <v>1</v>
          </cell>
          <cell r="I164">
            <v>0</v>
          </cell>
        </row>
        <row r="165">
          <cell r="A165" t="str">
            <v>0260|455000</v>
          </cell>
          <cell r="B165" t="str">
            <v>0260</v>
          </cell>
          <cell r="C165">
            <v>455000</v>
          </cell>
          <cell r="D165">
            <v>41426</v>
          </cell>
          <cell r="E165">
            <v>9000000</v>
          </cell>
          <cell r="F165">
            <v>4500000</v>
          </cell>
          <cell r="G165">
            <v>586636</v>
          </cell>
          <cell r="H165">
            <v>750000</v>
          </cell>
          <cell r="I165">
            <v>0</v>
          </cell>
        </row>
        <row r="166">
          <cell r="A166" t="str">
            <v>0260|455002</v>
          </cell>
          <cell r="B166" t="str">
            <v>0260</v>
          </cell>
          <cell r="C166">
            <v>455002</v>
          </cell>
          <cell r="D166">
            <v>41426</v>
          </cell>
          <cell r="E166">
            <v>6000000</v>
          </cell>
          <cell r="F166">
            <v>3000000</v>
          </cell>
          <cell r="G166">
            <v>26325</v>
          </cell>
          <cell r="H166">
            <v>500000</v>
          </cell>
          <cell r="I166">
            <v>26325</v>
          </cell>
        </row>
        <row r="167">
          <cell r="A167" t="str">
            <v>0260|459005</v>
          </cell>
          <cell r="B167" t="str">
            <v>0260</v>
          </cell>
          <cell r="C167">
            <v>459005</v>
          </cell>
          <cell r="D167">
            <v>41426</v>
          </cell>
          <cell r="E167">
            <v>349443</v>
          </cell>
          <cell r="F167">
            <v>174722</v>
          </cell>
          <cell r="G167">
            <v>0</v>
          </cell>
          <cell r="H167">
            <v>29121</v>
          </cell>
          <cell r="I167">
            <v>0</v>
          </cell>
        </row>
        <row r="168">
          <cell r="A168" t="str">
            <v>0260|473000</v>
          </cell>
          <cell r="B168" t="str">
            <v>0260</v>
          </cell>
          <cell r="C168">
            <v>473000</v>
          </cell>
          <cell r="D168">
            <v>41426</v>
          </cell>
          <cell r="E168">
            <v>56359</v>
          </cell>
          <cell r="F168">
            <v>28180</v>
          </cell>
          <cell r="G168">
            <v>0</v>
          </cell>
          <cell r="H168">
            <v>4697</v>
          </cell>
          <cell r="I168">
            <v>0</v>
          </cell>
        </row>
        <row r="169">
          <cell r="A169" t="str">
            <v>0260|473120</v>
          </cell>
          <cell r="B169" t="str">
            <v>0260</v>
          </cell>
          <cell r="C169">
            <v>473120</v>
          </cell>
          <cell r="D169">
            <v>41426</v>
          </cell>
          <cell r="E169">
            <v>4878825</v>
          </cell>
          <cell r="F169">
            <v>2439413</v>
          </cell>
          <cell r="G169">
            <v>2318217</v>
          </cell>
          <cell r="H169">
            <v>406569</v>
          </cell>
          <cell r="I169">
            <v>537534</v>
          </cell>
        </row>
        <row r="170">
          <cell r="A170" t="str">
            <v>0260|474100</v>
          </cell>
          <cell r="B170" t="str">
            <v>0260</v>
          </cell>
          <cell r="C170">
            <v>474100</v>
          </cell>
          <cell r="D170">
            <v>41426</v>
          </cell>
          <cell r="E170">
            <v>23104487</v>
          </cell>
          <cell r="F170">
            <v>11552244</v>
          </cell>
          <cell r="G170">
            <v>5975332</v>
          </cell>
          <cell r="H170">
            <v>1925374</v>
          </cell>
          <cell r="I170">
            <v>0</v>
          </cell>
        </row>
        <row r="171">
          <cell r="A171" t="str">
            <v>0260|475006</v>
          </cell>
          <cell r="B171" t="str">
            <v>0260</v>
          </cell>
          <cell r="C171">
            <v>475006</v>
          </cell>
          <cell r="D171">
            <v>41426</v>
          </cell>
          <cell r="E171">
            <v>2309263</v>
          </cell>
          <cell r="F171">
            <v>1154632</v>
          </cell>
          <cell r="G171">
            <v>1259063</v>
          </cell>
          <cell r="H171">
            <v>192439</v>
          </cell>
          <cell r="I171">
            <v>209844</v>
          </cell>
        </row>
        <row r="172">
          <cell r="A172" t="str">
            <v>0260|476201</v>
          </cell>
          <cell r="B172" t="str">
            <v>0260</v>
          </cell>
          <cell r="C172">
            <v>476201</v>
          </cell>
          <cell r="D172">
            <v>41426</v>
          </cell>
          <cell r="E172">
            <v>4032966</v>
          </cell>
          <cell r="F172">
            <v>2016483</v>
          </cell>
          <cell r="G172">
            <v>0</v>
          </cell>
          <cell r="H172">
            <v>336080</v>
          </cell>
          <cell r="I172">
            <v>0</v>
          </cell>
        </row>
        <row r="173">
          <cell r="A173" t="str">
            <v>0260|476220</v>
          </cell>
          <cell r="B173" t="str">
            <v>0260</v>
          </cell>
          <cell r="C173">
            <v>476220</v>
          </cell>
          <cell r="D173">
            <v>41426</v>
          </cell>
          <cell r="E173">
            <v>1588520</v>
          </cell>
          <cell r="F173">
            <v>794260</v>
          </cell>
          <cell r="G173">
            <v>0</v>
          </cell>
          <cell r="H173">
            <v>132377</v>
          </cell>
          <cell r="I173">
            <v>0</v>
          </cell>
        </row>
        <row r="174">
          <cell r="A174" t="str">
            <v>0310|211104</v>
          </cell>
          <cell r="B174" t="str">
            <v>0310</v>
          </cell>
          <cell r="C174">
            <v>211104</v>
          </cell>
          <cell r="D174">
            <v>41426</v>
          </cell>
          <cell r="E174">
            <v>894108870</v>
          </cell>
          <cell r="F174">
            <v>447054435</v>
          </cell>
          <cell r="G174">
            <v>314699514</v>
          </cell>
          <cell r="H174">
            <v>74509072</v>
          </cell>
          <cell r="I174">
            <v>51219848</v>
          </cell>
        </row>
        <row r="175">
          <cell r="A175" t="str">
            <v>0310|400040</v>
          </cell>
          <cell r="B175" t="str">
            <v>0310</v>
          </cell>
          <cell r="C175">
            <v>400040</v>
          </cell>
          <cell r="D175">
            <v>41426</v>
          </cell>
          <cell r="E175">
            <v>3000000</v>
          </cell>
          <cell r="F175">
            <v>1500000</v>
          </cell>
          <cell r="G175">
            <v>2128500</v>
          </cell>
          <cell r="H175">
            <v>250000</v>
          </cell>
          <cell r="I175">
            <v>0</v>
          </cell>
        </row>
        <row r="176">
          <cell r="A176" t="str">
            <v>0310|405250</v>
          </cell>
          <cell r="B176" t="str">
            <v>0310</v>
          </cell>
          <cell r="C176">
            <v>405250</v>
          </cell>
          <cell r="D176">
            <v>41426</v>
          </cell>
          <cell r="E176">
            <v>2500000000</v>
          </cell>
          <cell r="F176">
            <v>1250000000</v>
          </cell>
          <cell r="G176">
            <v>1561623197</v>
          </cell>
          <cell r="H176">
            <v>208333333</v>
          </cell>
          <cell r="I176">
            <v>268782991</v>
          </cell>
        </row>
        <row r="177">
          <cell r="A177" t="str">
            <v>0310|420000</v>
          </cell>
          <cell r="B177" t="str">
            <v>0310</v>
          </cell>
          <cell r="C177">
            <v>420000</v>
          </cell>
          <cell r="D177">
            <v>41426</v>
          </cell>
          <cell r="E177">
            <v>929408345</v>
          </cell>
          <cell r="F177">
            <v>464704173</v>
          </cell>
          <cell r="G177">
            <v>393749660</v>
          </cell>
          <cell r="H177">
            <v>77450696</v>
          </cell>
          <cell r="I177">
            <v>67397060</v>
          </cell>
        </row>
        <row r="178">
          <cell r="A178" t="str">
            <v>0310|420003</v>
          </cell>
          <cell r="B178" t="str">
            <v>0310</v>
          </cell>
          <cell r="C178">
            <v>420003</v>
          </cell>
          <cell r="D178">
            <v>41426</v>
          </cell>
          <cell r="E178">
            <v>255520683</v>
          </cell>
          <cell r="F178">
            <v>127760342</v>
          </cell>
          <cell r="G178">
            <v>126179805</v>
          </cell>
          <cell r="H178">
            <v>21293391</v>
          </cell>
          <cell r="I178">
            <v>21265001</v>
          </cell>
        </row>
        <row r="179">
          <cell r="A179" t="str">
            <v>0310|422000</v>
          </cell>
          <cell r="B179" t="str">
            <v>0310</v>
          </cell>
          <cell r="C179">
            <v>422000</v>
          </cell>
          <cell r="D179">
            <v>41426</v>
          </cell>
          <cell r="E179">
            <v>888570</v>
          </cell>
          <cell r="F179">
            <v>444285</v>
          </cell>
          <cell r="G179">
            <v>939250</v>
          </cell>
          <cell r="H179">
            <v>74047</v>
          </cell>
          <cell r="I179">
            <v>0</v>
          </cell>
        </row>
        <row r="180">
          <cell r="A180" t="str">
            <v>0310|431000</v>
          </cell>
          <cell r="B180" t="str">
            <v>0310</v>
          </cell>
          <cell r="C180">
            <v>431000</v>
          </cell>
          <cell r="D180">
            <v>41426</v>
          </cell>
          <cell r="E180">
            <v>5000000</v>
          </cell>
          <cell r="F180">
            <v>2500000</v>
          </cell>
          <cell r="G180">
            <v>15430051</v>
          </cell>
          <cell r="H180">
            <v>416667</v>
          </cell>
          <cell r="I180">
            <v>719192</v>
          </cell>
        </row>
        <row r="181">
          <cell r="A181" t="str">
            <v>0310|434010</v>
          </cell>
          <cell r="B181" t="str">
            <v>0310</v>
          </cell>
          <cell r="C181">
            <v>434010</v>
          </cell>
          <cell r="D181">
            <v>41426</v>
          </cell>
          <cell r="E181">
            <v>0</v>
          </cell>
          <cell r="F181">
            <v>0</v>
          </cell>
          <cell r="G181">
            <v>28307006</v>
          </cell>
          <cell r="H181">
            <v>0</v>
          </cell>
          <cell r="I181">
            <v>5126652</v>
          </cell>
        </row>
        <row r="182">
          <cell r="A182" t="str">
            <v>0310|434013</v>
          </cell>
          <cell r="B182" t="str">
            <v>0310</v>
          </cell>
          <cell r="C182">
            <v>434013</v>
          </cell>
          <cell r="D182">
            <v>41426</v>
          </cell>
          <cell r="E182">
            <v>0</v>
          </cell>
          <cell r="F182">
            <v>0</v>
          </cell>
          <cell r="G182">
            <v>3750402</v>
          </cell>
          <cell r="H182">
            <v>0</v>
          </cell>
          <cell r="I182">
            <v>600488</v>
          </cell>
        </row>
        <row r="183">
          <cell r="A183" t="str">
            <v>0310|435000</v>
          </cell>
          <cell r="B183" t="str">
            <v>0310</v>
          </cell>
          <cell r="C183">
            <v>435000</v>
          </cell>
          <cell r="D183">
            <v>41426</v>
          </cell>
          <cell r="E183">
            <v>84022819</v>
          </cell>
          <cell r="F183">
            <v>42011410</v>
          </cell>
          <cell r="G183">
            <v>80295943</v>
          </cell>
          <cell r="H183">
            <v>7001902</v>
          </cell>
          <cell r="I183">
            <v>0</v>
          </cell>
        </row>
        <row r="184">
          <cell r="A184" t="str">
            <v>0310|435003</v>
          </cell>
          <cell r="B184" t="str">
            <v>0310</v>
          </cell>
          <cell r="C184">
            <v>435003</v>
          </cell>
          <cell r="D184">
            <v>41426</v>
          </cell>
          <cell r="E184">
            <v>31940085</v>
          </cell>
          <cell r="F184">
            <v>15970043</v>
          </cell>
          <cell r="G184">
            <v>40553000</v>
          </cell>
          <cell r="H184">
            <v>2661674</v>
          </cell>
          <cell r="I184">
            <v>0</v>
          </cell>
        </row>
        <row r="185">
          <cell r="A185" t="str">
            <v>0310|439000</v>
          </cell>
          <cell r="B185" t="str">
            <v>0310</v>
          </cell>
          <cell r="C185">
            <v>439000</v>
          </cell>
          <cell r="D185">
            <v>41426</v>
          </cell>
          <cell r="E185">
            <v>133813780</v>
          </cell>
          <cell r="F185">
            <v>66906890</v>
          </cell>
          <cell r="G185">
            <v>51795968</v>
          </cell>
          <cell r="H185">
            <v>11151148</v>
          </cell>
          <cell r="I185">
            <v>9500915</v>
          </cell>
        </row>
        <row r="186">
          <cell r="A186" t="str">
            <v>0310|439003</v>
          </cell>
          <cell r="B186" t="str">
            <v>0310</v>
          </cell>
          <cell r="C186">
            <v>439003</v>
          </cell>
          <cell r="D186">
            <v>41426</v>
          </cell>
          <cell r="E186">
            <v>39449879</v>
          </cell>
          <cell r="F186">
            <v>19724940</v>
          </cell>
          <cell r="G186">
            <v>20073108</v>
          </cell>
          <cell r="H186">
            <v>3287490</v>
          </cell>
          <cell r="I186">
            <v>3222605</v>
          </cell>
        </row>
        <row r="187">
          <cell r="A187" t="str">
            <v>0310|440000</v>
          </cell>
          <cell r="B187" t="str">
            <v>0310</v>
          </cell>
          <cell r="C187">
            <v>440000</v>
          </cell>
          <cell r="D187">
            <v>41426</v>
          </cell>
          <cell r="E187">
            <v>77450695</v>
          </cell>
          <cell r="F187">
            <v>38725348</v>
          </cell>
          <cell r="G187">
            <v>26266260</v>
          </cell>
          <cell r="H187">
            <v>6454225</v>
          </cell>
          <cell r="I187">
            <v>3899822</v>
          </cell>
        </row>
        <row r="188">
          <cell r="A188" t="str">
            <v>0310|440003</v>
          </cell>
          <cell r="B188" t="str">
            <v>0310</v>
          </cell>
          <cell r="C188">
            <v>440003</v>
          </cell>
          <cell r="D188">
            <v>41426</v>
          </cell>
          <cell r="E188">
            <v>21293390</v>
          </cell>
          <cell r="F188">
            <v>10646695</v>
          </cell>
          <cell r="G188">
            <v>12288976</v>
          </cell>
          <cell r="H188">
            <v>1774449</v>
          </cell>
          <cell r="I188">
            <v>2527365</v>
          </cell>
        </row>
        <row r="189">
          <cell r="A189" t="str">
            <v>0310|446000</v>
          </cell>
          <cell r="B189" t="str">
            <v>0310</v>
          </cell>
          <cell r="C189">
            <v>446000</v>
          </cell>
          <cell r="D189">
            <v>41426</v>
          </cell>
          <cell r="E189">
            <v>47976445</v>
          </cell>
          <cell r="F189">
            <v>23988223</v>
          </cell>
          <cell r="G189">
            <v>9810000</v>
          </cell>
          <cell r="H189">
            <v>3998038</v>
          </cell>
          <cell r="I189">
            <v>1550000</v>
          </cell>
        </row>
        <row r="190">
          <cell r="A190" t="str">
            <v>0310|447000</v>
          </cell>
          <cell r="B190" t="str">
            <v>0310</v>
          </cell>
          <cell r="C190">
            <v>447000</v>
          </cell>
          <cell r="D190">
            <v>41426</v>
          </cell>
          <cell r="E190">
            <v>14591711</v>
          </cell>
          <cell r="F190">
            <v>7295856</v>
          </cell>
          <cell r="G190">
            <v>6170752</v>
          </cell>
          <cell r="H190">
            <v>1215976</v>
          </cell>
          <cell r="I190">
            <v>1086310</v>
          </cell>
        </row>
        <row r="191">
          <cell r="A191" t="str">
            <v>0310|447003</v>
          </cell>
          <cell r="B191" t="str">
            <v>0310</v>
          </cell>
          <cell r="C191">
            <v>447003</v>
          </cell>
          <cell r="D191">
            <v>41426</v>
          </cell>
          <cell r="E191">
            <v>4012241</v>
          </cell>
          <cell r="F191">
            <v>2006121</v>
          </cell>
          <cell r="G191">
            <v>1645770</v>
          </cell>
          <cell r="H191">
            <v>334354</v>
          </cell>
          <cell r="I191">
            <v>274295</v>
          </cell>
        </row>
        <row r="192">
          <cell r="A192" t="str">
            <v>0310|447010</v>
          </cell>
          <cell r="B192" t="str">
            <v>0310</v>
          </cell>
          <cell r="C192">
            <v>447010</v>
          </cell>
          <cell r="D192">
            <v>41426</v>
          </cell>
          <cell r="E192">
            <v>34388109</v>
          </cell>
          <cell r="F192">
            <v>17194055</v>
          </cell>
          <cell r="G192">
            <v>14542525</v>
          </cell>
          <cell r="H192">
            <v>2865676</v>
          </cell>
          <cell r="I192">
            <v>2560090</v>
          </cell>
        </row>
        <row r="193">
          <cell r="A193" t="str">
            <v>0310|447013</v>
          </cell>
          <cell r="B193" t="str">
            <v>0310</v>
          </cell>
          <cell r="C193">
            <v>447013</v>
          </cell>
          <cell r="D193">
            <v>41426</v>
          </cell>
          <cell r="E193">
            <v>9454265</v>
          </cell>
          <cell r="F193">
            <v>4727133</v>
          </cell>
          <cell r="G193">
            <v>3878562</v>
          </cell>
          <cell r="H193">
            <v>787856</v>
          </cell>
          <cell r="I193">
            <v>646427</v>
          </cell>
        </row>
        <row r="194">
          <cell r="A194" t="str">
            <v>0310|447020</v>
          </cell>
          <cell r="B194" t="str">
            <v>0310</v>
          </cell>
          <cell r="C194">
            <v>447020</v>
          </cell>
          <cell r="D194">
            <v>41426</v>
          </cell>
          <cell r="E194">
            <v>1459171</v>
          </cell>
          <cell r="F194">
            <v>729586</v>
          </cell>
          <cell r="G194">
            <v>652730</v>
          </cell>
          <cell r="H194">
            <v>121598</v>
          </cell>
          <cell r="I194">
            <v>110042</v>
          </cell>
        </row>
        <row r="195">
          <cell r="A195" t="str">
            <v>0310|447023</v>
          </cell>
          <cell r="B195" t="str">
            <v>0310</v>
          </cell>
          <cell r="C195">
            <v>447023</v>
          </cell>
          <cell r="D195">
            <v>41426</v>
          </cell>
          <cell r="E195">
            <v>332040</v>
          </cell>
          <cell r="F195">
            <v>166020</v>
          </cell>
          <cell r="G195">
            <v>290438</v>
          </cell>
          <cell r="H195">
            <v>27670</v>
          </cell>
          <cell r="I195">
            <v>48450</v>
          </cell>
        </row>
        <row r="196">
          <cell r="A196" t="str">
            <v>0310|448000</v>
          </cell>
          <cell r="B196" t="str">
            <v>0310</v>
          </cell>
          <cell r="C196">
            <v>448000</v>
          </cell>
          <cell r="D196">
            <v>41426</v>
          </cell>
          <cell r="E196">
            <v>75175088</v>
          </cell>
          <cell r="F196">
            <v>37587544</v>
          </cell>
          <cell r="G196">
            <v>28758710</v>
          </cell>
          <cell r="H196">
            <v>6264591</v>
          </cell>
          <cell r="I196">
            <v>739100</v>
          </cell>
        </row>
        <row r="197">
          <cell r="A197" t="str">
            <v>0310|448001</v>
          </cell>
          <cell r="B197" t="str">
            <v>0310</v>
          </cell>
          <cell r="C197">
            <v>448001</v>
          </cell>
          <cell r="D197">
            <v>41426</v>
          </cell>
          <cell r="E197">
            <v>0</v>
          </cell>
          <cell r="F197">
            <v>0</v>
          </cell>
          <cell r="G197">
            <v>47813881</v>
          </cell>
          <cell r="H197">
            <v>0</v>
          </cell>
          <cell r="I197">
            <v>20244913</v>
          </cell>
        </row>
        <row r="198">
          <cell r="A198" t="str">
            <v>0310|448003</v>
          </cell>
          <cell r="B198" t="str">
            <v>0310</v>
          </cell>
          <cell r="C198">
            <v>448003</v>
          </cell>
          <cell r="D198">
            <v>41426</v>
          </cell>
          <cell r="E198">
            <v>14470431</v>
          </cell>
          <cell r="F198">
            <v>7235216</v>
          </cell>
          <cell r="G198">
            <v>13806000</v>
          </cell>
          <cell r="H198">
            <v>1205870</v>
          </cell>
          <cell r="I198">
            <v>0</v>
          </cell>
        </row>
        <row r="199">
          <cell r="A199" t="str">
            <v>0310|449020</v>
          </cell>
          <cell r="B199" t="str">
            <v>0310</v>
          </cell>
          <cell r="C199">
            <v>449020</v>
          </cell>
          <cell r="D199">
            <v>41426</v>
          </cell>
          <cell r="E199">
            <v>55440000</v>
          </cell>
          <cell r="F199">
            <v>27720000</v>
          </cell>
          <cell r="G199">
            <v>30149500</v>
          </cell>
          <cell r="H199">
            <v>4620000</v>
          </cell>
          <cell r="I199">
            <v>5213500</v>
          </cell>
        </row>
        <row r="200">
          <cell r="A200" t="str">
            <v>0310|449023</v>
          </cell>
          <cell r="B200" t="str">
            <v>0310</v>
          </cell>
          <cell r="C200">
            <v>449023</v>
          </cell>
          <cell r="D200">
            <v>41426</v>
          </cell>
          <cell r="E200">
            <v>29436000</v>
          </cell>
          <cell r="F200">
            <v>14718000</v>
          </cell>
          <cell r="G200">
            <v>19200000</v>
          </cell>
          <cell r="H200">
            <v>2453000</v>
          </cell>
          <cell r="I200">
            <v>3200000</v>
          </cell>
        </row>
        <row r="201">
          <cell r="A201" t="str">
            <v>0310|449032</v>
          </cell>
          <cell r="B201" t="str">
            <v>0310</v>
          </cell>
          <cell r="C201">
            <v>449032</v>
          </cell>
          <cell r="D201">
            <v>41426</v>
          </cell>
          <cell r="E201">
            <v>31206600</v>
          </cell>
          <cell r="F201">
            <v>15603300</v>
          </cell>
          <cell r="G201">
            <v>5242500</v>
          </cell>
          <cell r="H201">
            <v>2600550</v>
          </cell>
          <cell r="I201">
            <v>2300000</v>
          </cell>
        </row>
        <row r="202">
          <cell r="A202" t="str">
            <v>0310|449050</v>
          </cell>
          <cell r="B202" t="str">
            <v>0310</v>
          </cell>
          <cell r="C202">
            <v>449050</v>
          </cell>
          <cell r="D202">
            <v>41426</v>
          </cell>
          <cell r="E202">
            <v>16385700</v>
          </cell>
          <cell r="F202">
            <v>8192850</v>
          </cell>
          <cell r="G202">
            <v>14787982</v>
          </cell>
          <cell r="H202">
            <v>1365475</v>
          </cell>
          <cell r="I202">
            <v>2464667</v>
          </cell>
        </row>
        <row r="203">
          <cell r="A203" t="str">
            <v>0310|449060</v>
          </cell>
          <cell r="B203" t="str">
            <v>0310</v>
          </cell>
          <cell r="C203">
            <v>449060</v>
          </cell>
          <cell r="D203">
            <v>41426</v>
          </cell>
          <cell r="E203">
            <v>500000</v>
          </cell>
          <cell r="F203">
            <v>250000</v>
          </cell>
          <cell r="G203">
            <v>606905</v>
          </cell>
          <cell r="H203">
            <v>41667</v>
          </cell>
          <cell r="I203">
            <v>0</v>
          </cell>
        </row>
        <row r="204">
          <cell r="A204" t="str">
            <v>0310|449061</v>
          </cell>
          <cell r="B204" t="str">
            <v>0310</v>
          </cell>
          <cell r="C204">
            <v>449061</v>
          </cell>
          <cell r="D204">
            <v>41426</v>
          </cell>
          <cell r="E204">
            <v>506743</v>
          </cell>
          <cell r="F204">
            <v>253372</v>
          </cell>
          <cell r="G204">
            <v>328600</v>
          </cell>
          <cell r="H204">
            <v>42229</v>
          </cell>
          <cell r="I204">
            <v>197000</v>
          </cell>
        </row>
        <row r="205">
          <cell r="A205" t="str">
            <v>0310|455000</v>
          </cell>
          <cell r="B205" t="str">
            <v>0310</v>
          </cell>
          <cell r="C205">
            <v>455000</v>
          </cell>
          <cell r="D205">
            <v>41426</v>
          </cell>
          <cell r="E205">
            <v>3000000</v>
          </cell>
          <cell r="F205">
            <v>1500000</v>
          </cell>
          <cell r="G205">
            <v>718914</v>
          </cell>
          <cell r="H205">
            <v>250000</v>
          </cell>
          <cell r="I205">
            <v>0</v>
          </cell>
        </row>
        <row r="206">
          <cell r="A206" t="str">
            <v>0310|455002</v>
          </cell>
          <cell r="B206" t="str">
            <v>0310</v>
          </cell>
          <cell r="C206">
            <v>455002</v>
          </cell>
          <cell r="D206">
            <v>41426</v>
          </cell>
          <cell r="E206">
            <v>0</v>
          </cell>
          <cell r="F206">
            <v>0</v>
          </cell>
          <cell r="G206">
            <v>1741872</v>
          </cell>
          <cell r="H206">
            <v>0</v>
          </cell>
          <cell r="I206">
            <v>0</v>
          </cell>
        </row>
        <row r="207">
          <cell r="A207" t="str">
            <v>0310|459000</v>
          </cell>
          <cell r="B207" t="str">
            <v>0310</v>
          </cell>
          <cell r="C207">
            <v>459000</v>
          </cell>
          <cell r="D207">
            <v>41426</v>
          </cell>
          <cell r="E207">
            <v>3825600</v>
          </cell>
          <cell r="F207">
            <v>1912800</v>
          </cell>
          <cell r="G207">
            <v>2230750</v>
          </cell>
          <cell r="H207">
            <v>318800</v>
          </cell>
          <cell r="I207">
            <v>0</v>
          </cell>
        </row>
        <row r="208">
          <cell r="A208" t="str">
            <v>0310|470102</v>
          </cell>
          <cell r="B208" t="str">
            <v>0310</v>
          </cell>
          <cell r="C208">
            <v>470102</v>
          </cell>
          <cell r="D208">
            <v>41426</v>
          </cell>
          <cell r="E208">
            <v>2516898</v>
          </cell>
          <cell r="F208">
            <v>1258449</v>
          </cell>
          <cell r="G208">
            <v>7874913</v>
          </cell>
          <cell r="H208">
            <v>209741</v>
          </cell>
          <cell r="I208">
            <v>1571499</v>
          </cell>
        </row>
        <row r="209">
          <cell r="A209" t="str">
            <v>0310|471000</v>
          </cell>
          <cell r="B209" t="str">
            <v>0310</v>
          </cell>
          <cell r="C209">
            <v>471000</v>
          </cell>
          <cell r="D209">
            <v>41426</v>
          </cell>
          <cell r="E209">
            <v>5056857</v>
          </cell>
          <cell r="F209">
            <v>2528429</v>
          </cell>
          <cell r="G209">
            <v>-535975</v>
          </cell>
          <cell r="H209">
            <v>421405</v>
          </cell>
          <cell r="I209">
            <v>0</v>
          </cell>
        </row>
        <row r="210">
          <cell r="A210" t="str">
            <v>0310|473120</v>
          </cell>
          <cell r="B210" t="str">
            <v>0310</v>
          </cell>
          <cell r="C210">
            <v>473120</v>
          </cell>
          <cell r="D210">
            <v>41426</v>
          </cell>
          <cell r="E210">
            <v>7572465</v>
          </cell>
          <cell r="F210">
            <v>3786233</v>
          </cell>
          <cell r="G210">
            <v>3722126</v>
          </cell>
          <cell r="H210">
            <v>631039</v>
          </cell>
          <cell r="I210">
            <v>685955</v>
          </cell>
        </row>
        <row r="211">
          <cell r="A211" t="str">
            <v>0310|475006</v>
          </cell>
          <cell r="B211" t="str">
            <v>0310</v>
          </cell>
          <cell r="C211">
            <v>475006</v>
          </cell>
          <cell r="D211">
            <v>41426</v>
          </cell>
          <cell r="E211">
            <v>2309263</v>
          </cell>
          <cell r="F211">
            <v>1154632</v>
          </cell>
          <cell r="G211">
            <v>1259063</v>
          </cell>
          <cell r="H211">
            <v>192439</v>
          </cell>
          <cell r="I211">
            <v>209844</v>
          </cell>
        </row>
        <row r="212">
          <cell r="A212" t="str">
            <v>0310|476000</v>
          </cell>
          <cell r="B212" t="str">
            <v>0310</v>
          </cell>
          <cell r="C212">
            <v>476000</v>
          </cell>
          <cell r="D212">
            <v>41426</v>
          </cell>
          <cell r="E212">
            <v>24894000</v>
          </cell>
          <cell r="F212">
            <v>12447001</v>
          </cell>
          <cell r="G212">
            <v>7371787</v>
          </cell>
          <cell r="H212">
            <v>2074501</v>
          </cell>
          <cell r="I212">
            <v>665050</v>
          </cell>
        </row>
        <row r="213">
          <cell r="A213" t="str">
            <v>0310|476001</v>
          </cell>
          <cell r="B213" t="str">
            <v>0310</v>
          </cell>
          <cell r="C213">
            <v>476001</v>
          </cell>
          <cell r="D213">
            <v>41426</v>
          </cell>
          <cell r="E213">
            <v>7964341</v>
          </cell>
          <cell r="F213">
            <v>3982171</v>
          </cell>
          <cell r="G213">
            <v>6508800</v>
          </cell>
          <cell r="H213">
            <v>663696</v>
          </cell>
          <cell r="I213">
            <v>120000</v>
          </cell>
        </row>
        <row r="214">
          <cell r="A214" t="str">
            <v>0340|211100</v>
          </cell>
          <cell r="B214" t="str">
            <v>0340</v>
          </cell>
          <cell r="C214">
            <v>211100</v>
          </cell>
          <cell r="D214">
            <v>41426</v>
          </cell>
          <cell r="E214">
            <v>11246027</v>
          </cell>
          <cell r="F214">
            <v>5623014</v>
          </cell>
          <cell r="G214">
            <v>6143718</v>
          </cell>
          <cell r="H214">
            <v>937169</v>
          </cell>
          <cell r="I214">
            <v>1023961</v>
          </cell>
        </row>
        <row r="215">
          <cell r="A215" t="str">
            <v>0340|246000</v>
          </cell>
          <cell r="B215" t="str">
            <v>0340</v>
          </cell>
          <cell r="C215">
            <v>246000</v>
          </cell>
          <cell r="D215">
            <v>41426</v>
          </cell>
          <cell r="E215">
            <v>35000000</v>
          </cell>
          <cell r="F215">
            <v>17500000</v>
          </cell>
          <cell r="G215">
            <v>0</v>
          </cell>
          <cell r="H215">
            <v>2916667</v>
          </cell>
          <cell r="I215">
            <v>0</v>
          </cell>
        </row>
        <row r="216">
          <cell r="A216" t="str">
            <v>0340|400040</v>
          </cell>
          <cell r="B216" t="str">
            <v>0340</v>
          </cell>
          <cell r="C216">
            <v>400040</v>
          </cell>
          <cell r="D216">
            <v>41426</v>
          </cell>
          <cell r="E216">
            <v>500000</v>
          </cell>
          <cell r="F216">
            <v>250000</v>
          </cell>
          <cell r="G216">
            <v>1453750</v>
          </cell>
          <cell r="H216">
            <v>41667</v>
          </cell>
          <cell r="I216">
            <v>0</v>
          </cell>
        </row>
        <row r="217">
          <cell r="A217" t="str">
            <v>0340|420002</v>
          </cell>
          <cell r="B217" t="str">
            <v>0340</v>
          </cell>
          <cell r="C217">
            <v>420002</v>
          </cell>
          <cell r="D217">
            <v>41426</v>
          </cell>
          <cell r="E217">
            <v>319058927</v>
          </cell>
          <cell r="F217">
            <v>159529464</v>
          </cell>
          <cell r="G217">
            <v>143726168</v>
          </cell>
          <cell r="H217">
            <v>26588244</v>
          </cell>
          <cell r="I217">
            <v>24090500</v>
          </cell>
        </row>
        <row r="218">
          <cell r="A218" t="str">
            <v>0340|420003</v>
          </cell>
          <cell r="B218" t="str">
            <v>0340</v>
          </cell>
          <cell r="C218">
            <v>420003</v>
          </cell>
          <cell r="D218">
            <v>41426</v>
          </cell>
          <cell r="E218">
            <v>990054176</v>
          </cell>
          <cell r="F218">
            <v>495027088</v>
          </cell>
          <cell r="G218">
            <v>468190567</v>
          </cell>
          <cell r="H218">
            <v>82504515</v>
          </cell>
          <cell r="I218">
            <v>68984511</v>
          </cell>
        </row>
        <row r="219">
          <cell r="A219" t="str">
            <v>0340|422002</v>
          </cell>
          <cell r="B219" t="str">
            <v>0340</v>
          </cell>
          <cell r="C219">
            <v>422002</v>
          </cell>
          <cell r="D219">
            <v>41426</v>
          </cell>
          <cell r="E219">
            <v>0</v>
          </cell>
          <cell r="F219">
            <v>0</v>
          </cell>
          <cell r="G219">
            <v>6000</v>
          </cell>
          <cell r="H219">
            <v>0</v>
          </cell>
          <cell r="I219">
            <v>0</v>
          </cell>
        </row>
        <row r="220">
          <cell r="A220" t="str">
            <v>0340|422003</v>
          </cell>
          <cell r="B220" t="str">
            <v>0340</v>
          </cell>
          <cell r="C220">
            <v>422003</v>
          </cell>
          <cell r="D220">
            <v>41426</v>
          </cell>
          <cell r="E220">
            <v>910620</v>
          </cell>
          <cell r="F220">
            <v>455310</v>
          </cell>
          <cell r="G220">
            <v>202350</v>
          </cell>
          <cell r="H220">
            <v>75885</v>
          </cell>
          <cell r="I220">
            <v>0</v>
          </cell>
        </row>
        <row r="221">
          <cell r="A221" t="str">
            <v>0340|431002</v>
          </cell>
          <cell r="B221" t="str">
            <v>0340</v>
          </cell>
          <cell r="C221">
            <v>431002</v>
          </cell>
          <cell r="D221">
            <v>41426</v>
          </cell>
          <cell r="E221">
            <v>3138221</v>
          </cell>
          <cell r="F221">
            <v>1569111</v>
          </cell>
          <cell r="G221">
            <v>6974536</v>
          </cell>
          <cell r="H221">
            <v>261519</v>
          </cell>
          <cell r="I221">
            <v>3336444</v>
          </cell>
        </row>
        <row r="222">
          <cell r="A222" t="str">
            <v>0340|434012</v>
          </cell>
          <cell r="B222" t="str">
            <v>0340</v>
          </cell>
          <cell r="C222">
            <v>434012</v>
          </cell>
          <cell r="D222">
            <v>41426</v>
          </cell>
          <cell r="E222">
            <v>17492266</v>
          </cell>
          <cell r="F222">
            <v>8746133</v>
          </cell>
          <cell r="G222">
            <v>3948804</v>
          </cell>
          <cell r="H222">
            <v>1457689</v>
          </cell>
          <cell r="I222">
            <v>664993</v>
          </cell>
        </row>
        <row r="223">
          <cell r="A223" t="str">
            <v>0340|434013</v>
          </cell>
          <cell r="B223" t="str">
            <v>0340</v>
          </cell>
          <cell r="C223">
            <v>434013</v>
          </cell>
          <cell r="D223">
            <v>41426</v>
          </cell>
          <cell r="E223">
            <v>16108191</v>
          </cell>
          <cell r="F223">
            <v>8054096</v>
          </cell>
          <cell r="G223">
            <v>21901924</v>
          </cell>
          <cell r="H223">
            <v>1342350</v>
          </cell>
          <cell r="I223">
            <v>3002440</v>
          </cell>
        </row>
        <row r="224">
          <cell r="A224" t="str">
            <v>0340|435002</v>
          </cell>
          <cell r="B224" t="str">
            <v>0340</v>
          </cell>
          <cell r="C224">
            <v>435002</v>
          </cell>
          <cell r="D224">
            <v>41426</v>
          </cell>
          <cell r="E224">
            <v>54505900</v>
          </cell>
          <cell r="F224">
            <v>27252950</v>
          </cell>
          <cell r="G224">
            <v>22710167</v>
          </cell>
          <cell r="H224">
            <v>4542158</v>
          </cell>
          <cell r="I224">
            <v>0</v>
          </cell>
        </row>
        <row r="225">
          <cell r="A225" t="str">
            <v>0340|435003</v>
          </cell>
          <cell r="B225" t="str">
            <v>0340</v>
          </cell>
          <cell r="C225">
            <v>435003</v>
          </cell>
          <cell r="D225">
            <v>41426</v>
          </cell>
          <cell r="E225">
            <v>123756772</v>
          </cell>
          <cell r="F225">
            <v>61878386</v>
          </cell>
          <cell r="G225">
            <v>126250500</v>
          </cell>
          <cell r="H225">
            <v>10313064</v>
          </cell>
          <cell r="I225">
            <v>0</v>
          </cell>
        </row>
        <row r="226">
          <cell r="A226" t="str">
            <v>0340|439003</v>
          </cell>
          <cell r="B226" t="str">
            <v>0340</v>
          </cell>
          <cell r="C226">
            <v>439003</v>
          </cell>
          <cell r="D226">
            <v>41426</v>
          </cell>
          <cell r="E226">
            <v>236699275</v>
          </cell>
          <cell r="F226">
            <v>118349638</v>
          </cell>
          <cell r="G226">
            <v>117216041</v>
          </cell>
          <cell r="H226">
            <v>19724940</v>
          </cell>
          <cell r="I226">
            <v>16113026</v>
          </cell>
        </row>
        <row r="227">
          <cell r="A227" t="str">
            <v>0340|439008</v>
          </cell>
          <cell r="B227" t="str">
            <v>0340</v>
          </cell>
          <cell r="C227">
            <v>439008</v>
          </cell>
          <cell r="D227">
            <v>41426</v>
          </cell>
          <cell r="E227">
            <v>65688250</v>
          </cell>
          <cell r="F227">
            <v>32844125</v>
          </cell>
          <cell r="G227">
            <v>38035804</v>
          </cell>
          <cell r="H227">
            <v>5474021</v>
          </cell>
          <cell r="I227">
            <v>6393017</v>
          </cell>
        </row>
        <row r="228">
          <cell r="A228" t="str">
            <v>0340|439203</v>
          </cell>
          <cell r="B228" t="str">
            <v>0340</v>
          </cell>
          <cell r="C228">
            <v>439203</v>
          </cell>
          <cell r="D228">
            <v>41426</v>
          </cell>
          <cell r="E228">
            <v>0</v>
          </cell>
          <cell r="F228">
            <v>0</v>
          </cell>
          <cell r="G228">
            <v>1081000</v>
          </cell>
          <cell r="H228">
            <v>0</v>
          </cell>
          <cell r="I228">
            <v>0</v>
          </cell>
        </row>
        <row r="229">
          <cell r="A229" t="str">
            <v>0340|440002</v>
          </cell>
          <cell r="B229" t="str">
            <v>0340</v>
          </cell>
          <cell r="C229">
            <v>440002</v>
          </cell>
          <cell r="D229">
            <v>41426</v>
          </cell>
          <cell r="E229">
            <v>26588244</v>
          </cell>
          <cell r="F229">
            <v>13294122</v>
          </cell>
          <cell r="G229">
            <v>14124995</v>
          </cell>
          <cell r="H229">
            <v>2215687</v>
          </cell>
          <cell r="I229">
            <v>1590476</v>
          </cell>
        </row>
        <row r="230">
          <cell r="A230" t="str">
            <v>0340|440003</v>
          </cell>
          <cell r="B230" t="str">
            <v>0340</v>
          </cell>
          <cell r="C230">
            <v>440003</v>
          </cell>
          <cell r="D230">
            <v>41426</v>
          </cell>
          <cell r="E230">
            <v>82504515</v>
          </cell>
          <cell r="F230">
            <v>41252258</v>
          </cell>
          <cell r="G230">
            <v>45342286</v>
          </cell>
          <cell r="H230">
            <v>6875377</v>
          </cell>
          <cell r="I230">
            <v>8198874</v>
          </cell>
        </row>
        <row r="231">
          <cell r="A231" t="str">
            <v>0340|446002</v>
          </cell>
          <cell r="B231" t="str">
            <v>0340</v>
          </cell>
          <cell r="C231">
            <v>446002</v>
          </cell>
          <cell r="D231">
            <v>41426</v>
          </cell>
          <cell r="E231">
            <v>19724122</v>
          </cell>
          <cell r="F231">
            <v>9862061</v>
          </cell>
          <cell r="G231">
            <v>2400000</v>
          </cell>
          <cell r="H231">
            <v>1643677</v>
          </cell>
          <cell r="I231">
            <v>400000</v>
          </cell>
        </row>
        <row r="232">
          <cell r="A232" t="str">
            <v>0340|447002</v>
          </cell>
          <cell r="B232" t="str">
            <v>0340</v>
          </cell>
          <cell r="C232">
            <v>447002</v>
          </cell>
          <cell r="D232">
            <v>41426</v>
          </cell>
          <cell r="E232">
            <v>5009225</v>
          </cell>
          <cell r="F232">
            <v>2504613</v>
          </cell>
          <cell r="G232">
            <v>2269326</v>
          </cell>
          <cell r="H232">
            <v>417436</v>
          </cell>
          <cell r="I232">
            <v>378221</v>
          </cell>
        </row>
        <row r="233">
          <cell r="A233" t="str">
            <v>0340|447003</v>
          </cell>
          <cell r="B233" t="str">
            <v>0340</v>
          </cell>
          <cell r="C233">
            <v>447003</v>
          </cell>
          <cell r="D233">
            <v>41426</v>
          </cell>
          <cell r="E233">
            <v>15542532</v>
          </cell>
          <cell r="F233">
            <v>7771266</v>
          </cell>
          <cell r="G233">
            <v>5692704</v>
          </cell>
          <cell r="H233">
            <v>1295211</v>
          </cell>
          <cell r="I233">
            <v>847604</v>
          </cell>
        </row>
        <row r="234">
          <cell r="A234" t="str">
            <v>0340|447012</v>
          </cell>
          <cell r="B234" t="str">
            <v>0340</v>
          </cell>
          <cell r="C234">
            <v>447012</v>
          </cell>
          <cell r="D234">
            <v>41426</v>
          </cell>
          <cell r="E234">
            <v>11805180</v>
          </cell>
          <cell r="F234">
            <v>5902590</v>
          </cell>
          <cell r="G234">
            <v>5348094</v>
          </cell>
          <cell r="H234">
            <v>983765</v>
          </cell>
          <cell r="I234">
            <v>891349</v>
          </cell>
        </row>
        <row r="235">
          <cell r="A235" t="str">
            <v>0340|447013</v>
          </cell>
          <cell r="B235" t="str">
            <v>0340</v>
          </cell>
          <cell r="C235">
            <v>447013</v>
          </cell>
          <cell r="D235">
            <v>41426</v>
          </cell>
          <cell r="E235">
            <v>36632004</v>
          </cell>
          <cell r="F235">
            <v>18316002</v>
          </cell>
          <cell r="G235">
            <v>13415928</v>
          </cell>
          <cell r="H235">
            <v>3052667</v>
          </cell>
          <cell r="I235">
            <v>1997538</v>
          </cell>
        </row>
        <row r="236">
          <cell r="A236" t="str">
            <v>0340|447022</v>
          </cell>
          <cell r="B236" t="str">
            <v>0340</v>
          </cell>
          <cell r="C236">
            <v>447022</v>
          </cell>
          <cell r="D236">
            <v>41426</v>
          </cell>
          <cell r="E236">
            <v>500923</v>
          </cell>
          <cell r="F236">
            <v>250462</v>
          </cell>
          <cell r="G236">
            <v>181036</v>
          </cell>
          <cell r="H236">
            <v>41744</v>
          </cell>
          <cell r="I236">
            <v>30125</v>
          </cell>
        </row>
        <row r="237">
          <cell r="A237" t="str">
            <v>0340|447023</v>
          </cell>
          <cell r="B237" t="str">
            <v>0340</v>
          </cell>
          <cell r="C237">
            <v>447023</v>
          </cell>
          <cell r="D237">
            <v>41426</v>
          </cell>
          <cell r="E237">
            <v>1286250</v>
          </cell>
          <cell r="F237">
            <v>643125</v>
          </cell>
          <cell r="G237">
            <v>970238</v>
          </cell>
          <cell r="H237">
            <v>107187</v>
          </cell>
          <cell r="I237">
            <v>146850</v>
          </cell>
        </row>
        <row r="238">
          <cell r="A238" t="str">
            <v>0340|448002</v>
          </cell>
          <cell r="B238" t="str">
            <v>0340</v>
          </cell>
          <cell r="C238">
            <v>448002</v>
          </cell>
          <cell r="D238">
            <v>41426</v>
          </cell>
          <cell r="E238">
            <v>23871163</v>
          </cell>
          <cell r="F238">
            <v>11935582</v>
          </cell>
          <cell r="G238">
            <v>10752570</v>
          </cell>
          <cell r="H238">
            <v>1989264</v>
          </cell>
          <cell r="I238">
            <v>928000</v>
          </cell>
        </row>
        <row r="239">
          <cell r="A239" t="str">
            <v>0340|448003</v>
          </cell>
          <cell r="B239" t="str">
            <v>0340</v>
          </cell>
          <cell r="C239">
            <v>448003</v>
          </cell>
          <cell r="D239">
            <v>41426</v>
          </cell>
          <cell r="E239">
            <v>61081812</v>
          </cell>
          <cell r="F239">
            <v>30540906</v>
          </cell>
          <cell r="G239">
            <v>16083607</v>
          </cell>
          <cell r="H239">
            <v>5090151</v>
          </cell>
          <cell r="I239">
            <v>1281800</v>
          </cell>
        </row>
        <row r="240">
          <cell r="A240" t="str">
            <v>0340|449022</v>
          </cell>
          <cell r="B240" t="str">
            <v>0340</v>
          </cell>
          <cell r="C240">
            <v>449022</v>
          </cell>
          <cell r="D240">
            <v>41426</v>
          </cell>
          <cell r="E240">
            <v>15840000</v>
          </cell>
          <cell r="F240">
            <v>7920000</v>
          </cell>
          <cell r="G240">
            <v>8304000</v>
          </cell>
          <cell r="H240">
            <v>1320000</v>
          </cell>
          <cell r="I240">
            <v>1287000</v>
          </cell>
        </row>
        <row r="241">
          <cell r="A241" t="str">
            <v>0340|449023</v>
          </cell>
          <cell r="B241" t="str">
            <v>0340</v>
          </cell>
          <cell r="C241">
            <v>449023</v>
          </cell>
          <cell r="D241">
            <v>41426</v>
          </cell>
          <cell r="E241">
            <v>49236000</v>
          </cell>
          <cell r="F241">
            <v>24618000</v>
          </cell>
          <cell r="G241">
            <v>28601000</v>
          </cell>
          <cell r="H241">
            <v>4103000</v>
          </cell>
          <cell r="I241">
            <v>4526000</v>
          </cell>
        </row>
        <row r="242">
          <cell r="A242" t="str">
            <v>0340|449032</v>
          </cell>
          <cell r="B242" t="str">
            <v>0340</v>
          </cell>
          <cell r="C242">
            <v>449032</v>
          </cell>
          <cell r="D242">
            <v>41426</v>
          </cell>
          <cell r="E242">
            <v>795673</v>
          </cell>
          <cell r="F242">
            <v>397837</v>
          </cell>
          <cell r="G242">
            <v>0</v>
          </cell>
          <cell r="H242">
            <v>66307</v>
          </cell>
          <cell r="I242">
            <v>0</v>
          </cell>
        </row>
        <row r="243">
          <cell r="A243" t="str">
            <v>0340|449050</v>
          </cell>
          <cell r="B243" t="str">
            <v>0340</v>
          </cell>
          <cell r="C243">
            <v>449050</v>
          </cell>
          <cell r="D243">
            <v>41426</v>
          </cell>
          <cell r="E243">
            <v>26907540</v>
          </cell>
          <cell r="F243">
            <v>13453770</v>
          </cell>
          <cell r="G243">
            <v>14799982</v>
          </cell>
          <cell r="H243">
            <v>2242295</v>
          </cell>
          <cell r="I243">
            <v>2466667</v>
          </cell>
        </row>
        <row r="244">
          <cell r="A244" t="str">
            <v>0340|449061</v>
          </cell>
          <cell r="B244" t="str">
            <v>0340</v>
          </cell>
          <cell r="C244">
            <v>449061</v>
          </cell>
          <cell r="D244">
            <v>41426</v>
          </cell>
          <cell r="E244">
            <v>9404283</v>
          </cell>
          <cell r="F244">
            <v>4702142</v>
          </cell>
          <cell r="G244">
            <v>4008500</v>
          </cell>
          <cell r="H244">
            <v>783691</v>
          </cell>
          <cell r="I244">
            <v>1581500</v>
          </cell>
        </row>
        <row r="245">
          <cell r="A245" t="str">
            <v>0340|459005</v>
          </cell>
          <cell r="B245" t="str">
            <v>0340</v>
          </cell>
          <cell r="C245">
            <v>459005</v>
          </cell>
          <cell r="D245">
            <v>41426</v>
          </cell>
          <cell r="E245">
            <v>0</v>
          </cell>
          <cell r="F245">
            <v>0</v>
          </cell>
          <cell r="G245">
            <v>1400000</v>
          </cell>
          <cell r="H245">
            <v>0</v>
          </cell>
          <cell r="I245">
            <v>0</v>
          </cell>
        </row>
        <row r="246">
          <cell r="A246" t="str">
            <v>0340|470102</v>
          </cell>
          <cell r="B246" t="str">
            <v>0340</v>
          </cell>
          <cell r="C246">
            <v>470102</v>
          </cell>
          <cell r="D246">
            <v>41426</v>
          </cell>
          <cell r="E246">
            <v>3265014</v>
          </cell>
          <cell r="F246">
            <v>1632507</v>
          </cell>
          <cell r="G246">
            <v>1591500</v>
          </cell>
          <cell r="H246">
            <v>272084</v>
          </cell>
          <cell r="I246">
            <v>270999</v>
          </cell>
        </row>
        <row r="247">
          <cell r="A247" t="str">
            <v>0340|472000</v>
          </cell>
          <cell r="B247" t="str">
            <v>0340</v>
          </cell>
          <cell r="C247">
            <v>472000</v>
          </cell>
          <cell r="D247">
            <v>41426</v>
          </cell>
          <cell r="E247">
            <v>5000000</v>
          </cell>
          <cell r="F247">
            <v>2500000</v>
          </cell>
          <cell r="G247">
            <v>1349539</v>
          </cell>
          <cell r="H247">
            <v>416667</v>
          </cell>
          <cell r="I247">
            <v>0</v>
          </cell>
        </row>
        <row r="248">
          <cell r="A248" t="str">
            <v>0340|473000</v>
          </cell>
          <cell r="B248" t="str">
            <v>0340</v>
          </cell>
          <cell r="C248">
            <v>473000</v>
          </cell>
          <cell r="D248">
            <v>41426</v>
          </cell>
          <cell r="E248">
            <v>8217454</v>
          </cell>
          <cell r="F248">
            <v>4108727</v>
          </cell>
          <cell r="G248">
            <v>6000000</v>
          </cell>
          <cell r="H248">
            <v>684788</v>
          </cell>
          <cell r="I248">
            <v>0</v>
          </cell>
        </row>
        <row r="249">
          <cell r="A249" t="str">
            <v>0340|473120</v>
          </cell>
          <cell r="B249" t="str">
            <v>0340</v>
          </cell>
          <cell r="C249">
            <v>473120</v>
          </cell>
          <cell r="D249">
            <v>41426</v>
          </cell>
          <cell r="E249">
            <v>9365307</v>
          </cell>
          <cell r="F249">
            <v>4682654</v>
          </cell>
          <cell r="G249">
            <v>3753521</v>
          </cell>
          <cell r="H249">
            <v>780443</v>
          </cell>
          <cell r="I249">
            <v>592613</v>
          </cell>
        </row>
        <row r="250">
          <cell r="A250" t="str">
            <v>0340|475003</v>
          </cell>
          <cell r="B250" t="str">
            <v>0340</v>
          </cell>
          <cell r="C250">
            <v>475003</v>
          </cell>
          <cell r="D250">
            <v>41426</v>
          </cell>
          <cell r="E250">
            <v>636275</v>
          </cell>
          <cell r="F250">
            <v>318138</v>
          </cell>
          <cell r="G250">
            <v>0</v>
          </cell>
          <cell r="H250">
            <v>53023</v>
          </cell>
          <cell r="I250">
            <v>0</v>
          </cell>
        </row>
        <row r="251">
          <cell r="A251" t="str">
            <v>0340|475006</v>
          </cell>
          <cell r="B251" t="str">
            <v>0340</v>
          </cell>
          <cell r="C251">
            <v>475006</v>
          </cell>
          <cell r="D251">
            <v>41426</v>
          </cell>
          <cell r="E251">
            <v>2560340</v>
          </cell>
          <cell r="F251">
            <v>1280170</v>
          </cell>
          <cell r="G251">
            <v>1107187</v>
          </cell>
          <cell r="H251">
            <v>213362</v>
          </cell>
          <cell r="I251">
            <v>184531</v>
          </cell>
        </row>
        <row r="252">
          <cell r="A252" t="str">
            <v>0340|476000</v>
          </cell>
          <cell r="B252" t="str">
            <v>0340</v>
          </cell>
          <cell r="C252">
            <v>476000</v>
          </cell>
          <cell r="D252">
            <v>41426</v>
          </cell>
          <cell r="E252">
            <v>26619970</v>
          </cell>
          <cell r="F252">
            <v>13309985</v>
          </cell>
          <cell r="G252">
            <v>2229933</v>
          </cell>
          <cell r="H252">
            <v>2218331</v>
          </cell>
          <cell r="I252">
            <v>23</v>
          </cell>
        </row>
        <row r="253">
          <cell r="A253" t="str">
            <v>0340|476001</v>
          </cell>
          <cell r="B253" t="str">
            <v>0340</v>
          </cell>
          <cell r="C253">
            <v>476001</v>
          </cell>
          <cell r="D253">
            <v>41426</v>
          </cell>
          <cell r="E253">
            <v>3284225</v>
          </cell>
          <cell r="F253">
            <v>1642113</v>
          </cell>
          <cell r="G253">
            <v>5525000</v>
          </cell>
          <cell r="H253">
            <v>273686</v>
          </cell>
          <cell r="I253">
            <v>0</v>
          </cell>
        </row>
        <row r="254">
          <cell r="A254" t="str">
            <v>0340|476201</v>
          </cell>
          <cell r="B254" t="str">
            <v>0340</v>
          </cell>
          <cell r="C254">
            <v>476201</v>
          </cell>
          <cell r="D254">
            <v>41426</v>
          </cell>
          <cell r="E254">
            <v>538871</v>
          </cell>
          <cell r="F254">
            <v>269436</v>
          </cell>
          <cell r="G254">
            <v>0</v>
          </cell>
          <cell r="H254">
            <v>44906</v>
          </cell>
          <cell r="I254">
            <v>0</v>
          </cell>
        </row>
        <row r="255">
          <cell r="A255" t="str">
            <v>0340|476220</v>
          </cell>
          <cell r="B255" t="str">
            <v>0340</v>
          </cell>
          <cell r="C255">
            <v>476220</v>
          </cell>
          <cell r="D255">
            <v>41426</v>
          </cell>
          <cell r="E255">
            <v>12695611</v>
          </cell>
          <cell r="F255">
            <v>6347806</v>
          </cell>
          <cell r="G255">
            <v>34388767</v>
          </cell>
          <cell r="H255">
            <v>1057968</v>
          </cell>
          <cell r="I255">
            <v>9574376</v>
          </cell>
        </row>
        <row r="256">
          <cell r="A256" t="str">
            <v>0360|400040</v>
          </cell>
          <cell r="B256" t="str">
            <v>0360</v>
          </cell>
          <cell r="C256">
            <v>400040</v>
          </cell>
          <cell r="D256">
            <v>41426</v>
          </cell>
          <cell r="E256">
            <v>42000000</v>
          </cell>
          <cell r="F256">
            <v>21000000</v>
          </cell>
          <cell r="G256">
            <v>6651761</v>
          </cell>
          <cell r="H256">
            <v>3500000</v>
          </cell>
          <cell r="I256">
            <v>0</v>
          </cell>
        </row>
        <row r="257">
          <cell r="A257" t="str">
            <v>0360|405200</v>
          </cell>
          <cell r="B257" t="str">
            <v>0360</v>
          </cell>
          <cell r="C257">
            <v>405200</v>
          </cell>
          <cell r="D257">
            <v>41426</v>
          </cell>
          <cell r="E257">
            <v>300000000</v>
          </cell>
          <cell r="F257">
            <v>150000000</v>
          </cell>
          <cell r="G257">
            <v>171291572</v>
          </cell>
          <cell r="H257">
            <v>25000000</v>
          </cell>
          <cell r="I257">
            <v>-8914393</v>
          </cell>
        </row>
        <row r="258">
          <cell r="A258" t="str">
            <v>0360|405253</v>
          </cell>
          <cell r="B258" t="str">
            <v>0360</v>
          </cell>
          <cell r="C258">
            <v>405253</v>
          </cell>
          <cell r="D258">
            <v>41426</v>
          </cell>
          <cell r="E258">
            <v>158000000</v>
          </cell>
          <cell r="F258">
            <v>79000000</v>
          </cell>
          <cell r="G258">
            <v>66452576</v>
          </cell>
          <cell r="H258">
            <v>13166667</v>
          </cell>
          <cell r="I258">
            <v>25116000</v>
          </cell>
        </row>
        <row r="259">
          <cell r="A259" t="str">
            <v>0360|406000</v>
          </cell>
          <cell r="B259" t="str">
            <v>0360</v>
          </cell>
          <cell r="C259">
            <v>406000</v>
          </cell>
          <cell r="D259">
            <v>41426</v>
          </cell>
          <cell r="E259">
            <v>59000000</v>
          </cell>
          <cell r="F259">
            <v>29500000</v>
          </cell>
          <cell r="G259">
            <v>0</v>
          </cell>
          <cell r="H259">
            <v>4916667</v>
          </cell>
          <cell r="I259">
            <v>0</v>
          </cell>
        </row>
        <row r="260">
          <cell r="A260" t="str">
            <v>0360|455001</v>
          </cell>
          <cell r="B260" t="str">
            <v>0360</v>
          </cell>
          <cell r="C260">
            <v>455001</v>
          </cell>
          <cell r="D260">
            <v>41426</v>
          </cell>
          <cell r="E260">
            <v>3000000</v>
          </cell>
          <cell r="F260">
            <v>1500000</v>
          </cell>
          <cell r="G260">
            <v>0</v>
          </cell>
          <cell r="H260">
            <v>250000</v>
          </cell>
          <cell r="I260">
            <v>0</v>
          </cell>
        </row>
        <row r="261">
          <cell r="A261" t="str">
            <v>0370|211104</v>
          </cell>
          <cell r="B261" t="str">
            <v>0370</v>
          </cell>
          <cell r="C261">
            <v>211104</v>
          </cell>
          <cell r="D261">
            <v>41426</v>
          </cell>
          <cell r="E261">
            <v>1933480791</v>
          </cell>
          <cell r="F261">
            <v>966740396</v>
          </cell>
          <cell r="G261">
            <v>856777902</v>
          </cell>
          <cell r="H261">
            <v>161123400</v>
          </cell>
          <cell r="I261">
            <v>169185627</v>
          </cell>
        </row>
        <row r="262">
          <cell r="A262" t="str">
            <v>0370|400040</v>
          </cell>
          <cell r="B262" t="str">
            <v>0370</v>
          </cell>
          <cell r="C262">
            <v>400040</v>
          </cell>
          <cell r="D262">
            <v>41426</v>
          </cell>
          <cell r="E262">
            <v>248000000</v>
          </cell>
          <cell r="F262">
            <v>124000000</v>
          </cell>
          <cell r="G262">
            <v>148742510</v>
          </cell>
          <cell r="H262">
            <v>20666667</v>
          </cell>
          <cell r="I262">
            <v>2518904</v>
          </cell>
        </row>
        <row r="263">
          <cell r="A263" t="str">
            <v>0370|405200</v>
          </cell>
          <cell r="B263" t="str">
            <v>0370</v>
          </cell>
          <cell r="C263">
            <v>405200</v>
          </cell>
          <cell r="D263">
            <v>41426</v>
          </cell>
          <cell r="E263">
            <v>10000000</v>
          </cell>
          <cell r="F263">
            <v>5000000</v>
          </cell>
          <cell r="G263">
            <v>5922060</v>
          </cell>
          <cell r="H263">
            <v>833333</v>
          </cell>
          <cell r="I263">
            <v>0</v>
          </cell>
        </row>
        <row r="264">
          <cell r="A264" t="str">
            <v>0370|406000</v>
          </cell>
          <cell r="B264" t="str">
            <v>0370</v>
          </cell>
          <cell r="C264">
            <v>406000</v>
          </cell>
          <cell r="D264">
            <v>41426</v>
          </cell>
          <cell r="E264">
            <v>1270500000</v>
          </cell>
          <cell r="F264">
            <v>635250000</v>
          </cell>
          <cell r="G264">
            <v>319867775</v>
          </cell>
          <cell r="H264">
            <v>105875000</v>
          </cell>
          <cell r="I264">
            <v>0</v>
          </cell>
        </row>
        <row r="265">
          <cell r="A265" t="str">
            <v>0370|420000</v>
          </cell>
          <cell r="B265" t="str">
            <v>0370</v>
          </cell>
          <cell r="C265">
            <v>420000</v>
          </cell>
          <cell r="D265">
            <v>41426</v>
          </cell>
          <cell r="E265">
            <v>1269353983</v>
          </cell>
          <cell r="F265">
            <v>634676992</v>
          </cell>
          <cell r="G265">
            <v>608128205</v>
          </cell>
          <cell r="H265">
            <v>105779499</v>
          </cell>
          <cell r="I265">
            <v>131841263</v>
          </cell>
        </row>
        <row r="266">
          <cell r="A266" t="str">
            <v>0370|422000</v>
          </cell>
          <cell r="B266" t="str">
            <v>0370</v>
          </cell>
          <cell r="C266">
            <v>422000</v>
          </cell>
          <cell r="D266">
            <v>41426</v>
          </cell>
          <cell r="E266">
            <v>2775204</v>
          </cell>
          <cell r="F266">
            <v>1387602</v>
          </cell>
          <cell r="G266">
            <v>914450</v>
          </cell>
          <cell r="H266">
            <v>231267</v>
          </cell>
          <cell r="I266">
            <v>0</v>
          </cell>
        </row>
        <row r="267">
          <cell r="A267" t="str">
            <v>0370|431000</v>
          </cell>
          <cell r="B267" t="str">
            <v>0370</v>
          </cell>
          <cell r="C267">
            <v>431000</v>
          </cell>
          <cell r="D267">
            <v>41426</v>
          </cell>
          <cell r="E267">
            <v>110000000</v>
          </cell>
          <cell r="F267">
            <v>55000000</v>
          </cell>
          <cell r="G267">
            <v>99949661</v>
          </cell>
          <cell r="H267">
            <v>9166667</v>
          </cell>
          <cell r="I267">
            <v>1823716</v>
          </cell>
        </row>
        <row r="268">
          <cell r="A268" t="str">
            <v>0370|431001</v>
          </cell>
          <cell r="B268" t="str">
            <v>0370</v>
          </cell>
          <cell r="C268">
            <v>431001</v>
          </cell>
          <cell r="D268">
            <v>41426</v>
          </cell>
          <cell r="E268">
            <v>0</v>
          </cell>
          <cell r="F268">
            <v>0</v>
          </cell>
          <cell r="G268">
            <v>580992</v>
          </cell>
          <cell r="H268">
            <v>0</v>
          </cell>
          <cell r="I268">
            <v>0</v>
          </cell>
        </row>
        <row r="269">
          <cell r="A269" t="str">
            <v>0370|431002</v>
          </cell>
          <cell r="B269" t="str">
            <v>0370</v>
          </cell>
          <cell r="C269">
            <v>431002</v>
          </cell>
          <cell r="D269">
            <v>41426</v>
          </cell>
          <cell r="E269">
            <v>112400</v>
          </cell>
          <cell r="F269">
            <v>56200</v>
          </cell>
          <cell r="G269">
            <v>0</v>
          </cell>
          <cell r="H269">
            <v>9367</v>
          </cell>
          <cell r="I269">
            <v>0</v>
          </cell>
        </row>
        <row r="270">
          <cell r="A270" t="str">
            <v>0370|434010</v>
          </cell>
          <cell r="B270" t="str">
            <v>0370</v>
          </cell>
          <cell r="C270">
            <v>434010</v>
          </cell>
          <cell r="D270">
            <v>41426</v>
          </cell>
          <cell r="E270">
            <v>4740115</v>
          </cell>
          <cell r="F270">
            <v>2370058</v>
          </cell>
          <cell r="G270">
            <v>60979926</v>
          </cell>
          <cell r="H270">
            <v>395010</v>
          </cell>
          <cell r="I270">
            <v>15379955</v>
          </cell>
        </row>
        <row r="271">
          <cell r="A271" t="str">
            <v>0370|435000</v>
          </cell>
          <cell r="B271" t="str">
            <v>0370</v>
          </cell>
          <cell r="C271">
            <v>435000</v>
          </cell>
          <cell r="D271">
            <v>41426</v>
          </cell>
          <cell r="E271">
            <v>112351622</v>
          </cell>
          <cell r="F271">
            <v>56175811</v>
          </cell>
          <cell r="G271">
            <v>121748464</v>
          </cell>
          <cell r="H271">
            <v>9362635</v>
          </cell>
          <cell r="I271">
            <v>0</v>
          </cell>
        </row>
        <row r="272">
          <cell r="A272" t="str">
            <v>0370|439000</v>
          </cell>
          <cell r="B272" t="str">
            <v>0370</v>
          </cell>
          <cell r="C272">
            <v>439000</v>
          </cell>
          <cell r="D272">
            <v>41426</v>
          </cell>
          <cell r="E272">
            <v>216160722</v>
          </cell>
          <cell r="F272">
            <v>108080361</v>
          </cell>
          <cell r="G272">
            <v>113061294</v>
          </cell>
          <cell r="H272">
            <v>18013393</v>
          </cell>
          <cell r="I272">
            <v>28502744</v>
          </cell>
        </row>
        <row r="273">
          <cell r="A273" t="str">
            <v>0370|439100</v>
          </cell>
          <cell r="B273" t="str">
            <v>0370</v>
          </cell>
          <cell r="C273">
            <v>439100</v>
          </cell>
          <cell r="D273">
            <v>41426</v>
          </cell>
          <cell r="E273">
            <v>0</v>
          </cell>
          <cell r="F273">
            <v>0</v>
          </cell>
          <cell r="G273">
            <v>2000000</v>
          </cell>
          <cell r="H273">
            <v>0</v>
          </cell>
          <cell r="I273">
            <v>0</v>
          </cell>
        </row>
        <row r="274">
          <cell r="A274" t="str">
            <v>0370|439200</v>
          </cell>
          <cell r="B274" t="str">
            <v>0370</v>
          </cell>
          <cell r="C274">
            <v>439200</v>
          </cell>
          <cell r="D274">
            <v>41426</v>
          </cell>
          <cell r="E274">
            <v>20000</v>
          </cell>
          <cell r="F274">
            <v>10000</v>
          </cell>
          <cell r="G274">
            <v>0</v>
          </cell>
          <cell r="H274">
            <v>1667</v>
          </cell>
          <cell r="I274">
            <v>0</v>
          </cell>
        </row>
        <row r="275">
          <cell r="A275" t="str">
            <v>0370|440000</v>
          </cell>
          <cell r="B275" t="str">
            <v>0370</v>
          </cell>
          <cell r="C275">
            <v>440000</v>
          </cell>
          <cell r="D275">
            <v>41426</v>
          </cell>
          <cell r="E275">
            <v>105779499</v>
          </cell>
          <cell r="F275">
            <v>52889750</v>
          </cell>
          <cell r="G275">
            <v>57740775</v>
          </cell>
          <cell r="H275">
            <v>8814959</v>
          </cell>
          <cell r="I275">
            <v>11699467</v>
          </cell>
        </row>
        <row r="276">
          <cell r="A276" t="str">
            <v>0370|446000</v>
          </cell>
          <cell r="B276" t="str">
            <v>0370</v>
          </cell>
          <cell r="C276">
            <v>446000</v>
          </cell>
          <cell r="D276">
            <v>41426</v>
          </cell>
          <cell r="E276">
            <v>48526955</v>
          </cell>
          <cell r="F276">
            <v>24263478</v>
          </cell>
          <cell r="G276">
            <v>23100000</v>
          </cell>
          <cell r="H276">
            <v>4043913</v>
          </cell>
          <cell r="I276">
            <v>3875000</v>
          </cell>
        </row>
        <row r="277">
          <cell r="A277" t="str">
            <v>0370|447000</v>
          </cell>
          <cell r="B277" t="str">
            <v>0370</v>
          </cell>
          <cell r="C277">
            <v>447000</v>
          </cell>
          <cell r="D277">
            <v>41426</v>
          </cell>
          <cell r="E277">
            <v>19928858</v>
          </cell>
          <cell r="F277">
            <v>9964429</v>
          </cell>
          <cell r="G277">
            <v>9990542</v>
          </cell>
          <cell r="H277">
            <v>1660738</v>
          </cell>
          <cell r="I277">
            <v>2211120</v>
          </cell>
        </row>
        <row r="278">
          <cell r="A278" t="str">
            <v>0370|447010</v>
          </cell>
          <cell r="B278" t="str">
            <v>0370</v>
          </cell>
          <cell r="C278">
            <v>447010</v>
          </cell>
          <cell r="D278">
            <v>41426</v>
          </cell>
          <cell r="E278">
            <v>46966097</v>
          </cell>
          <cell r="F278">
            <v>23483049</v>
          </cell>
          <cell r="G278">
            <v>23544560</v>
          </cell>
          <cell r="H278">
            <v>3913842</v>
          </cell>
          <cell r="I278">
            <v>5210902</v>
          </cell>
        </row>
        <row r="279">
          <cell r="A279" t="str">
            <v>0370|447020</v>
          </cell>
          <cell r="B279" t="str">
            <v>0370</v>
          </cell>
          <cell r="C279">
            <v>447020</v>
          </cell>
          <cell r="D279">
            <v>41426</v>
          </cell>
          <cell r="E279">
            <v>1992886</v>
          </cell>
          <cell r="F279">
            <v>996443</v>
          </cell>
          <cell r="G279">
            <v>816313</v>
          </cell>
          <cell r="H279">
            <v>166074</v>
          </cell>
          <cell r="I279">
            <v>142721</v>
          </cell>
        </row>
        <row r="280">
          <cell r="A280" t="str">
            <v>0370|448000</v>
          </cell>
          <cell r="B280" t="str">
            <v>0370</v>
          </cell>
          <cell r="C280">
            <v>448000</v>
          </cell>
          <cell r="D280">
            <v>41426</v>
          </cell>
          <cell r="E280">
            <v>119525707</v>
          </cell>
          <cell r="F280">
            <v>59762854</v>
          </cell>
          <cell r="G280">
            <v>45486832</v>
          </cell>
          <cell r="H280">
            <v>9960476</v>
          </cell>
          <cell r="I280">
            <v>3982600</v>
          </cell>
        </row>
        <row r="281">
          <cell r="A281" t="str">
            <v>0370|448001</v>
          </cell>
          <cell r="B281" t="str">
            <v>0370</v>
          </cell>
          <cell r="C281">
            <v>448001</v>
          </cell>
          <cell r="D281">
            <v>41426</v>
          </cell>
          <cell r="E281">
            <v>0</v>
          </cell>
          <cell r="F281">
            <v>0</v>
          </cell>
          <cell r="G281">
            <v>20555889</v>
          </cell>
          <cell r="H281">
            <v>0</v>
          </cell>
          <cell r="I281">
            <v>6831026</v>
          </cell>
        </row>
        <row r="282">
          <cell r="A282" t="str">
            <v>0370|449020</v>
          </cell>
          <cell r="B282" t="str">
            <v>0370</v>
          </cell>
          <cell r="C282">
            <v>449020</v>
          </cell>
          <cell r="D282">
            <v>41426</v>
          </cell>
          <cell r="E282">
            <v>106920000</v>
          </cell>
          <cell r="F282">
            <v>53460000</v>
          </cell>
          <cell r="G282">
            <v>61168000</v>
          </cell>
          <cell r="H282">
            <v>8910000</v>
          </cell>
          <cell r="I282">
            <v>14849000</v>
          </cell>
        </row>
        <row r="283">
          <cell r="A283" t="str">
            <v>0370|449032</v>
          </cell>
          <cell r="B283" t="str">
            <v>0370</v>
          </cell>
          <cell r="C283">
            <v>449032</v>
          </cell>
          <cell r="D283">
            <v>41426</v>
          </cell>
          <cell r="E283">
            <v>10335790</v>
          </cell>
          <cell r="F283">
            <v>5167895</v>
          </cell>
          <cell r="G283">
            <v>4535500</v>
          </cell>
          <cell r="H283">
            <v>861316</v>
          </cell>
          <cell r="I283">
            <v>0</v>
          </cell>
        </row>
        <row r="284">
          <cell r="A284" t="str">
            <v>0370|449060</v>
          </cell>
          <cell r="B284" t="str">
            <v>0370</v>
          </cell>
          <cell r="C284">
            <v>449060</v>
          </cell>
          <cell r="D284">
            <v>41426</v>
          </cell>
          <cell r="E284">
            <v>8000000</v>
          </cell>
          <cell r="F284">
            <v>4000000</v>
          </cell>
          <cell r="G284">
            <v>8607764</v>
          </cell>
          <cell r="H284">
            <v>666667</v>
          </cell>
          <cell r="I284">
            <v>0</v>
          </cell>
        </row>
        <row r="285">
          <cell r="A285" t="str">
            <v>0370|449061</v>
          </cell>
          <cell r="B285" t="str">
            <v>0370</v>
          </cell>
          <cell r="C285">
            <v>449061</v>
          </cell>
          <cell r="D285">
            <v>41426</v>
          </cell>
          <cell r="E285">
            <v>18909529</v>
          </cell>
          <cell r="F285">
            <v>9454765</v>
          </cell>
          <cell r="G285">
            <v>9315800</v>
          </cell>
          <cell r="H285">
            <v>1575795</v>
          </cell>
          <cell r="I285">
            <v>675600</v>
          </cell>
        </row>
        <row r="286">
          <cell r="A286" t="str">
            <v>0370|451000</v>
          </cell>
          <cell r="B286" t="str">
            <v>0370</v>
          </cell>
          <cell r="C286">
            <v>451000</v>
          </cell>
          <cell r="D286">
            <v>41426</v>
          </cell>
          <cell r="E286">
            <v>12753021</v>
          </cell>
          <cell r="F286">
            <v>6376511</v>
          </cell>
          <cell r="G286">
            <v>875000</v>
          </cell>
          <cell r="H286">
            <v>1062752</v>
          </cell>
          <cell r="I286">
            <v>0</v>
          </cell>
        </row>
        <row r="287">
          <cell r="A287" t="str">
            <v>0370|452000</v>
          </cell>
          <cell r="B287" t="str">
            <v>0370</v>
          </cell>
          <cell r="C287">
            <v>452000</v>
          </cell>
          <cell r="D287">
            <v>41426</v>
          </cell>
          <cell r="E287">
            <v>235000000</v>
          </cell>
          <cell r="F287">
            <v>117500000</v>
          </cell>
          <cell r="G287">
            <v>54915240</v>
          </cell>
          <cell r="H287">
            <v>19583333</v>
          </cell>
          <cell r="I287">
            <v>28130300</v>
          </cell>
        </row>
        <row r="288">
          <cell r="A288" t="str">
            <v>0370|452001</v>
          </cell>
          <cell r="B288" t="str">
            <v>0370</v>
          </cell>
          <cell r="C288">
            <v>452001</v>
          </cell>
          <cell r="D288">
            <v>41426</v>
          </cell>
          <cell r="E288">
            <v>9000000</v>
          </cell>
          <cell r="F288">
            <v>4500000</v>
          </cell>
          <cell r="G288">
            <v>317900</v>
          </cell>
          <cell r="H288">
            <v>750000</v>
          </cell>
          <cell r="I288">
            <v>0</v>
          </cell>
        </row>
        <row r="289">
          <cell r="A289" t="str">
            <v>0370|455000</v>
          </cell>
          <cell r="B289" t="str">
            <v>0370</v>
          </cell>
          <cell r="C289">
            <v>455000</v>
          </cell>
          <cell r="D289">
            <v>41426</v>
          </cell>
          <cell r="E289">
            <v>32000000</v>
          </cell>
          <cell r="F289">
            <v>16000000</v>
          </cell>
          <cell r="G289">
            <v>8282749</v>
          </cell>
          <cell r="H289">
            <v>2666667</v>
          </cell>
          <cell r="I289">
            <v>2082140</v>
          </cell>
        </row>
        <row r="290">
          <cell r="A290" t="str">
            <v>0370|455001</v>
          </cell>
          <cell r="B290" t="str">
            <v>0370</v>
          </cell>
          <cell r="C290">
            <v>455001</v>
          </cell>
          <cell r="D290">
            <v>41426</v>
          </cell>
          <cell r="E290">
            <v>8000000</v>
          </cell>
          <cell r="F290">
            <v>4000000</v>
          </cell>
          <cell r="G290">
            <v>6555000</v>
          </cell>
          <cell r="H290">
            <v>666667</v>
          </cell>
          <cell r="I290">
            <v>0</v>
          </cell>
        </row>
        <row r="291">
          <cell r="A291" t="str">
            <v>0370|459000</v>
          </cell>
          <cell r="B291" t="str">
            <v>0370</v>
          </cell>
          <cell r="C291">
            <v>459000</v>
          </cell>
          <cell r="D291">
            <v>41426</v>
          </cell>
          <cell r="E291">
            <v>696262</v>
          </cell>
          <cell r="F291">
            <v>348131</v>
          </cell>
          <cell r="G291">
            <v>1049760</v>
          </cell>
          <cell r="H291">
            <v>58022</v>
          </cell>
          <cell r="I291">
            <v>0</v>
          </cell>
        </row>
        <row r="292">
          <cell r="A292" t="str">
            <v>0370|470102</v>
          </cell>
          <cell r="B292" t="str">
            <v>0370</v>
          </cell>
          <cell r="C292">
            <v>470102</v>
          </cell>
          <cell r="D292">
            <v>41426</v>
          </cell>
          <cell r="E292">
            <v>16696731</v>
          </cell>
          <cell r="F292">
            <v>8348366</v>
          </cell>
          <cell r="G292">
            <v>1168341</v>
          </cell>
          <cell r="H292">
            <v>1391395</v>
          </cell>
          <cell r="I292">
            <v>155499</v>
          </cell>
        </row>
        <row r="293">
          <cell r="A293" t="str">
            <v>0370|471000</v>
          </cell>
          <cell r="B293" t="str">
            <v>0370</v>
          </cell>
          <cell r="C293">
            <v>471000</v>
          </cell>
          <cell r="D293">
            <v>41426</v>
          </cell>
          <cell r="E293">
            <v>19197800</v>
          </cell>
          <cell r="F293">
            <v>9598900</v>
          </cell>
          <cell r="G293">
            <v>16490495</v>
          </cell>
          <cell r="H293">
            <v>1599817</v>
          </cell>
          <cell r="I293">
            <v>3250480</v>
          </cell>
        </row>
        <row r="294">
          <cell r="A294" t="str">
            <v>0370|473000</v>
          </cell>
          <cell r="B294" t="str">
            <v>0370</v>
          </cell>
          <cell r="C294">
            <v>473000</v>
          </cell>
          <cell r="D294">
            <v>41426</v>
          </cell>
          <cell r="E294">
            <v>76088</v>
          </cell>
          <cell r="F294">
            <v>38044</v>
          </cell>
          <cell r="G294">
            <v>15000</v>
          </cell>
          <cell r="H294">
            <v>6341</v>
          </cell>
          <cell r="I294">
            <v>0</v>
          </cell>
        </row>
        <row r="295">
          <cell r="A295" t="str">
            <v>0370|475003</v>
          </cell>
          <cell r="B295" t="str">
            <v>0370</v>
          </cell>
          <cell r="C295">
            <v>475003</v>
          </cell>
          <cell r="D295">
            <v>41426</v>
          </cell>
          <cell r="E295">
            <v>97888</v>
          </cell>
          <cell r="F295">
            <v>48944</v>
          </cell>
          <cell r="G295">
            <v>0</v>
          </cell>
          <cell r="H295">
            <v>8157</v>
          </cell>
          <cell r="I295">
            <v>0</v>
          </cell>
        </row>
        <row r="296">
          <cell r="A296" t="str">
            <v>0370|476000</v>
          </cell>
          <cell r="B296" t="str">
            <v>0370</v>
          </cell>
          <cell r="C296">
            <v>476000</v>
          </cell>
          <cell r="D296">
            <v>41426</v>
          </cell>
          <cell r="E296">
            <v>15904154</v>
          </cell>
          <cell r="F296">
            <v>7952077</v>
          </cell>
          <cell r="G296">
            <v>4970579</v>
          </cell>
          <cell r="H296">
            <v>1325346</v>
          </cell>
          <cell r="I296">
            <v>1023000</v>
          </cell>
        </row>
        <row r="297">
          <cell r="A297" t="str">
            <v>0370|476220</v>
          </cell>
          <cell r="B297" t="str">
            <v>0370</v>
          </cell>
          <cell r="C297">
            <v>476220</v>
          </cell>
          <cell r="D297">
            <v>41426</v>
          </cell>
          <cell r="E297">
            <v>30257120</v>
          </cell>
          <cell r="F297">
            <v>15128560</v>
          </cell>
          <cell r="G297">
            <v>12430467</v>
          </cell>
          <cell r="H297">
            <v>2521427</v>
          </cell>
          <cell r="I297">
            <v>0</v>
          </cell>
        </row>
        <row r="298">
          <cell r="A298" t="str">
            <v>0380|211104</v>
          </cell>
          <cell r="B298" t="str">
            <v>0380</v>
          </cell>
          <cell r="C298">
            <v>211104</v>
          </cell>
          <cell r="D298">
            <v>41426</v>
          </cell>
          <cell r="E298">
            <v>67230024</v>
          </cell>
          <cell r="F298">
            <v>33615012</v>
          </cell>
          <cell r="G298">
            <v>9374345</v>
          </cell>
          <cell r="H298">
            <v>5602502</v>
          </cell>
          <cell r="I298">
            <v>1503726</v>
          </cell>
        </row>
        <row r="299">
          <cell r="A299" t="str">
            <v>0380|400040</v>
          </cell>
          <cell r="B299" t="str">
            <v>0380</v>
          </cell>
          <cell r="C299">
            <v>400040</v>
          </cell>
          <cell r="D299">
            <v>41426</v>
          </cell>
          <cell r="E299">
            <v>48000000</v>
          </cell>
          <cell r="F299">
            <v>24000000</v>
          </cell>
          <cell r="G299">
            <v>12935815</v>
          </cell>
          <cell r="H299">
            <v>4000000</v>
          </cell>
          <cell r="I299">
            <v>0</v>
          </cell>
        </row>
        <row r="300">
          <cell r="A300" t="str">
            <v>0380|405200</v>
          </cell>
          <cell r="B300" t="str">
            <v>0380</v>
          </cell>
          <cell r="C300">
            <v>405200</v>
          </cell>
          <cell r="D300">
            <v>41426</v>
          </cell>
          <cell r="E300">
            <v>0</v>
          </cell>
          <cell r="F300">
            <v>0</v>
          </cell>
          <cell r="G300">
            <v>204392</v>
          </cell>
          <cell r="H300">
            <v>0</v>
          </cell>
          <cell r="I300">
            <v>0</v>
          </cell>
        </row>
        <row r="301">
          <cell r="A301" t="str">
            <v>0380|406000</v>
          </cell>
          <cell r="B301" t="str">
            <v>0380</v>
          </cell>
          <cell r="C301">
            <v>406000</v>
          </cell>
          <cell r="D301">
            <v>41426</v>
          </cell>
          <cell r="E301">
            <v>50000000</v>
          </cell>
          <cell r="F301">
            <v>25000000</v>
          </cell>
          <cell r="G301">
            <v>37116000</v>
          </cell>
          <cell r="H301">
            <v>4166667</v>
          </cell>
          <cell r="I301">
            <v>0</v>
          </cell>
        </row>
        <row r="302">
          <cell r="A302" t="str">
            <v>0380|420000</v>
          </cell>
          <cell r="B302" t="str">
            <v>0380</v>
          </cell>
          <cell r="C302">
            <v>420000</v>
          </cell>
          <cell r="D302">
            <v>41426</v>
          </cell>
          <cell r="E302">
            <v>1194705931</v>
          </cell>
          <cell r="F302">
            <v>597352966</v>
          </cell>
          <cell r="G302">
            <v>538646355</v>
          </cell>
          <cell r="H302">
            <v>99558828</v>
          </cell>
          <cell r="I302">
            <v>92910199</v>
          </cell>
        </row>
        <row r="303">
          <cell r="A303" t="str">
            <v>0380|422000</v>
          </cell>
          <cell r="B303" t="str">
            <v>0380</v>
          </cell>
          <cell r="C303">
            <v>422000</v>
          </cell>
          <cell r="D303">
            <v>41426</v>
          </cell>
          <cell r="E303">
            <v>1670738</v>
          </cell>
          <cell r="F303">
            <v>835369</v>
          </cell>
          <cell r="G303">
            <v>1891550</v>
          </cell>
          <cell r="H303">
            <v>139228</v>
          </cell>
          <cell r="I303">
            <v>0</v>
          </cell>
        </row>
        <row r="304">
          <cell r="A304" t="str">
            <v>0380|431000</v>
          </cell>
          <cell r="B304" t="str">
            <v>0380</v>
          </cell>
          <cell r="C304">
            <v>431000</v>
          </cell>
          <cell r="D304">
            <v>41426</v>
          </cell>
          <cell r="E304">
            <v>130000000</v>
          </cell>
          <cell r="F304">
            <v>65000000</v>
          </cell>
          <cell r="G304">
            <v>75961545</v>
          </cell>
          <cell r="H304">
            <v>10833333</v>
          </cell>
          <cell r="I304">
            <v>1471952</v>
          </cell>
        </row>
        <row r="305">
          <cell r="A305" t="str">
            <v>0380|434010</v>
          </cell>
          <cell r="B305" t="str">
            <v>0380</v>
          </cell>
          <cell r="C305">
            <v>434010</v>
          </cell>
          <cell r="D305">
            <v>41426</v>
          </cell>
          <cell r="E305">
            <v>0</v>
          </cell>
          <cell r="F305">
            <v>0</v>
          </cell>
          <cell r="G305">
            <v>49092382</v>
          </cell>
          <cell r="H305">
            <v>0</v>
          </cell>
          <cell r="I305">
            <v>9227973</v>
          </cell>
        </row>
        <row r="306">
          <cell r="A306" t="str">
            <v>0380|435000</v>
          </cell>
          <cell r="B306" t="str">
            <v>0380</v>
          </cell>
          <cell r="C306">
            <v>435000</v>
          </cell>
          <cell r="D306">
            <v>41426</v>
          </cell>
          <cell r="E306">
            <v>106130951</v>
          </cell>
          <cell r="F306">
            <v>53065476</v>
          </cell>
          <cell r="G306">
            <v>105245968</v>
          </cell>
          <cell r="H306">
            <v>8844246</v>
          </cell>
          <cell r="I306">
            <v>0</v>
          </cell>
        </row>
        <row r="307">
          <cell r="A307" t="str">
            <v>0380|439000</v>
          </cell>
          <cell r="B307" t="str">
            <v>0380</v>
          </cell>
          <cell r="C307">
            <v>439000</v>
          </cell>
          <cell r="D307">
            <v>41426</v>
          </cell>
          <cell r="E307">
            <v>216160722</v>
          </cell>
          <cell r="F307">
            <v>108080361</v>
          </cell>
          <cell r="G307">
            <v>91033248</v>
          </cell>
          <cell r="H307">
            <v>18013393</v>
          </cell>
          <cell r="I307">
            <v>17101647</v>
          </cell>
        </row>
        <row r="308">
          <cell r="A308" t="str">
            <v>0380|439200</v>
          </cell>
          <cell r="B308" t="str">
            <v>0380</v>
          </cell>
          <cell r="C308">
            <v>439200</v>
          </cell>
          <cell r="D308">
            <v>41426</v>
          </cell>
          <cell r="E308">
            <v>240000</v>
          </cell>
          <cell r="F308">
            <v>120000</v>
          </cell>
          <cell r="G308">
            <v>0</v>
          </cell>
          <cell r="H308">
            <v>20000</v>
          </cell>
          <cell r="I308">
            <v>0</v>
          </cell>
        </row>
        <row r="309">
          <cell r="A309" t="str">
            <v>0380|440000</v>
          </cell>
          <cell r="B309" t="str">
            <v>0380</v>
          </cell>
          <cell r="C309">
            <v>440000</v>
          </cell>
          <cell r="D309">
            <v>41426</v>
          </cell>
          <cell r="E309">
            <v>99558828</v>
          </cell>
          <cell r="F309">
            <v>49779414</v>
          </cell>
          <cell r="G309">
            <v>48473774</v>
          </cell>
          <cell r="H309">
            <v>8296569</v>
          </cell>
          <cell r="I309">
            <v>7019680</v>
          </cell>
        </row>
        <row r="310">
          <cell r="A310" t="str">
            <v>0380|446000</v>
          </cell>
          <cell r="B310" t="str">
            <v>0380</v>
          </cell>
          <cell r="C310">
            <v>446000</v>
          </cell>
          <cell r="D310">
            <v>41426</v>
          </cell>
          <cell r="E310">
            <v>40096955</v>
          </cell>
          <cell r="F310">
            <v>20048478</v>
          </cell>
          <cell r="G310">
            <v>26080000</v>
          </cell>
          <cell r="H310">
            <v>3341413</v>
          </cell>
          <cell r="I310">
            <v>4275000</v>
          </cell>
        </row>
        <row r="311">
          <cell r="A311" t="str">
            <v>0380|447000</v>
          </cell>
          <cell r="B311" t="str">
            <v>0380</v>
          </cell>
          <cell r="C311">
            <v>447000</v>
          </cell>
          <cell r="D311">
            <v>41426</v>
          </cell>
          <cell r="E311">
            <v>18756883</v>
          </cell>
          <cell r="F311">
            <v>9378442</v>
          </cell>
          <cell r="G311">
            <v>8480877</v>
          </cell>
          <cell r="H311">
            <v>1563074</v>
          </cell>
          <cell r="I311">
            <v>1542507</v>
          </cell>
        </row>
        <row r="312">
          <cell r="A312" t="str">
            <v>0380|447010</v>
          </cell>
          <cell r="B312" t="str">
            <v>0380</v>
          </cell>
          <cell r="C312">
            <v>447010</v>
          </cell>
          <cell r="D312">
            <v>41426</v>
          </cell>
          <cell r="E312">
            <v>44204119</v>
          </cell>
          <cell r="F312">
            <v>22102060</v>
          </cell>
          <cell r="G312">
            <v>19986735</v>
          </cell>
          <cell r="H312">
            <v>3683677</v>
          </cell>
          <cell r="I312">
            <v>3635196</v>
          </cell>
        </row>
        <row r="313">
          <cell r="A313" t="str">
            <v>0380|447020</v>
          </cell>
          <cell r="B313" t="str">
            <v>0380</v>
          </cell>
          <cell r="C313">
            <v>447020</v>
          </cell>
          <cell r="D313">
            <v>41426</v>
          </cell>
          <cell r="E313">
            <v>1875688</v>
          </cell>
          <cell r="F313">
            <v>937844</v>
          </cell>
          <cell r="G313">
            <v>649192</v>
          </cell>
          <cell r="H313">
            <v>156307</v>
          </cell>
          <cell r="I313">
            <v>100271</v>
          </cell>
        </row>
        <row r="314">
          <cell r="A314" t="str">
            <v>0380|448000</v>
          </cell>
          <cell r="B314" t="str">
            <v>0380</v>
          </cell>
          <cell r="C314">
            <v>448000</v>
          </cell>
          <cell r="D314">
            <v>41426</v>
          </cell>
          <cell r="E314">
            <v>107486569</v>
          </cell>
          <cell r="F314">
            <v>53743285</v>
          </cell>
          <cell r="G314">
            <v>42351555</v>
          </cell>
          <cell r="H314">
            <v>8957215</v>
          </cell>
          <cell r="I314">
            <v>2844300</v>
          </cell>
        </row>
        <row r="315">
          <cell r="A315" t="str">
            <v>0380|448001</v>
          </cell>
          <cell r="B315" t="str">
            <v>0380</v>
          </cell>
          <cell r="C315">
            <v>448001</v>
          </cell>
          <cell r="D315">
            <v>41426</v>
          </cell>
          <cell r="E315">
            <v>0</v>
          </cell>
          <cell r="F315">
            <v>0</v>
          </cell>
          <cell r="G315">
            <v>15191000</v>
          </cell>
          <cell r="H315">
            <v>0</v>
          </cell>
          <cell r="I315">
            <v>2339000</v>
          </cell>
        </row>
        <row r="316">
          <cell r="A316" t="str">
            <v>0380|449020</v>
          </cell>
          <cell r="B316" t="str">
            <v>0380</v>
          </cell>
          <cell r="C316">
            <v>449020</v>
          </cell>
          <cell r="D316">
            <v>41426</v>
          </cell>
          <cell r="E316">
            <v>95040000</v>
          </cell>
          <cell r="F316">
            <v>47520000</v>
          </cell>
          <cell r="G316">
            <v>51874500</v>
          </cell>
          <cell r="H316">
            <v>7920000</v>
          </cell>
          <cell r="I316">
            <v>9177000</v>
          </cell>
        </row>
        <row r="317">
          <cell r="A317" t="str">
            <v>0380|449060</v>
          </cell>
          <cell r="B317" t="str">
            <v>0380</v>
          </cell>
          <cell r="C317">
            <v>449060</v>
          </cell>
          <cell r="D317">
            <v>41426</v>
          </cell>
          <cell r="E317">
            <v>3500000</v>
          </cell>
          <cell r="F317">
            <v>1750000</v>
          </cell>
          <cell r="G317">
            <v>2170891</v>
          </cell>
          <cell r="H317">
            <v>291667</v>
          </cell>
          <cell r="I317">
            <v>0</v>
          </cell>
        </row>
        <row r="318">
          <cell r="A318" t="str">
            <v>0380|449061</v>
          </cell>
          <cell r="B318" t="str">
            <v>0380</v>
          </cell>
          <cell r="C318">
            <v>449061</v>
          </cell>
          <cell r="D318">
            <v>41426</v>
          </cell>
          <cell r="E318">
            <v>1295801</v>
          </cell>
          <cell r="F318">
            <v>647901</v>
          </cell>
          <cell r="G318">
            <v>2658300</v>
          </cell>
          <cell r="H318">
            <v>107984</v>
          </cell>
          <cell r="I318">
            <v>0</v>
          </cell>
        </row>
        <row r="319">
          <cell r="A319" t="str">
            <v>0380|451000</v>
          </cell>
          <cell r="B319" t="str">
            <v>0380</v>
          </cell>
          <cell r="C319">
            <v>451000</v>
          </cell>
          <cell r="D319">
            <v>41426</v>
          </cell>
          <cell r="E319">
            <v>3490386</v>
          </cell>
          <cell r="F319">
            <v>1745193</v>
          </cell>
          <cell r="G319">
            <v>0</v>
          </cell>
          <cell r="H319">
            <v>290865</v>
          </cell>
          <cell r="I319">
            <v>0</v>
          </cell>
        </row>
        <row r="320">
          <cell r="A320" t="str">
            <v>0380|452000</v>
          </cell>
          <cell r="B320" t="str">
            <v>0380</v>
          </cell>
          <cell r="C320">
            <v>452000</v>
          </cell>
          <cell r="D320">
            <v>41426</v>
          </cell>
          <cell r="E320">
            <v>84000000</v>
          </cell>
          <cell r="F320">
            <v>42000000</v>
          </cell>
          <cell r="G320">
            <v>127070046</v>
          </cell>
          <cell r="H320">
            <v>7000000</v>
          </cell>
          <cell r="I320">
            <v>3150000</v>
          </cell>
        </row>
        <row r="321">
          <cell r="A321" t="str">
            <v>0380|455000</v>
          </cell>
          <cell r="B321" t="str">
            <v>0380</v>
          </cell>
          <cell r="C321">
            <v>455000</v>
          </cell>
          <cell r="D321">
            <v>41426</v>
          </cell>
          <cell r="E321">
            <v>300000</v>
          </cell>
          <cell r="F321">
            <v>150000</v>
          </cell>
          <cell r="G321">
            <v>1374077</v>
          </cell>
          <cell r="H321">
            <v>25000</v>
          </cell>
          <cell r="I321">
            <v>0</v>
          </cell>
        </row>
        <row r="322">
          <cell r="A322" t="str">
            <v>0380|470102</v>
          </cell>
          <cell r="B322" t="str">
            <v>0380</v>
          </cell>
          <cell r="C322">
            <v>470102</v>
          </cell>
          <cell r="D322">
            <v>41426</v>
          </cell>
          <cell r="E322">
            <v>0</v>
          </cell>
          <cell r="F322">
            <v>0</v>
          </cell>
          <cell r="G322">
            <v>177580</v>
          </cell>
          <cell r="H322">
            <v>0</v>
          </cell>
          <cell r="I322">
            <v>0</v>
          </cell>
        </row>
        <row r="323">
          <cell r="A323" t="str">
            <v>0380|475003</v>
          </cell>
          <cell r="B323" t="str">
            <v>0380</v>
          </cell>
          <cell r="C323">
            <v>475003</v>
          </cell>
          <cell r="D323">
            <v>41426</v>
          </cell>
          <cell r="E323">
            <v>97888</v>
          </cell>
          <cell r="F323">
            <v>48944</v>
          </cell>
          <cell r="G323">
            <v>0</v>
          </cell>
          <cell r="H323">
            <v>8157</v>
          </cell>
          <cell r="I323">
            <v>0</v>
          </cell>
        </row>
        <row r="324">
          <cell r="A324" t="str">
            <v>0500|211100</v>
          </cell>
          <cell r="B324" t="str">
            <v>0500</v>
          </cell>
          <cell r="C324">
            <v>211100</v>
          </cell>
          <cell r="D324">
            <v>41426</v>
          </cell>
          <cell r="E324">
            <v>29790864</v>
          </cell>
          <cell r="F324">
            <v>14895432</v>
          </cell>
          <cell r="G324">
            <v>16121635</v>
          </cell>
          <cell r="H324">
            <v>2482572</v>
          </cell>
          <cell r="I324">
            <v>2686940</v>
          </cell>
        </row>
        <row r="325">
          <cell r="A325" t="str">
            <v>0500|420002</v>
          </cell>
          <cell r="B325" t="str">
            <v>0500</v>
          </cell>
          <cell r="C325">
            <v>420002</v>
          </cell>
          <cell r="D325">
            <v>41426</v>
          </cell>
          <cell r="E325">
            <v>398823659</v>
          </cell>
          <cell r="F325">
            <v>199411830</v>
          </cell>
          <cell r="G325">
            <v>257962338</v>
          </cell>
          <cell r="H325">
            <v>33235305</v>
          </cell>
          <cell r="I325">
            <v>48388338</v>
          </cell>
        </row>
        <row r="326">
          <cell r="A326" t="str">
            <v>0500|420003</v>
          </cell>
          <cell r="B326" t="str">
            <v>0500</v>
          </cell>
          <cell r="C326">
            <v>420003</v>
          </cell>
          <cell r="D326">
            <v>41426</v>
          </cell>
          <cell r="E326">
            <v>255520683</v>
          </cell>
          <cell r="F326">
            <v>127760342</v>
          </cell>
          <cell r="G326">
            <v>151608186</v>
          </cell>
          <cell r="H326">
            <v>21293391</v>
          </cell>
          <cell r="I326">
            <v>34188156</v>
          </cell>
        </row>
        <row r="327">
          <cell r="A327" t="str">
            <v>0500|422002</v>
          </cell>
          <cell r="B327" t="str">
            <v>0500</v>
          </cell>
          <cell r="C327">
            <v>422002</v>
          </cell>
          <cell r="D327">
            <v>41426</v>
          </cell>
          <cell r="E327">
            <v>1296090</v>
          </cell>
          <cell r="F327">
            <v>648045</v>
          </cell>
          <cell r="G327">
            <v>204900</v>
          </cell>
          <cell r="H327">
            <v>108007</v>
          </cell>
          <cell r="I327">
            <v>0</v>
          </cell>
        </row>
        <row r="328">
          <cell r="A328" t="str">
            <v>0500|431002</v>
          </cell>
          <cell r="B328" t="str">
            <v>0500</v>
          </cell>
          <cell r="C328">
            <v>431002</v>
          </cell>
          <cell r="D328">
            <v>41426</v>
          </cell>
          <cell r="E328">
            <v>37253017</v>
          </cell>
          <cell r="F328">
            <v>18626509</v>
          </cell>
          <cell r="G328">
            <v>12160595</v>
          </cell>
          <cell r="H328">
            <v>3104419</v>
          </cell>
          <cell r="I328">
            <v>3649355</v>
          </cell>
        </row>
        <row r="329">
          <cell r="A329" t="str">
            <v>0500|434012</v>
          </cell>
          <cell r="B329" t="str">
            <v>0500</v>
          </cell>
          <cell r="C329">
            <v>434012</v>
          </cell>
          <cell r="D329">
            <v>41426</v>
          </cell>
          <cell r="E329">
            <v>0</v>
          </cell>
          <cell r="F329">
            <v>0</v>
          </cell>
          <cell r="G329">
            <v>2961603</v>
          </cell>
          <cell r="H329">
            <v>0</v>
          </cell>
          <cell r="I329">
            <v>498745</v>
          </cell>
        </row>
        <row r="330">
          <cell r="A330" t="str">
            <v>0500|434013</v>
          </cell>
          <cell r="B330" t="str">
            <v>0500</v>
          </cell>
          <cell r="C330">
            <v>434013</v>
          </cell>
          <cell r="D330">
            <v>41426</v>
          </cell>
          <cell r="E330">
            <v>0</v>
          </cell>
          <cell r="F330">
            <v>0</v>
          </cell>
          <cell r="G330">
            <v>3750402</v>
          </cell>
          <cell r="H330">
            <v>0</v>
          </cell>
          <cell r="I330">
            <v>600488</v>
          </cell>
        </row>
        <row r="331">
          <cell r="A331" t="str">
            <v>0500|435002</v>
          </cell>
          <cell r="B331" t="str">
            <v>0500</v>
          </cell>
          <cell r="C331">
            <v>435002</v>
          </cell>
          <cell r="D331">
            <v>41426</v>
          </cell>
          <cell r="E331">
            <v>68132375</v>
          </cell>
          <cell r="F331">
            <v>34066188</v>
          </cell>
          <cell r="G331">
            <v>80561500</v>
          </cell>
          <cell r="H331">
            <v>5677698</v>
          </cell>
          <cell r="I331">
            <v>0</v>
          </cell>
        </row>
        <row r="332">
          <cell r="A332" t="str">
            <v>0500|435003</v>
          </cell>
          <cell r="B332" t="str">
            <v>0500</v>
          </cell>
          <cell r="C332">
            <v>435003</v>
          </cell>
          <cell r="D332">
            <v>41426</v>
          </cell>
          <cell r="E332">
            <v>31940085</v>
          </cell>
          <cell r="F332">
            <v>15970043</v>
          </cell>
          <cell r="G332">
            <v>0</v>
          </cell>
          <cell r="H332">
            <v>2661674</v>
          </cell>
          <cell r="I332">
            <v>0</v>
          </cell>
        </row>
        <row r="333">
          <cell r="A333" t="str">
            <v>0500|439003</v>
          </cell>
          <cell r="B333" t="str">
            <v>0500</v>
          </cell>
          <cell r="C333">
            <v>439003</v>
          </cell>
          <cell r="D333">
            <v>41426</v>
          </cell>
          <cell r="E333">
            <v>39449879</v>
          </cell>
          <cell r="F333">
            <v>19724940</v>
          </cell>
          <cell r="G333">
            <v>20073108</v>
          </cell>
          <cell r="H333">
            <v>3287490</v>
          </cell>
          <cell r="I333">
            <v>3222605</v>
          </cell>
        </row>
        <row r="334">
          <cell r="A334" t="str">
            <v>0500|439008</v>
          </cell>
          <cell r="B334" t="str">
            <v>0500</v>
          </cell>
          <cell r="C334">
            <v>439008</v>
          </cell>
          <cell r="D334">
            <v>41426</v>
          </cell>
          <cell r="E334">
            <v>82110313</v>
          </cell>
          <cell r="F334">
            <v>41055157</v>
          </cell>
          <cell r="G334">
            <v>28526853</v>
          </cell>
          <cell r="H334">
            <v>6842527</v>
          </cell>
          <cell r="I334">
            <v>4794763</v>
          </cell>
        </row>
        <row r="335">
          <cell r="A335" t="str">
            <v>0500|439202</v>
          </cell>
          <cell r="B335" t="str">
            <v>0500</v>
          </cell>
          <cell r="C335">
            <v>439202</v>
          </cell>
          <cell r="D335">
            <v>41426</v>
          </cell>
          <cell r="E335">
            <v>28800000</v>
          </cell>
          <cell r="F335">
            <v>14400000</v>
          </cell>
          <cell r="G335">
            <v>11650000</v>
          </cell>
          <cell r="H335">
            <v>2400000</v>
          </cell>
          <cell r="I335">
            <v>1800000</v>
          </cell>
        </row>
        <row r="336">
          <cell r="A336" t="str">
            <v>0500|439203</v>
          </cell>
          <cell r="B336" t="str">
            <v>0500</v>
          </cell>
          <cell r="C336">
            <v>439203</v>
          </cell>
          <cell r="D336">
            <v>41426</v>
          </cell>
          <cell r="E336">
            <v>3760000</v>
          </cell>
          <cell r="F336">
            <v>1880000</v>
          </cell>
          <cell r="G336">
            <v>0</v>
          </cell>
          <cell r="H336">
            <v>313333</v>
          </cell>
          <cell r="I336">
            <v>0</v>
          </cell>
        </row>
        <row r="337">
          <cell r="A337" t="str">
            <v>0500|440002</v>
          </cell>
          <cell r="B337" t="str">
            <v>0500</v>
          </cell>
          <cell r="C337">
            <v>440002</v>
          </cell>
          <cell r="D337">
            <v>41426</v>
          </cell>
          <cell r="E337">
            <v>33235305</v>
          </cell>
          <cell r="F337">
            <v>16617653</v>
          </cell>
          <cell r="G337">
            <v>10593746</v>
          </cell>
          <cell r="H337">
            <v>2769609</v>
          </cell>
          <cell r="I337">
            <v>1192857</v>
          </cell>
        </row>
        <row r="338">
          <cell r="A338" t="str">
            <v>0500|440003</v>
          </cell>
          <cell r="B338" t="str">
            <v>0500</v>
          </cell>
          <cell r="C338">
            <v>440003</v>
          </cell>
          <cell r="D338">
            <v>41426</v>
          </cell>
          <cell r="E338">
            <v>21293390</v>
          </cell>
          <cell r="F338">
            <v>10646695</v>
          </cell>
          <cell r="G338">
            <v>15170113</v>
          </cell>
          <cell r="H338">
            <v>1774449</v>
          </cell>
          <cell r="I338">
            <v>4063295</v>
          </cell>
        </row>
        <row r="339">
          <cell r="A339" t="str">
            <v>0500|446002</v>
          </cell>
          <cell r="B339" t="str">
            <v>0500</v>
          </cell>
          <cell r="C339">
            <v>446002</v>
          </cell>
          <cell r="D339">
            <v>41426</v>
          </cell>
          <cell r="E339">
            <v>16617652</v>
          </cell>
          <cell r="F339">
            <v>8308826</v>
          </cell>
          <cell r="G339">
            <v>0</v>
          </cell>
          <cell r="H339">
            <v>1384804</v>
          </cell>
          <cell r="I339">
            <v>0</v>
          </cell>
        </row>
        <row r="340">
          <cell r="A340" t="str">
            <v>0500|447002</v>
          </cell>
          <cell r="B340" t="str">
            <v>0500</v>
          </cell>
          <cell r="C340">
            <v>447002</v>
          </cell>
          <cell r="D340">
            <v>41426</v>
          </cell>
          <cell r="E340">
            <v>6261531</v>
          </cell>
          <cell r="F340">
            <v>3130766</v>
          </cell>
          <cell r="G340">
            <v>1400367</v>
          </cell>
          <cell r="H340">
            <v>521795</v>
          </cell>
          <cell r="I340">
            <v>268663</v>
          </cell>
        </row>
        <row r="341">
          <cell r="A341" t="str">
            <v>0500|447003</v>
          </cell>
          <cell r="B341" t="str">
            <v>0500</v>
          </cell>
          <cell r="C341">
            <v>447003</v>
          </cell>
          <cell r="D341">
            <v>41426</v>
          </cell>
          <cell r="E341">
            <v>4012241</v>
          </cell>
          <cell r="F341">
            <v>2006121</v>
          </cell>
          <cell r="G341">
            <v>0</v>
          </cell>
          <cell r="H341">
            <v>334354</v>
          </cell>
          <cell r="I341">
            <v>0</v>
          </cell>
        </row>
        <row r="342">
          <cell r="A342" t="str">
            <v>0500|447012</v>
          </cell>
          <cell r="B342" t="str">
            <v>0500</v>
          </cell>
          <cell r="C342">
            <v>447012</v>
          </cell>
          <cell r="D342">
            <v>41426</v>
          </cell>
          <cell r="E342">
            <v>14756475</v>
          </cell>
          <cell r="F342">
            <v>7378238</v>
          </cell>
          <cell r="G342">
            <v>9595084</v>
          </cell>
          <cell r="H342">
            <v>1229707</v>
          </cell>
          <cell r="I342">
            <v>1840842</v>
          </cell>
        </row>
        <row r="343">
          <cell r="A343" t="str">
            <v>0500|447013</v>
          </cell>
          <cell r="B343" t="str">
            <v>0500</v>
          </cell>
          <cell r="C343">
            <v>447013</v>
          </cell>
          <cell r="D343">
            <v>41426</v>
          </cell>
          <cell r="E343">
            <v>9454265</v>
          </cell>
          <cell r="F343">
            <v>4727133</v>
          </cell>
          <cell r="G343">
            <v>0</v>
          </cell>
          <cell r="H343">
            <v>787856</v>
          </cell>
          <cell r="I343">
            <v>0</v>
          </cell>
        </row>
        <row r="344">
          <cell r="A344" t="str">
            <v>0500|447022</v>
          </cell>
          <cell r="B344" t="str">
            <v>0500</v>
          </cell>
          <cell r="C344">
            <v>447022</v>
          </cell>
          <cell r="D344">
            <v>41426</v>
          </cell>
          <cell r="E344">
            <v>626153</v>
          </cell>
          <cell r="F344">
            <v>313077</v>
          </cell>
          <cell r="G344">
            <v>353699</v>
          </cell>
          <cell r="H344">
            <v>52180</v>
          </cell>
          <cell r="I344">
            <v>71875</v>
          </cell>
        </row>
        <row r="345">
          <cell r="A345" t="str">
            <v>0500|447023</v>
          </cell>
          <cell r="B345" t="str">
            <v>0500</v>
          </cell>
          <cell r="C345">
            <v>447023</v>
          </cell>
          <cell r="D345">
            <v>41426</v>
          </cell>
          <cell r="E345">
            <v>332040</v>
          </cell>
          <cell r="F345">
            <v>166020</v>
          </cell>
          <cell r="G345">
            <v>0</v>
          </cell>
          <cell r="H345">
            <v>27670</v>
          </cell>
          <cell r="I345">
            <v>0</v>
          </cell>
        </row>
        <row r="346">
          <cell r="A346" t="str">
            <v>0500|448002</v>
          </cell>
          <cell r="B346" t="str">
            <v>0500</v>
          </cell>
          <cell r="C346">
            <v>448002</v>
          </cell>
          <cell r="D346">
            <v>41426</v>
          </cell>
          <cell r="E346">
            <v>29838954</v>
          </cell>
          <cell r="F346">
            <v>14919477</v>
          </cell>
          <cell r="G346">
            <v>3485910</v>
          </cell>
          <cell r="H346">
            <v>2486579</v>
          </cell>
          <cell r="I346">
            <v>240000</v>
          </cell>
        </row>
        <row r="347">
          <cell r="A347" t="str">
            <v>0500|448003</v>
          </cell>
          <cell r="B347" t="str">
            <v>0500</v>
          </cell>
          <cell r="C347">
            <v>448003</v>
          </cell>
          <cell r="D347">
            <v>41426</v>
          </cell>
          <cell r="E347">
            <v>14470431</v>
          </cell>
          <cell r="F347">
            <v>7235216</v>
          </cell>
          <cell r="G347">
            <v>1490000</v>
          </cell>
          <cell r="H347">
            <v>1205870</v>
          </cell>
          <cell r="I347">
            <v>0</v>
          </cell>
        </row>
        <row r="348">
          <cell r="A348" t="str">
            <v>0500|449022</v>
          </cell>
          <cell r="B348" t="str">
            <v>0500</v>
          </cell>
          <cell r="C348">
            <v>449022</v>
          </cell>
          <cell r="D348">
            <v>41426</v>
          </cell>
          <cell r="E348">
            <v>19800000</v>
          </cell>
          <cell r="F348">
            <v>9900000</v>
          </cell>
          <cell r="G348">
            <v>6001000</v>
          </cell>
          <cell r="H348">
            <v>1650000</v>
          </cell>
          <cell r="I348">
            <v>986000</v>
          </cell>
        </row>
        <row r="349">
          <cell r="A349" t="str">
            <v>0500|449023</v>
          </cell>
          <cell r="B349" t="str">
            <v>0500</v>
          </cell>
          <cell r="C349">
            <v>449023</v>
          </cell>
          <cell r="D349">
            <v>41426</v>
          </cell>
          <cell r="E349">
            <v>29436000</v>
          </cell>
          <cell r="F349">
            <v>14718000</v>
          </cell>
          <cell r="G349">
            <v>19200000</v>
          </cell>
          <cell r="H349">
            <v>2453000</v>
          </cell>
          <cell r="I349">
            <v>3200000</v>
          </cell>
        </row>
        <row r="350">
          <cell r="A350" t="str">
            <v>0500|449032</v>
          </cell>
          <cell r="B350" t="str">
            <v>0500</v>
          </cell>
          <cell r="C350">
            <v>449032</v>
          </cell>
          <cell r="D350">
            <v>41426</v>
          </cell>
          <cell r="E350">
            <v>1601292</v>
          </cell>
          <cell r="F350">
            <v>800646</v>
          </cell>
          <cell r="G350">
            <v>6192003</v>
          </cell>
          <cell r="H350">
            <v>133441</v>
          </cell>
          <cell r="I350">
            <v>0</v>
          </cell>
        </row>
        <row r="351">
          <cell r="A351" t="str">
            <v>0500|449040</v>
          </cell>
          <cell r="B351" t="str">
            <v>0500</v>
          </cell>
          <cell r="C351">
            <v>449040</v>
          </cell>
          <cell r="D351">
            <v>41426</v>
          </cell>
          <cell r="E351">
            <v>23345786</v>
          </cell>
          <cell r="F351">
            <v>11672893</v>
          </cell>
          <cell r="G351">
            <v>1762000</v>
          </cell>
          <cell r="H351">
            <v>1945482</v>
          </cell>
          <cell r="I351">
            <v>1762000</v>
          </cell>
        </row>
        <row r="352">
          <cell r="A352" t="str">
            <v>0500|449050</v>
          </cell>
          <cell r="B352" t="str">
            <v>0500</v>
          </cell>
          <cell r="C352">
            <v>449050</v>
          </cell>
          <cell r="D352">
            <v>41426</v>
          </cell>
          <cell r="E352">
            <v>59082495</v>
          </cell>
          <cell r="F352">
            <v>29541248</v>
          </cell>
          <cell r="G352">
            <v>14556000</v>
          </cell>
          <cell r="H352">
            <v>4923542</v>
          </cell>
          <cell r="I352">
            <v>2426000</v>
          </cell>
        </row>
        <row r="353">
          <cell r="A353" t="str">
            <v>0500|449061</v>
          </cell>
          <cell r="B353" t="str">
            <v>0500</v>
          </cell>
          <cell r="C353">
            <v>449061</v>
          </cell>
          <cell r="D353">
            <v>41426</v>
          </cell>
          <cell r="E353">
            <v>57222424</v>
          </cell>
          <cell r="F353">
            <v>28611212</v>
          </cell>
          <cell r="G353">
            <v>14451900</v>
          </cell>
          <cell r="H353">
            <v>4768535</v>
          </cell>
          <cell r="I353">
            <v>3756000</v>
          </cell>
        </row>
        <row r="354">
          <cell r="A354" t="str">
            <v>0500|459005</v>
          </cell>
          <cell r="B354" t="str">
            <v>0500</v>
          </cell>
          <cell r="C354">
            <v>459005</v>
          </cell>
          <cell r="D354">
            <v>41426</v>
          </cell>
          <cell r="E354">
            <v>760812</v>
          </cell>
          <cell r="F354">
            <v>380406</v>
          </cell>
          <cell r="G354">
            <v>0</v>
          </cell>
          <cell r="H354">
            <v>63401</v>
          </cell>
          <cell r="I354">
            <v>0</v>
          </cell>
        </row>
        <row r="355">
          <cell r="A355" t="str">
            <v>0500|465001</v>
          </cell>
          <cell r="B355" t="str">
            <v>0500</v>
          </cell>
          <cell r="C355">
            <v>465001</v>
          </cell>
          <cell r="D355">
            <v>41426</v>
          </cell>
          <cell r="E355">
            <v>300000000</v>
          </cell>
          <cell r="F355">
            <v>150000000</v>
          </cell>
          <cell r="G355">
            <v>51054988</v>
          </cell>
          <cell r="H355">
            <v>25000000</v>
          </cell>
          <cell r="I355">
            <v>575000</v>
          </cell>
        </row>
        <row r="356">
          <cell r="A356" t="str">
            <v>0500|470102</v>
          </cell>
          <cell r="B356" t="str">
            <v>0500</v>
          </cell>
          <cell r="C356">
            <v>470102</v>
          </cell>
          <cell r="D356">
            <v>41426</v>
          </cell>
          <cell r="E356">
            <v>1481220</v>
          </cell>
          <cell r="F356">
            <v>740610</v>
          </cell>
          <cell r="G356">
            <v>7403505</v>
          </cell>
          <cell r="H356">
            <v>123435</v>
          </cell>
          <cell r="I356">
            <v>1045250</v>
          </cell>
        </row>
        <row r="357">
          <cell r="A357" t="str">
            <v>0500|471000</v>
          </cell>
          <cell r="B357" t="str">
            <v>0500</v>
          </cell>
          <cell r="C357">
            <v>471000</v>
          </cell>
          <cell r="D357">
            <v>41426</v>
          </cell>
          <cell r="E357">
            <v>3957389</v>
          </cell>
          <cell r="F357">
            <v>1978695</v>
          </cell>
          <cell r="G357">
            <v>2145350</v>
          </cell>
          <cell r="H357">
            <v>329783</v>
          </cell>
          <cell r="I357">
            <v>0</v>
          </cell>
        </row>
        <row r="358">
          <cell r="A358" t="str">
            <v>0500|472000</v>
          </cell>
          <cell r="B358" t="str">
            <v>0500</v>
          </cell>
          <cell r="C358">
            <v>472000</v>
          </cell>
          <cell r="D358">
            <v>41426</v>
          </cell>
          <cell r="E358">
            <v>8000000</v>
          </cell>
          <cell r="F358">
            <v>4000000</v>
          </cell>
          <cell r="G358">
            <v>3610297</v>
          </cell>
          <cell r="H358">
            <v>666667</v>
          </cell>
          <cell r="I358">
            <v>400681</v>
          </cell>
        </row>
        <row r="359">
          <cell r="A359" t="str">
            <v>0500|473000</v>
          </cell>
          <cell r="B359" t="str">
            <v>0500</v>
          </cell>
          <cell r="C359">
            <v>473000</v>
          </cell>
          <cell r="D359">
            <v>41426</v>
          </cell>
          <cell r="E359">
            <v>7880599</v>
          </cell>
          <cell r="F359">
            <v>3940300</v>
          </cell>
          <cell r="G359">
            <v>3029000</v>
          </cell>
          <cell r="H359">
            <v>656717</v>
          </cell>
          <cell r="I359">
            <v>520000</v>
          </cell>
        </row>
        <row r="360">
          <cell r="A360" t="str">
            <v>0500|473120</v>
          </cell>
          <cell r="B360" t="str">
            <v>0500</v>
          </cell>
          <cell r="C360">
            <v>473120</v>
          </cell>
          <cell r="D360">
            <v>41426</v>
          </cell>
          <cell r="E360">
            <v>12893565</v>
          </cell>
          <cell r="F360">
            <v>6446783</v>
          </cell>
          <cell r="G360">
            <v>8363383</v>
          </cell>
          <cell r="H360">
            <v>1074464</v>
          </cell>
          <cell r="I360">
            <v>2048812</v>
          </cell>
        </row>
        <row r="361">
          <cell r="A361" t="str">
            <v>0500|474100</v>
          </cell>
          <cell r="B361" t="str">
            <v>0500</v>
          </cell>
          <cell r="C361">
            <v>474100</v>
          </cell>
          <cell r="D361">
            <v>41426</v>
          </cell>
          <cell r="E361">
            <v>55000000</v>
          </cell>
          <cell r="F361">
            <v>27500000</v>
          </cell>
          <cell r="G361">
            <v>15569724</v>
          </cell>
          <cell r="H361">
            <v>4583333</v>
          </cell>
          <cell r="I361">
            <v>2285822</v>
          </cell>
        </row>
        <row r="362">
          <cell r="A362" t="str">
            <v>0500|475003</v>
          </cell>
          <cell r="B362" t="str">
            <v>0500</v>
          </cell>
          <cell r="C362">
            <v>475003</v>
          </cell>
          <cell r="D362">
            <v>41426</v>
          </cell>
          <cell r="E362">
            <v>8479819</v>
          </cell>
          <cell r="F362">
            <v>4239910</v>
          </cell>
          <cell r="G362">
            <v>4054481</v>
          </cell>
          <cell r="H362">
            <v>706652</v>
          </cell>
          <cell r="I362">
            <v>3060997</v>
          </cell>
        </row>
        <row r="363">
          <cell r="A363" t="str">
            <v>0500|475004</v>
          </cell>
          <cell r="B363" t="str">
            <v>0500</v>
          </cell>
          <cell r="C363">
            <v>475004</v>
          </cell>
          <cell r="D363">
            <v>41426</v>
          </cell>
          <cell r="E363">
            <v>5638969</v>
          </cell>
          <cell r="F363">
            <v>2819485</v>
          </cell>
          <cell r="G363">
            <v>0</v>
          </cell>
          <cell r="H363">
            <v>469915</v>
          </cell>
          <cell r="I363">
            <v>0</v>
          </cell>
        </row>
        <row r="364">
          <cell r="A364" t="str">
            <v>0500|475006</v>
          </cell>
          <cell r="B364" t="str">
            <v>0500</v>
          </cell>
          <cell r="C364">
            <v>475006</v>
          </cell>
          <cell r="D364">
            <v>41426</v>
          </cell>
          <cell r="E364">
            <v>8002240</v>
          </cell>
          <cell r="F364">
            <v>4001120</v>
          </cell>
          <cell r="G364">
            <v>3156564</v>
          </cell>
          <cell r="H364">
            <v>666853</v>
          </cell>
          <cell r="I364">
            <v>526094</v>
          </cell>
        </row>
        <row r="365">
          <cell r="A365" t="str">
            <v>0500|476000</v>
          </cell>
          <cell r="B365" t="str">
            <v>0500</v>
          </cell>
          <cell r="C365">
            <v>476000</v>
          </cell>
          <cell r="D365">
            <v>41426</v>
          </cell>
          <cell r="E365">
            <v>6226914</v>
          </cell>
          <cell r="F365">
            <v>3113457</v>
          </cell>
          <cell r="G365">
            <v>14470124</v>
          </cell>
          <cell r="H365">
            <v>518909</v>
          </cell>
          <cell r="I365">
            <v>19000</v>
          </cell>
        </row>
        <row r="366">
          <cell r="A366" t="str">
            <v>0500|476001</v>
          </cell>
          <cell r="B366" t="str">
            <v>0500</v>
          </cell>
          <cell r="C366">
            <v>476001</v>
          </cell>
          <cell r="D366">
            <v>41426</v>
          </cell>
          <cell r="E366">
            <v>94776100</v>
          </cell>
          <cell r="F366">
            <v>47388050</v>
          </cell>
          <cell r="G366">
            <v>-18353750</v>
          </cell>
          <cell r="H366">
            <v>7898008</v>
          </cell>
          <cell r="I366">
            <v>0</v>
          </cell>
        </row>
        <row r="367">
          <cell r="A367" t="str">
            <v>0500|476002</v>
          </cell>
          <cell r="B367" t="str">
            <v>0500</v>
          </cell>
          <cell r="C367">
            <v>476002</v>
          </cell>
          <cell r="D367">
            <v>41426</v>
          </cell>
          <cell r="E367">
            <v>3829843</v>
          </cell>
          <cell r="F367">
            <v>1914922</v>
          </cell>
          <cell r="G367">
            <v>415000</v>
          </cell>
          <cell r="H367">
            <v>319154</v>
          </cell>
          <cell r="I367">
            <v>0</v>
          </cell>
        </row>
        <row r="368">
          <cell r="A368" t="str">
            <v>0500|476220</v>
          </cell>
          <cell r="B368" t="str">
            <v>0500</v>
          </cell>
          <cell r="C368">
            <v>476220</v>
          </cell>
          <cell r="D368">
            <v>41426</v>
          </cell>
          <cell r="E368">
            <v>28039556</v>
          </cell>
          <cell r="F368">
            <v>14019778</v>
          </cell>
          <cell r="G368">
            <v>14004205</v>
          </cell>
          <cell r="H368">
            <v>2336630</v>
          </cell>
          <cell r="I368">
            <v>3143048</v>
          </cell>
        </row>
        <row r="369">
          <cell r="A369" t="str">
            <v>0500|476900</v>
          </cell>
          <cell r="B369" t="str">
            <v>0500</v>
          </cell>
          <cell r="C369">
            <v>476900</v>
          </cell>
          <cell r="D369">
            <v>41426</v>
          </cell>
          <cell r="E369">
            <v>614869</v>
          </cell>
          <cell r="F369">
            <v>307435</v>
          </cell>
          <cell r="G369">
            <v>317790</v>
          </cell>
          <cell r="H369">
            <v>51240</v>
          </cell>
          <cell r="I369">
            <v>0</v>
          </cell>
        </row>
        <row r="370">
          <cell r="A370" t="str">
            <v>0500|476910</v>
          </cell>
          <cell r="B370" t="str">
            <v>0500</v>
          </cell>
          <cell r="C370">
            <v>476910</v>
          </cell>
          <cell r="D370">
            <v>41426</v>
          </cell>
          <cell r="E370">
            <v>1000000</v>
          </cell>
          <cell r="F370">
            <v>500000</v>
          </cell>
          <cell r="G370">
            <v>782800</v>
          </cell>
          <cell r="H370">
            <v>83333</v>
          </cell>
          <cell r="I370">
            <v>456800</v>
          </cell>
        </row>
        <row r="371">
          <cell r="A371" t="str">
            <v>0500|477001</v>
          </cell>
          <cell r="B371" t="str">
            <v>0500</v>
          </cell>
          <cell r="C371">
            <v>477001</v>
          </cell>
          <cell r="D371">
            <v>41426</v>
          </cell>
          <cell r="E371">
            <v>18025042235</v>
          </cell>
          <cell r="F371">
            <v>9012521118</v>
          </cell>
          <cell r="G371">
            <v>2810633589</v>
          </cell>
          <cell r="H371">
            <v>1502086853</v>
          </cell>
          <cell r="I371">
            <v>73829505</v>
          </cell>
        </row>
        <row r="372">
          <cell r="A372" t="str">
            <v>0500|477310</v>
          </cell>
          <cell r="B372" t="str">
            <v>0500</v>
          </cell>
          <cell r="C372">
            <v>477310</v>
          </cell>
          <cell r="D372">
            <v>41426</v>
          </cell>
          <cell r="E372">
            <v>108025000</v>
          </cell>
          <cell r="F372">
            <v>54012500</v>
          </cell>
          <cell r="G372">
            <v>281638918</v>
          </cell>
          <cell r="H372">
            <v>9002083</v>
          </cell>
          <cell r="I372">
            <v>100121564</v>
          </cell>
        </row>
        <row r="373">
          <cell r="A373" t="str">
            <v>0500|477400</v>
          </cell>
          <cell r="B373" t="str">
            <v>0500</v>
          </cell>
          <cell r="C373">
            <v>477400</v>
          </cell>
          <cell r="D373">
            <v>41426</v>
          </cell>
          <cell r="E373">
            <v>8739360759</v>
          </cell>
          <cell r="F373">
            <v>4369680380</v>
          </cell>
          <cell r="G373">
            <v>5890733819</v>
          </cell>
          <cell r="H373">
            <v>728280064</v>
          </cell>
          <cell r="I373">
            <v>2265960133</v>
          </cell>
        </row>
        <row r="374">
          <cell r="A374" t="str">
            <v>0500|477410</v>
          </cell>
          <cell r="B374" t="str">
            <v>0500</v>
          </cell>
          <cell r="C374">
            <v>477410</v>
          </cell>
          <cell r="D374">
            <v>41426</v>
          </cell>
          <cell r="E374">
            <v>982985000</v>
          </cell>
          <cell r="F374">
            <v>491492500</v>
          </cell>
          <cell r="G374">
            <v>793127500</v>
          </cell>
          <cell r="H374">
            <v>81915417</v>
          </cell>
          <cell r="I374">
            <v>215142500</v>
          </cell>
        </row>
        <row r="375">
          <cell r="A375" t="str">
            <v>0500|477450</v>
          </cell>
          <cell r="B375" t="str">
            <v>0500</v>
          </cell>
          <cell r="C375">
            <v>477450</v>
          </cell>
          <cell r="D375">
            <v>41426</v>
          </cell>
          <cell r="E375">
            <v>6133779506</v>
          </cell>
          <cell r="F375">
            <v>3066889753</v>
          </cell>
          <cell r="G375">
            <v>1895965565</v>
          </cell>
          <cell r="H375">
            <v>511148292</v>
          </cell>
          <cell r="I375">
            <v>-566792567</v>
          </cell>
        </row>
        <row r="376">
          <cell r="A376" t="str">
            <v>0510|211100</v>
          </cell>
          <cell r="B376" t="str">
            <v>0510</v>
          </cell>
          <cell r="C376">
            <v>211100</v>
          </cell>
          <cell r="D376">
            <v>41426</v>
          </cell>
          <cell r="E376">
            <v>27715806</v>
          </cell>
          <cell r="F376">
            <v>13857903</v>
          </cell>
          <cell r="G376">
            <v>8876809</v>
          </cell>
          <cell r="H376">
            <v>2309650</v>
          </cell>
          <cell r="I376">
            <v>1525556</v>
          </cell>
        </row>
        <row r="377">
          <cell r="A377" t="str">
            <v>0510|246000</v>
          </cell>
          <cell r="B377" t="str">
            <v>0510</v>
          </cell>
          <cell r="C377">
            <v>246000</v>
          </cell>
          <cell r="D377">
            <v>41426</v>
          </cell>
          <cell r="E377">
            <v>5000000</v>
          </cell>
          <cell r="F377">
            <v>2500000</v>
          </cell>
          <cell r="G377">
            <v>0</v>
          </cell>
          <cell r="H377">
            <v>416667</v>
          </cell>
          <cell r="I377">
            <v>0</v>
          </cell>
        </row>
        <row r="378">
          <cell r="A378" t="str">
            <v>0510|405252</v>
          </cell>
          <cell r="B378" t="str">
            <v>0510</v>
          </cell>
          <cell r="C378">
            <v>405252</v>
          </cell>
          <cell r="D378">
            <v>41426</v>
          </cell>
          <cell r="E378">
            <v>0</v>
          </cell>
          <cell r="F378">
            <v>0</v>
          </cell>
          <cell r="G378">
            <v>-70644000</v>
          </cell>
          <cell r="H378">
            <v>0</v>
          </cell>
          <cell r="I378">
            <v>-356457200</v>
          </cell>
        </row>
        <row r="379">
          <cell r="A379" t="str">
            <v>0510|420002</v>
          </cell>
          <cell r="B379" t="str">
            <v>0510</v>
          </cell>
          <cell r="C379">
            <v>420002</v>
          </cell>
          <cell r="D379">
            <v>41426</v>
          </cell>
          <cell r="E379">
            <v>79764732</v>
          </cell>
          <cell r="F379">
            <v>39882366</v>
          </cell>
          <cell r="G379">
            <v>0</v>
          </cell>
          <cell r="H379">
            <v>6647061</v>
          </cell>
          <cell r="I379">
            <v>0</v>
          </cell>
        </row>
        <row r="380">
          <cell r="A380" t="str">
            <v>0510|420003</v>
          </cell>
          <cell r="B380" t="str">
            <v>0510</v>
          </cell>
          <cell r="C380">
            <v>420003</v>
          </cell>
          <cell r="D380">
            <v>41426</v>
          </cell>
          <cell r="E380">
            <v>1233555681</v>
          </cell>
          <cell r="F380">
            <v>616777841</v>
          </cell>
          <cell r="G380">
            <v>722194670</v>
          </cell>
          <cell r="H380">
            <v>102796307</v>
          </cell>
          <cell r="I380">
            <v>126854028</v>
          </cell>
        </row>
        <row r="381">
          <cell r="A381" t="str">
            <v>0510|422003</v>
          </cell>
          <cell r="B381" t="str">
            <v>0510</v>
          </cell>
          <cell r="C381">
            <v>422003</v>
          </cell>
          <cell r="D381">
            <v>41426</v>
          </cell>
          <cell r="E381">
            <v>761441340</v>
          </cell>
          <cell r="F381">
            <v>380720670</v>
          </cell>
          <cell r="G381">
            <v>521530986</v>
          </cell>
          <cell r="H381">
            <v>63453445</v>
          </cell>
          <cell r="I381">
            <v>85734224</v>
          </cell>
        </row>
        <row r="382">
          <cell r="A382" t="str">
            <v>0510|431002</v>
          </cell>
          <cell r="B382" t="str">
            <v>0510</v>
          </cell>
          <cell r="C382">
            <v>431002</v>
          </cell>
          <cell r="D382">
            <v>41426</v>
          </cell>
          <cell r="E382">
            <v>1167156</v>
          </cell>
          <cell r="F382">
            <v>583578</v>
          </cell>
          <cell r="G382">
            <v>0</v>
          </cell>
          <cell r="H382">
            <v>97263</v>
          </cell>
          <cell r="I382">
            <v>0</v>
          </cell>
        </row>
        <row r="383">
          <cell r="A383" t="str">
            <v>0510|433002</v>
          </cell>
          <cell r="B383" t="str">
            <v>0510</v>
          </cell>
          <cell r="C383">
            <v>433002</v>
          </cell>
          <cell r="D383">
            <v>41426</v>
          </cell>
          <cell r="E383">
            <v>2586709</v>
          </cell>
          <cell r="F383">
            <v>1293355</v>
          </cell>
          <cell r="G383">
            <v>0</v>
          </cell>
          <cell r="H383">
            <v>215560</v>
          </cell>
          <cell r="I383">
            <v>0</v>
          </cell>
        </row>
        <row r="384">
          <cell r="A384" t="str">
            <v>0510|434013</v>
          </cell>
          <cell r="B384" t="str">
            <v>0510</v>
          </cell>
          <cell r="C384">
            <v>434013</v>
          </cell>
          <cell r="D384">
            <v>41426</v>
          </cell>
          <cell r="E384">
            <v>0</v>
          </cell>
          <cell r="F384">
            <v>0</v>
          </cell>
          <cell r="G384">
            <v>9339605</v>
          </cell>
          <cell r="H384">
            <v>0</v>
          </cell>
          <cell r="I384">
            <v>1801464</v>
          </cell>
        </row>
        <row r="385">
          <cell r="A385" t="str">
            <v>0510|435002</v>
          </cell>
          <cell r="B385" t="str">
            <v>0510</v>
          </cell>
          <cell r="C385">
            <v>435002</v>
          </cell>
          <cell r="D385">
            <v>41426</v>
          </cell>
          <cell r="E385">
            <v>13626475</v>
          </cell>
          <cell r="F385">
            <v>6813238</v>
          </cell>
          <cell r="G385">
            <v>0</v>
          </cell>
          <cell r="H385">
            <v>1135540</v>
          </cell>
          <cell r="I385">
            <v>0</v>
          </cell>
        </row>
        <row r="386">
          <cell r="A386" t="str">
            <v>0510|435003</v>
          </cell>
          <cell r="B386" t="str">
            <v>0510</v>
          </cell>
          <cell r="C386">
            <v>435003</v>
          </cell>
          <cell r="D386">
            <v>41426</v>
          </cell>
          <cell r="E386">
            <v>615644016</v>
          </cell>
          <cell r="F386">
            <v>307822008</v>
          </cell>
          <cell r="G386">
            <v>36678500</v>
          </cell>
          <cell r="H386">
            <v>51303668</v>
          </cell>
          <cell r="I386">
            <v>0</v>
          </cell>
        </row>
        <row r="387">
          <cell r="A387" t="str">
            <v>0510|439003</v>
          </cell>
          <cell r="B387" t="str">
            <v>0510</v>
          </cell>
          <cell r="C387">
            <v>439003</v>
          </cell>
          <cell r="D387">
            <v>41426</v>
          </cell>
          <cell r="E387">
            <v>78899758</v>
          </cell>
          <cell r="F387">
            <v>39449879</v>
          </cell>
          <cell r="G387">
            <v>50014407</v>
          </cell>
          <cell r="H387">
            <v>6574980</v>
          </cell>
          <cell r="I387">
            <v>9667816</v>
          </cell>
        </row>
        <row r="388">
          <cell r="A388" t="str">
            <v>0510|439006</v>
          </cell>
          <cell r="B388" t="str">
            <v>0510</v>
          </cell>
          <cell r="C388">
            <v>439006</v>
          </cell>
          <cell r="D388">
            <v>41426</v>
          </cell>
          <cell r="E388">
            <v>107671723</v>
          </cell>
          <cell r="F388">
            <v>53835862</v>
          </cell>
          <cell r="G388">
            <v>0</v>
          </cell>
          <cell r="H388">
            <v>8972644</v>
          </cell>
          <cell r="I388">
            <v>0</v>
          </cell>
        </row>
        <row r="389">
          <cell r="A389" t="str">
            <v>0510|439008</v>
          </cell>
          <cell r="B389" t="str">
            <v>0510</v>
          </cell>
          <cell r="C389">
            <v>439008</v>
          </cell>
          <cell r="D389">
            <v>41426</v>
          </cell>
          <cell r="E389">
            <v>16422063</v>
          </cell>
          <cell r="F389">
            <v>8211032</v>
          </cell>
          <cell r="G389">
            <v>0</v>
          </cell>
          <cell r="H389">
            <v>1368506</v>
          </cell>
          <cell r="I389">
            <v>0</v>
          </cell>
        </row>
        <row r="390">
          <cell r="A390" t="str">
            <v>0510|439202</v>
          </cell>
          <cell r="B390" t="str">
            <v>0510</v>
          </cell>
          <cell r="C390">
            <v>439202</v>
          </cell>
          <cell r="D390">
            <v>41426</v>
          </cell>
          <cell r="E390">
            <v>5760000</v>
          </cell>
          <cell r="F390">
            <v>2880000</v>
          </cell>
          <cell r="G390">
            <v>0</v>
          </cell>
          <cell r="H390">
            <v>480000</v>
          </cell>
          <cell r="I390">
            <v>0</v>
          </cell>
        </row>
        <row r="391">
          <cell r="A391" t="str">
            <v>0510|439203</v>
          </cell>
          <cell r="B391" t="str">
            <v>0510</v>
          </cell>
          <cell r="C391">
            <v>439203</v>
          </cell>
          <cell r="D391">
            <v>41426</v>
          </cell>
          <cell r="E391">
            <v>9520000</v>
          </cell>
          <cell r="F391">
            <v>4760000</v>
          </cell>
          <cell r="G391">
            <v>7450000</v>
          </cell>
          <cell r="H391">
            <v>793333</v>
          </cell>
          <cell r="I391">
            <v>1225000</v>
          </cell>
        </row>
        <row r="392">
          <cell r="A392" t="str">
            <v>0510|440002</v>
          </cell>
          <cell r="B392" t="str">
            <v>0510</v>
          </cell>
          <cell r="C392">
            <v>440002</v>
          </cell>
          <cell r="D392">
            <v>41426</v>
          </cell>
          <cell r="E392">
            <v>6647061</v>
          </cell>
          <cell r="F392">
            <v>3323531</v>
          </cell>
          <cell r="G392">
            <v>0</v>
          </cell>
          <cell r="H392">
            <v>553922</v>
          </cell>
          <cell r="I392">
            <v>0</v>
          </cell>
        </row>
        <row r="393">
          <cell r="A393" t="str">
            <v>0510|440003</v>
          </cell>
          <cell r="B393" t="str">
            <v>0510</v>
          </cell>
          <cell r="C393">
            <v>440003</v>
          </cell>
          <cell r="D393">
            <v>41426</v>
          </cell>
          <cell r="E393">
            <v>33535615</v>
          </cell>
          <cell r="F393">
            <v>16767808</v>
          </cell>
          <cell r="G393">
            <v>22509609</v>
          </cell>
          <cell r="H393">
            <v>2794635</v>
          </cell>
          <cell r="I393">
            <v>5363120</v>
          </cell>
        </row>
        <row r="394">
          <cell r="A394" t="str">
            <v>0510|446002</v>
          </cell>
          <cell r="B394" t="str">
            <v>0510</v>
          </cell>
          <cell r="C394">
            <v>446002</v>
          </cell>
          <cell r="D394">
            <v>41426</v>
          </cell>
          <cell r="E394">
            <v>3323530</v>
          </cell>
          <cell r="F394">
            <v>1661765</v>
          </cell>
          <cell r="G394">
            <v>0</v>
          </cell>
          <cell r="H394">
            <v>276961</v>
          </cell>
          <cell r="I394">
            <v>0</v>
          </cell>
        </row>
        <row r="395">
          <cell r="A395" t="str">
            <v>0510|447002</v>
          </cell>
          <cell r="B395" t="str">
            <v>0510</v>
          </cell>
          <cell r="C395">
            <v>447002</v>
          </cell>
          <cell r="D395">
            <v>41426</v>
          </cell>
          <cell r="E395">
            <v>1252306</v>
          </cell>
          <cell r="F395">
            <v>626153</v>
          </cell>
          <cell r="G395">
            <v>0</v>
          </cell>
          <cell r="H395">
            <v>104359</v>
          </cell>
          <cell r="I395">
            <v>0</v>
          </cell>
        </row>
        <row r="396">
          <cell r="A396" t="str">
            <v>0510|447003</v>
          </cell>
          <cell r="B396" t="str">
            <v>0510</v>
          </cell>
          <cell r="C396">
            <v>447003</v>
          </cell>
          <cell r="D396">
            <v>41426</v>
          </cell>
          <cell r="E396">
            <v>6318299</v>
          </cell>
          <cell r="F396">
            <v>3159150</v>
          </cell>
          <cell r="G396">
            <v>1181008</v>
          </cell>
          <cell r="H396">
            <v>526525</v>
          </cell>
          <cell r="I396">
            <v>233396</v>
          </cell>
        </row>
        <row r="397">
          <cell r="A397" t="str">
            <v>0510|447012</v>
          </cell>
          <cell r="B397" t="str">
            <v>0510</v>
          </cell>
          <cell r="C397">
            <v>447012</v>
          </cell>
          <cell r="D397">
            <v>41426</v>
          </cell>
          <cell r="E397">
            <v>2951295</v>
          </cell>
          <cell r="F397">
            <v>1475648</v>
          </cell>
          <cell r="G397">
            <v>0</v>
          </cell>
          <cell r="H397">
            <v>245942</v>
          </cell>
          <cell r="I397">
            <v>0</v>
          </cell>
        </row>
        <row r="398">
          <cell r="A398" t="str">
            <v>0510|447013</v>
          </cell>
          <cell r="B398" t="str">
            <v>0510</v>
          </cell>
          <cell r="C398">
            <v>447013</v>
          </cell>
          <cell r="D398">
            <v>41426</v>
          </cell>
          <cell r="E398">
            <v>14889813</v>
          </cell>
          <cell r="F398">
            <v>7444907</v>
          </cell>
          <cell r="G398">
            <v>8092088</v>
          </cell>
          <cell r="H398">
            <v>1240818</v>
          </cell>
          <cell r="I398">
            <v>1599196</v>
          </cell>
        </row>
        <row r="399">
          <cell r="A399" t="str">
            <v>0510|447022</v>
          </cell>
          <cell r="B399" t="str">
            <v>0510</v>
          </cell>
          <cell r="C399">
            <v>447022</v>
          </cell>
          <cell r="D399">
            <v>41426</v>
          </cell>
          <cell r="E399">
            <v>125231</v>
          </cell>
          <cell r="F399">
            <v>62616</v>
          </cell>
          <cell r="G399">
            <v>0</v>
          </cell>
          <cell r="H399">
            <v>10436</v>
          </cell>
          <cell r="I399">
            <v>0</v>
          </cell>
        </row>
        <row r="400">
          <cell r="A400" t="str">
            <v>0510|447023</v>
          </cell>
          <cell r="B400" t="str">
            <v>0510</v>
          </cell>
          <cell r="C400">
            <v>447023</v>
          </cell>
          <cell r="D400">
            <v>41426</v>
          </cell>
          <cell r="E400">
            <v>522882</v>
          </cell>
          <cell r="F400">
            <v>261441</v>
          </cell>
          <cell r="G400">
            <v>208429</v>
          </cell>
          <cell r="H400">
            <v>43573</v>
          </cell>
          <cell r="I400">
            <v>41250</v>
          </cell>
        </row>
        <row r="401">
          <cell r="A401" t="str">
            <v>0510|448002</v>
          </cell>
          <cell r="B401" t="str">
            <v>0510</v>
          </cell>
          <cell r="C401">
            <v>448002</v>
          </cell>
          <cell r="D401">
            <v>41426</v>
          </cell>
          <cell r="E401">
            <v>5967791</v>
          </cell>
          <cell r="F401">
            <v>2983896</v>
          </cell>
          <cell r="G401">
            <v>760000</v>
          </cell>
          <cell r="H401">
            <v>497316</v>
          </cell>
          <cell r="I401">
            <v>380000</v>
          </cell>
        </row>
        <row r="402">
          <cell r="A402" t="str">
            <v>0510|448003</v>
          </cell>
          <cell r="B402" t="str">
            <v>0510</v>
          </cell>
          <cell r="C402">
            <v>448003</v>
          </cell>
          <cell r="D402">
            <v>41426</v>
          </cell>
          <cell r="E402">
            <v>23792707</v>
          </cell>
          <cell r="F402">
            <v>11896354</v>
          </cell>
          <cell r="G402">
            <v>6907800</v>
          </cell>
          <cell r="H402">
            <v>1982726</v>
          </cell>
          <cell r="I402">
            <v>285000</v>
          </cell>
        </row>
        <row r="403">
          <cell r="A403" t="str">
            <v>0510|449011</v>
          </cell>
          <cell r="B403" t="str">
            <v>0510</v>
          </cell>
          <cell r="C403">
            <v>449011</v>
          </cell>
          <cell r="D403">
            <v>41426</v>
          </cell>
          <cell r="E403">
            <v>75000000</v>
          </cell>
          <cell r="F403">
            <v>37500000</v>
          </cell>
          <cell r="G403">
            <v>0</v>
          </cell>
          <cell r="H403">
            <v>6250000</v>
          </cell>
          <cell r="I403">
            <v>0</v>
          </cell>
        </row>
        <row r="404">
          <cell r="A404" t="str">
            <v>0510|449022</v>
          </cell>
          <cell r="B404" t="str">
            <v>0510</v>
          </cell>
          <cell r="C404">
            <v>449022</v>
          </cell>
          <cell r="D404">
            <v>41426</v>
          </cell>
          <cell r="E404">
            <v>3960000</v>
          </cell>
          <cell r="F404">
            <v>1980000</v>
          </cell>
          <cell r="G404">
            <v>0</v>
          </cell>
          <cell r="H404">
            <v>330000</v>
          </cell>
          <cell r="I404">
            <v>0</v>
          </cell>
        </row>
        <row r="405">
          <cell r="A405" t="str">
            <v>0510|449023</v>
          </cell>
          <cell r="B405" t="str">
            <v>0510</v>
          </cell>
          <cell r="C405">
            <v>449023</v>
          </cell>
          <cell r="D405">
            <v>41426</v>
          </cell>
          <cell r="E405">
            <v>33396000</v>
          </cell>
          <cell r="F405">
            <v>16698000</v>
          </cell>
          <cell r="G405">
            <v>22226000</v>
          </cell>
          <cell r="H405">
            <v>2783000</v>
          </cell>
          <cell r="I405">
            <v>3693000</v>
          </cell>
        </row>
        <row r="406">
          <cell r="A406" t="str">
            <v>0510|449036</v>
          </cell>
          <cell r="B406" t="str">
            <v>0510</v>
          </cell>
          <cell r="C406">
            <v>449036</v>
          </cell>
          <cell r="D406">
            <v>41426</v>
          </cell>
          <cell r="E406">
            <v>390900000</v>
          </cell>
          <cell r="F406">
            <v>195450000</v>
          </cell>
          <cell r="G406">
            <v>123041775</v>
          </cell>
          <cell r="H406">
            <v>32575000</v>
          </cell>
          <cell r="I406">
            <v>-7154400</v>
          </cell>
        </row>
        <row r="407">
          <cell r="A407" t="str">
            <v>0510|449040</v>
          </cell>
          <cell r="B407" t="str">
            <v>0510</v>
          </cell>
          <cell r="C407">
            <v>449040</v>
          </cell>
          <cell r="D407">
            <v>41426</v>
          </cell>
          <cell r="E407">
            <v>35627887</v>
          </cell>
          <cell r="F407">
            <v>17813944</v>
          </cell>
          <cell r="G407">
            <v>142759504</v>
          </cell>
          <cell r="H407">
            <v>2968991</v>
          </cell>
          <cell r="I407">
            <v>25011360</v>
          </cell>
        </row>
        <row r="408">
          <cell r="A408" t="str">
            <v>0510|449050</v>
          </cell>
          <cell r="B408" t="str">
            <v>0510</v>
          </cell>
          <cell r="C408">
            <v>449050</v>
          </cell>
          <cell r="D408">
            <v>41426</v>
          </cell>
          <cell r="E408">
            <v>43179327</v>
          </cell>
          <cell r="F408">
            <v>21589664</v>
          </cell>
          <cell r="G408">
            <v>75089789</v>
          </cell>
          <cell r="H408">
            <v>3598278</v>
          </cell>
          <cell r="I408">
            <v>9712549</v>
          </cell>
        </row>
        <row r="409">
          <cell r="A409" t="str">
            <v>0510|449061</v>
          </cell>
          <cell r="B409" t="str">
            <v>0510</v>
          </cell>
          <cell r="C409">
            <v>449061</v>
          </cell>
          <cell r="D409">
            <v>41426</v>
          </cell>
          <cell r="E409">
            <v>9212879</v>
          </cell>
          <cell r="F409">
            <v>4606440</v>
          </cell>
          <cell r="G409">
            <v>3897000</v>
          </cell>
          <cell r="H409">
            <v>767740</v>
          </cell>
          <cell r="I409">
            <v>993000</v>
          </cell>
        </row>
        <row r="410">
          <cell r="A410" t="str">
            <v>0510|459000</v>
          </cell>
          <cell r="B410" t="str">
            <v>0510</v>
          </cell>
          <cell r="C410">
            <v>459000</v>
          </cell>
          <cell r="D410">
            <v>41426</v>
          </cell>
          <cell r="E410">
            <v>1387305</v>
          </cell>
          <cell r="F410">
            <v>693653</v>
          </cell>
          <cell r="G410">
            <v>0</v>
          </cell>
          <cell r="H410">
            <v>115609</v>
          </cell>
          <cell r="I410">
            <v>0</v>
          </cell>
        </row>
        <row r="411">
          <cell r="A411" t="str">
            <v>0510|470001</v>
          </cell>
          <cell r="B411" t="str">
            <v>0510</v>
          </cell>
          <cell r="C411">
            <v>470001</v>
          </cell>
          <cell r="D411">
            <v>41426</v>
          </cell>
          <cell r="E411">
            <v>302382340</v>
          </cell>
          <cell r="F411">
            <v>151191170</v>
          </cell>
          <cell r="G411">
            <v>0</v>
          </cell>
          <cell r="H411">
            <v>25198528</v>
          </cell>
          <cell r="I411">
            <v>0</v>
          </cell>
        </row>
        <row r="412">
          <cell r="A412" t="str">
            <v>0510|472000</v>
          </cell>
          <cell r="B412" t="str">
            <v>0510</v>
          </cell>
          <cell r="C412">
            <v>472000</v>
          </cell>
          <cell r="D412">
            <v>41426</v>
          </cell>
          <cell r="E412">
            <v>2500000</v>
          </cell>
          <cell r="F412">
            <v>1250000</v>
          </cell>
          <cell r="G412">
            <v>0</v>
          </cell>
          <cell r="H412">
            <v>208333</v>
          </cell>
          <cell r="I412">
            <v>0</v>
          </cell>
        </row>
        <row r="413">
          <cell r="A413" t="str">
            <v>0510|473000</v>
          </cell>
          <cell r="B413" t="str">
            <v>0510</v>
          </cell>
          <cell r="C413">
            <v>473000</v>
          </cell>
          <cell r="D413">
            <v>41426</v>
          </cell>
          <cell r="E413">
            <v>608700</v>
          </cell>
          <cell r="F413">
            <v>304350</v>
          </cell>
          <cell r="G413">
            <v>9000</v>
          </cell>
          <cell r="H413">
            <v>50725</v>
          </cell>
          <cell r="I413">
            <v>6000</v>
          </cell>
        </row>
        <row r="414">
          <cell r="A414" t="str">
            <v>0510|473120</v>
          </cell>
          <cell r="B414" t="str">
            <v>0510</v>
          </cell>
          <cell r="C414">
            <v>473120</v>
          </cell>
          <cell r="D414">
            <v>41426</v>
          </cell>
          <cell r="E414">
            <v>13874052</v>
          </cell>
          <cell r="F414">
            <v>6937026</v>
          </cell>
          <cell r="G414">
            <v>7032989</v>
          </cell>
          <cell r="H414">
            <v>1156171</v>
          </cell>
          <cell r="I414">
            <v>2248033</v>
          </cell>
        </row>
        <row r="415">
          <cell r="A415" t="str">
            <v>0510|474100</v>
          </cell>
          <cell r="B415" t="str">
            <v>0510</v>
          </cell>
          <cell r="C415">
            <v>474100</v>
          </cell>
          <cell r="D415">
            <v>41426</v>
          </cell>
          <cell r="E415">
            <v>61067153</v>
          </cell>
          <cell r="F415">
            <v>30533577</v>
          </cell>
          <cell r="G415">
            <v>65813670</v>
          </cell>
          <cell r="H415">
            <v>5088930</v>
          </cell>
          <cell r="I415">
            <v>0</v>
          </cell>
        </row>
        <row r="416">
          <cell r="A416" t="str">
            <v>0510|474101</v>
          </cell>
          <cell r="B416" t="str">
            <v>0510</v>
          </cell>
          <cell r="C416">
            <v>474101</v>
          </cell>
          <cell r="D416">
            <v>41426</v>
          </cell>
          <cell r="E416">
            <v>2556595</v>
          </cell>
          <cell r="F416">
            <v>1278298</v>
          </cell>
          <cell r="G416">
            <v>150000</v>
          </cell>
          <cell r="H416">
            <v>213050</v>
          </cell>
          <cell r="I416">
            <v>0</v>
          </cell>
        </row>
        <row r="417">
          <cell r="A417" t="str">
            <v>0510|475000</v>
          </cell>
          <cell r="B417" t="str">
            <v>0510</v>
          </cell>
          <cell r="C417">
            <v>475000</v>
          </cell>
          <cell r="D417">
            <v>41426</v>
          </cell>
          <cell r="E417">
            <v>5312666</v>
          </cell>
          <cell r="F417">
            <v>2656333</v>
          </cell>
          <cell r="G417">
            <v>0</v>
          </cell>
          <cell r="H417">
            <v>442722</v>
          </cell>
          <cell r="I417">
            <v>0</v>
          </cell>
        </row>
        <row r="418">
          <cell r="A418" t="str">
            <v>0510|475003</v>
          </cell>
          <cell r="B418" t="str">
            <v>0510</v>
          </cell>
          <cell r="C418">
            <v>475003</v>
          </cell>
          <cell r="D418">
            <v>41426</v>
          </cell>
          <cell r="E418">
            <v>3181374</v>
          </cell>
          <cell r="F418">
            <v>1590687</v>
          </cell>
          <cell r="G418">
            <v>1150000</v>
          </cell>
          <cell r="H418">
            <v>265114</v>
          </cell>
          <cell r="I418">
            <v>0</v>
          </cell>
        </row>
        <row r="419">
          <cell r="A419" t="str">
            <v>0510|475006</v>
          </cell>
          <cell r="B419" t="str">
            <v>0510</v>
          </cell>
          <cell r="C419">
            <v>475006</v>
          </cell>
          <cell r="D419">
            <v>41426</v>
          </cell>
          <cell r="E419">
            <v>0</v>
          </cell>
          <cell r="F419">
            <v>0</v>
          </cell>
          <cell r="G419">
            <v>4121235</v>
          </cell>
          <cell r="H419">
            <v>0</v>
          </cell>
          <cell r="I419">
            <v>788372</v>
          </cell>
        </row>
        <row r="420">
          <cell r="A420" t="str">
            <v>0510|476001</v>
          </cell>
          <cell r="B420" t="str">
            <v>0510</v>
          </cell>
          <cell r="C420">
            <v>476001</v>
          </cell>
          <cell r="D420">
            <v>41426</v>
          </cell>
          <cell r="E420">
            <v>2259951</v>
          </cell>
          <cell r="F420">
            <v>1129976</v>
          </cell>
          <cell r="G420">
            <v>2250046</v>
          </cell>
          <cell r="H420">
            <v>188330</v>
          </cell>
          <cell r="I420">
            <v>400000</v>
          </cell>
        </row>
        <row r="421">
          <cell r="A421" t="str">
            <v>0510|476900</v>
          </cell>
          <cell r="B421" t="str">
            <v>0510</v>
          </cell>
          <cell r="C421">
            <v>476900</v>
          </cell>
          <cell r="D421">
            <v>41426</v>
          </cell>
          <cell r="E421">
            <v>4793460</v>
          </cell>
          <cell r="F421">
            <v>2396730</v>
          </cell>
          <cell r="G421">
            <v>3168596</v>
          </cell>
          <cell r="H421">
            <v>399455</v>
          </cell>
          <cell r="I421">
            <v>1517890</v>
          </cell>
        </row>
        <row r="422">
          <cell r="A422" t="str">
            <v>0510|477001</v>
          </cell>
          <cell r="B422" t="str">
            <v>0510</v>
          </cell>
          <cell r="C422">
            <v>477001</v>
          </cell>
          <cell r="D422">
            <v>41426</v>
          </cell>
          <cell r="E422">
            <v>36800000</v>
          </cell>
          <cell r="F422">
            <v>18400000</v>
          </cell>
          <cell r="G422">
            <v>0</v>
          </cell>
          <cell r="H422">
            <v>3066667</v>
          </cell>
          <cell r="I422">
            <v>0</v>
          </cell>
        </row>
        <row r="423">
          <cell r="A423" t="str">
            <v>0510|477450</v>
          </cell>
          <cell r="B423" t="str">
            <v>0510</v>
          </cell>
          <cell r="C423">
            <v>477450</v>
          </cell>
          <cell r="D423">
            <v>41426</v>
          </cell>
          <cell r="E423">
            <v>9200000</v>
          </cell>
          <cell r="F423">
            <v>4600000</v>
          </cell>
          <cell r="G423">
            <v>0</v>
          </cell>
          <cell r="H423">
            <v>766667</v>
          </cell>
          <cell r="I423">
            <v>0</v>
          </cell>
        </row>
        <row r="424">
          <cell r="A424" t="str">
            <v>0520|211100</v>
          </cell>
          <cell r="B424" t="str">
            <v>0520</v>
          </cell>
          <cell r="C424">
            <v>211100</v>
          </cell>
          <cell r="D424">
            <v>41426</v>
          </cell>
          <cell r="E424">
            <v>4106696</v>
          </cell>
          <cell r="F424">
            <v>2053348</v>
          </cell>
          <cell r="G424">
            <v>2222385</v>
          </cell>
          <cell r="H424">
            <v>342225</v>
          </cell>
          <cell r="I424">
            <v>370402</v>
          </cell>
        </row>
        <row r="425">
          <cell r="A425" t="str">
            <v>0520|420003</v>
          </cell>
          <cell r="B425" t="str">
            <v>0520</v>
          </cell>
          <cell r="C425">
            <v>420003</v>
          </cell>
          <cell r="D425">
            <v>41426</v>
          </cell>
          <cell r="E425">
            <v>549334080</v>
          </cell>
          <cell r="F425">
            <v>274667040</v>
          </cell>
          <cell r="G425">
            <v>269485368</v>
          </cell>
          <cell r="H425">
            <v>45777840</v>
          </cell>
          <cell r="I425">
            <v>66389757</v>
          </cell>
        </row>
        <row r="426">
          <cell r="A426" t="str">
            <v>0520|434013</v>
          </cell>
          <cell r="B426" t="str">
            <v>0520</v>
          </cell>
          <cell r="C426">
            <v>434013</v>
          </cell>
          <cell r="D426">
            <v>41426</v>
          </cell>
          <cell r="E426">
            <v>0</v>
          </cell>
          <cell r="F426">
            <v>0</v>
          </cell>
          <cell r="G426">
            <v>11488416</v>
          </cell>
          <cell r="H426">
            <v>0</v>
          </cell>
          <cell r="I426">
            <v>2401952</v>
          </cell>
        </row>
        <row r="427">
          <cell r="A427" t="str">
            <v>0520|435003</v>
          </cell>
          <cell r="B427" t="str">
            <v>0520</v>
          </cell>
          <cell r="C427">
            <v>435003</v>
          </cell>
          <cell r="D427">
            <v>41426</v>
          </cell>
          <cell r="E427">
            <v>68666760</v>
          </cell>
          <cell r="F427">
            <v>34333380</v>
          </cell>
          <cell r="G427">
            <v>78441500</v>
          </cell>
          <cell r="H427">
            <v>5722230</v>
          </cell>
          <cell r="I427">
            <v>0</v>
          </cell>
        </row>
        <row r="428">
          <cell r="A428" t="str">
            <v>0520|439003</v>
          </cell>
          <cell r="B428" t="str">
            <v>0520</v>
          </cell>
          <cell r="C428">
            <v>439003</v>
          </cell>
          <cell r="D428">
            <v>41426</v>
          </cell>
          <cell r="E428">
            <v>118349638</v>
          </cell>
          <cell r="F428">
            <v>59174819</v>
          </cell>
          <cell r="G428">
            <v>63441929</v>
          </cell>
          <cell r="H428">
            <v>9862470</v>
          </cell>
          <cell r="I428">
            <v>12890421</v>
          </cell>
        </row>
        <row r="429">
          <cell r="A429" t="str">
            <v>0520|439203</v>
          </cell>
          <cell r="B429" t="str">
            <v>0520</v>
          </cell>
          <cell r="C429">
            <v>439203</v>
          </cell>
          <cell r="D429">
            <v>41426</v>
          </cell>
          <cell r="E429">
            <v>17280000</v>
          </cell>
          <cell r="F429">
            <v>8640000</v>
          </cell>
          <cell r="G429">
            <v>8675000</v>
          </cell>
          <cell r="H429">
            <v>1440000</v>
          </cell>
          <cell r="I429">
            <v>1675000</v>
          </cell>
        </row>
        <row r="430">
          <cell r="A430" t="str">
            <v>0520|440003</v>
          </cell>
          <cell r="B430" t="str">
            <v>0520</v>
          </cell>
          <cell r="C430">
            <v>440003</v>
          </cell>
          <cell r="D430">
            <v>41426</v>
          </cell>
          <cell r="E430">
            <v>45777840</v>
          </cell>
          <cell r="F430">
            <v>22888920</v>
          </cell>
          <cell r="G430">
            <v>26941104</v>
          </cell>
          <cell r="H430">
            <v>3814820</v>
          </cell>
          <cell r="I430">
            <v>7890485</v>
          </cell>
        </row>
        <row r="431">
          <cell r="A431" t="str">
            <v>0520|447003</v>
          </cell>
          <cell r="B431" t="str">
            <v>0520</v>
          </cell>
          <cell r="C431">
            <v>447003</v>
          </cell>
          <cell r="D431">
            <v>41426</v>
          </cell>
          <cell r="E431">
            <v>8624358</v>
          </cell>
          <cell r="F431">
            <v>4312179</v>
          </cell>
          <cell r="G431">
            <v>1365796</v>
          </cell>
          <cell r="H431">
            <v>718696</v>
          </cell>
          <cell r="I431">
            <v>379744</v>
          </cell>
        </row>
        <row r="432">
          <cell r="A432" t="str">
            <v>0520|447013</v>
          </cell>
          <cell r="B432" t="str">
            <v>0520</v>
          </cell>
          <cell r="C432">
            <v>447013</v>
          </cell>
          <cell r="D432">
            <v>41426</v>
          </cell>
          <cell r="E432">
            <v>20325361</v>
          </cell>
          <cell r="F432">
            <v>10162681</v>
          </cell>
          <cell r="G432">
            <v>9358243</v>
          </cell>
          <cell r="H432">
            <v>1693781</v>
          </cell>
          <cell r="I432">
            <v>2601951</v>
          </cell>
        </row>
        <row r="433">
          <cell r="A433" t="str">
            <v>0520|447023</v>
          </cell>
          <cell r="B433" t="str">
            <v>0520</v>
          </cell>
          <cell r="C433">
            <v>447023</v>
          </cell>
          <cell r="D433">
            <v>41426</v>
          </cell>
          <cell r="E433">
            <v>713724</v>
          </cell>
          <cell r="F433">
            <v>356862</v>
          </cell>
          <cell r="G433">
            <v>240194</v>
          </cell>
          <cell r="H433">
            <v>59477</v>
          </cell>
          <cell r="I433">
            <v>67018</v>
          </cell>
        </row>
        <row r="434">
          <cell r="A434" t="str">
            <v>0520|448003</v>
          </cell>
          <cell r="B434" t="str">
            <v>0520</v>
          </cell>
          <cell r="C434">
            <v>448003</v>
          </cell>
          <cell r="D434">
            <v>41426</v>
          </cell>
          <cell r="E434">
            <v>33114983</v>
          </cell>
          <cell r="F434">
            <v>16557492</v>
          </cell>
          <cell r="G434">
            <v>6015600</v>
          </cell>
          <cell r="H434">
            <v>2759582</v>
          </cell>
          <cell r="I434">
            <v>771300</v>
          </cell>
        </row>
        <row r="435">
          <cell r="A435" t="str">
            <v>0520|449023</v>
          </cell>
          <cell r="B435" t="str">
            <v>0520</v>
          </cell>
          <cell r="C435">
            <v>449023</v>
          </cell>
          <cell r="D435">
            <v>41426</v>
          </cell>
          <cell r="E435">
            <v>37356000</v>
          </cell>
          <cell r="F435">
            <v>18678000</v>
          </cell>
          <cell r="G435">
            <v>22900475</v>
          </cell>
          <cell r="H435">
            <v>3113000</v>
          </cell>
          <cell r="I435">
            <v>5945000</v>
          </cell>
        </row>
        <row r="436">
          <cell r="A436" t="str">
            <v>0520|449040</v>
          </cell>
          <cell r="B436" t="str">
            <v>0520</v>
          </cell>
          <cell r="C436">
            <v>449040</v>
          </cell>
          <cell r="D436">
            <v>41426</v>
          </cell>
          <cell r="E436">
            <v>1363520</v>
          </cell>
          <cell r="F436">
            <v>681760</v>
          </cell>
          <cell r="G436">
            <v>0</v>
          </cell>
          <cell r="H436">
            <v>113627</v>
          </cell>
          <cell r="I436">
            <v>0</v>
          </cell>
        </row>
        <row r="437">
          <cell r="A437" t="str">
            <v>0520|449050</v>
          </cell>
          <cell r="B437" t="str">
            <v>0520</v>
          </cell>
          <cell r="C437">
            <v>449050</v>
          </cell>
          <cell r="D437">
            <v>41426</v>
          </cell>
          <cell r="E437">
            <v>31998151</v>
          </cell>
          <cell r="F437">
            <v>15999076</v>
          </cell>
          <cell r="G437">
            <v>14799982</v>
          </cell>
          <cell r="H437">
            <v>2666513</v>
          </cell>
          <cell r="I437">
            <v>2466667</v>
          </cell>
        </row>
        <row r="438">
          <cell r="A438" t="str">
            <v>0520|449061</v>
          </cell>
          <cell r="B438" t="str">
            <v>0520</v>
          </cell>
          <cell r="C438">
            <v>449061</v>
          </cell>
          <cell r="D438">
            <v>41426</v>
          </cell>
          <cell r="E438">
            <v>41403314</v>
          </cell>
          <cell r="F438">
            <v>20701657</v>
          </cell>
          <cell r="G438">
            <v>189400</v>
          </cell>
          <cell r="H438">
            <v>3450276</v>
          </cell>
          <cell r="I438">
            <v>-4096000</v>
          </cell>
        </row>
        <row r="439">
          <cell r="A439" t="str">
            <v>0520|471000</v>
          </cell>
          <cell r="B439" t="str">
            <v>0520</v>
          </cell>
          <cell r="C439">
            <v>471000</v>
          </cell>
          <cell r="D439">
            <v>41426</v>
          </cell>
          <cell r="E439">
            <v>3709907</v>
          </cell>
          <cell r="F439">
            <v>1854954</v>
          </cell>
          <cell r="G439">
            <v>0</v>
          </cell>
          <cell r="H439">
            <v>309159</v>
          </cell>
          <cell r="I439">
            <v>0</v>
          </cell>
        </row>
        <row r="440">
          <cell r="A440" t="str">
            <v>0520|472000</v>
          </cell>
          <cell r="B440" t="str">
            <v>0520</v>
          </cell>
          <cell r="C440">
            <v>472000</v>
          </cell>
          <cell r="D440">
            <v>41426</v>
          </cell>
          <cell r="E440">
            <v>0</v>
          </cell>
          <cell r="F440">
            <v>0</v>
          </cell>
          <cell r="G440">
            <v>186202</v>
          </cell>
          <cell r="H440">
            <v>0</v>
          </cell>
          <cell r="I440">
            <v>0</v>
          </cell>
        </row>
        <row r="441">
          <cell r="A441" t="str">
            <v>0520|473000</v>
          </cell>
          <cell r="B441" t="str">
            <v>0520</v>
          </cell>
          <cell r="C441">
            <v>473000</v>
          </cell>
          <cell r="D441">
            <v>41426</v>
          </cell>
          <cell r="E441">
            <v>8194881</v>
          </cell>
          <cell r="F441">
            <v>4097441</v>
          </cell>
          <cell r="G441">
            <v>2584750</v>
          </cell>
          <cell r="H441">
            <v>682907</v>
          </cell>
          <cell r="I441">
            <v>519250</v>
          </cell>
        </row>
        <row r="442">
          <cell r="A442" t="str">
            <v>0520|473120</v>
          </cell>
          <cell r="B442" t="str">
            <v>0520</v>
          </cell>
          <cell r="C442">
            <v>473120</v>
          </cell>
          <cell r="D442">
            <v>41426</v>
          </cell>
          <cell r="E442">
            <v>14269652</v>
          </cell>
          <cell r="F442">
            <v>7134826</v>
          </cell>
          <cell r="G442">
            <v>9583084</v>
          </cell>
          <cell r="H442">
            <v>1189138</v>
          </cell>
          <cell r="I442">
            <v>1672473</v>
          </cell>
        </row>
        <row r="443">
          <cell r="A443" t="str">
            <v>0520|474100</v>
          </cell>
          <cell r="B443" t="str">
            <v>0520</v>
          </cell>
          <cell r="C443">
            <v>474100</v>
          </cell>
          <cell r="D443">
            <v>41426</v>
          </cell>
          <cell r="E443">
            <v>32174891</v>
          </cell>
          <cell r="F443">
            <v>16087446</v>
          </cell>
          <cell r="G443">
            <v>321824</v>
          </cell>
          <cell r="H443">
            <v>2681241</v>
          </cell>
          <cell r="I443">
            <v>-341820</v>
          </cell>
        </row>
        <row r="444">
          <cell r="A444" t="str">
            <v>0520|474101</v>
          </cell>
          <cell r="B444" t="str">
            <v>0520</v>
          </cell>
          <cell r="C444">
            <v>474101</v>
          </cell>
          <cell r="D444">
            <v>41426</v>
          </cell>
          <cell r="E444">
            <v>48500865</v>
          </cell>
          <cell r="F444">
            <v>24250433</v>
          </cell>
          <cell r="G444">
            <v>-21005233</v>
          </cell>
          <cell r="H444">
            <v>4041739</v>
          </cell>
          <cell r="I444">
            <v>-115371337</v>
          </cell>
        </row>
        <row r="445">
          <cell r="A445" t="str">
            <v>0520|475003</v>
          </cell>
          <cell r="B445" t="str">
            <v>0520</v>
          </cell>
          <cell r="C445">
            <v>475003</v>
          </cell>
          <cell r="D445">
            <v>41426</v>
          </cell>
          <cell r="E445">
            <v>3834577</v>
          </cell>
          <cell r="F445">
            <v>1917289</v>
          </cell>
          <cell r="G445">
            <v>1917000</v>
          </cell>
          <cell r="H445">
            <v>319549</v>
          </cell>
          <cell r="I445">
            <v>0</v>
          </cell>
        </row>
        <row r="446">
          <cell r="A446" t="str">
            <v>0520|475006</v>
          </cell>
          <cell r="B446" t="str">
            <v>0520</v>
          </cell>
          <cell r="C446">
            <v>475006</v>
          </cell>
          <cell r="D446">
            <v>41426</v>
          </cell>
          <cell r="E446">
            <v>2788614</v>
          </cell>
          <cell r="F446">
            <v>1394307</v>
          </cell>
          <cell r="G446">
            <v>0</v>
          </cell>
          <cell r="H446">
            <v>232384</v>
          </cell>
          <cell r="I446">
            <v>0</v>
          </cell>
        </row>
        <row r="447">
          <cell r="A447" t="str">
            <v>0520|476000</v>
          </cell>
          <cell r="B447" t="str">
            <v>0520</v>
          </cell>
          <cell r="C447">
            <v>476000</v>
          </cell>
          <cell r="D447">
            <v>41426</v>
          </cell>
          <cell r="E447">
            <v>5704853</v>
          </cell>
          <cell r="F447">
            <v>2852427</v>
          </cell>
          <cell r="G447">
            <v>319800</v>
          </cell>
          <cell r="H447">
            <v>475405</v>
          </cell>
          <cell r="I447">
            <v>0</v>
          </cell>
        </row>
        <row r="448">
          <cell r="A448" t="str">
            <v>0520|476001</v>
          </cell>
          <cell r="B448" t="str">
            <v>0520</v>
          </cell>
          <cell r="C448">
            <v>476001</v>
          </cell>
          <cell r="D448">
            <v>41426</v>
          </cell>
          <cell r="E448">
            <v>1222125</v>
          </cell>
          <cell r="F448">
            <v>611063</v>
          </cell>
          <cell r="G448">
            <v>47312500</v>
          </cell>
          <cell r="H448">
            <v>101844</v>
          </cell>
          <cell r="I448">
            <v>38612500</v>
          </cell>
        </row>
        <row r="449">
          <cell r="A449" t="str">
            <v>0520|476204</v>
          </cell>
          <cell r="B449" t="str">
            <v>0520</v>
          </cell>
          <cell r="C449">
            <v>476204</v>
          </cell>
          <cell r="D449">
            <v>41426</v>
          </cell>
          <cell r="E449">
            <v>0</v>
          </cell>
          <cell r="F449">
            <v>0</v>
          </cell>
          <cell r="G449">
            <v>-67254224</v>
          </cell>
          <cell r="H449">
            <v>0</v>
          </cell>
          <cell r="I449">
            <v>-26513008</v>
          </cell>
        </row>
        <row r="450">
          <cell r="A450" t="str">
            <v>0520|476220</v>
          </cell>
          <cell r="B450" t="str">
            <v>0520</v>
          </cell>
          <cell r="C450">
            <v>476220</v>
          </cell>
          <cell r="D450">
            <v>41426</v>
          </cell>
          <cell r="E450">
            <v>126792460</v>
          </cell>
          <cell r="F450">
            <v>63396230</v>
          </cell>
          <cell r="G450">
            <v>976078315</v>
          </cell>
          <cell r="H450">
            <v>10566038</v>
          </cell>
          <cell r="I450">
            <v>323639156</v>
          </cell>
        </row>
        <row r="451">
          <cell r="A451" t="str">
            <v>0520|477100</v>
          </cell>
          <cell r="B451" t="str">
            <v>0520</v>
          </cell>
          <cell r="C451">
            <v>477100</v>
          </cell>
          <cell r="D451">
            <v>41426</v>
          </cell>
          <cell r="E451">
            <v>300000000</v>
          </cell>
          <cell r="F451">
            <v>150000000</v>
          </cell>
          <cell r="G451">
            <v>150000000</v>
          </cell>
          <cell r="H451">
            <v>25000000</v>
          </cell>
          <cell r="I451">
            <v>25000000</v>
          </cell>
        </row>
        <row r="452">
          <cell r="A452" t="str">
            <v>0520|477300</v>
          </cell>
          <cell r="B452" t="str">
            <v>0520</v>
          </cell>
          <cell r="C452">
            <v>477300</v>
          </cell>
          <cell r="D452">
            <v>41426</v>
          </cell>
          <cell r="E452">
            <v>1357001000</v>
          </cell>
          <cell r="F452">
            <v>678500500</v>
          </cell>
          <cell r="G452">
            <v>1212299771</v>
          </cell>
          <cell r="H452">
            <v>113083417</v>
          </cell>
          <cell r="I452">
            <v>0</v>
          </cell>
        </row>
        <row r="453">
          <cell r="A453" t="str">
            <v>0520|477400</v>
          </cell>
          <cell r="B453" t="str">
            <v>0520</v>
          </cell>
          <cell r="C453">
            <v>477400</v>
          </cell>
          <cell r="D453">
            <v>41426</v>
          </cell>
          <cell r="E453">
            <v>250000000</v>
          </cell>
          <cell r="F453">
            <v>125000000</v>
          </cell>
          <cell r="G453">
            <v>0</v>
          </cell>
          <cell r="H453">
            <v>20833333</v>
          </cell>
          <cell r="I453">
            <v>0</v>
          </cell>
        </row>
        <row r="454">
          <cell r="A454" t="str">
            <v>0520|477450</v>
          </cell>
          <cell r="B454" t="str">
            <v>0520</v>
          </cell>
          <cell r="C454">
            <v>477450</v>
          </cell>
          <cell r="D454">
            <v>41426</v>
          </cell>
          <cell r="E454">
            <v>1103999000</v>
          </cell>
          <cell r="F454">
            <v>551999500</v>
          </cell>
          <cell r="G454">
            <v>241325000</v>
          </cell>
          <cell r="H454">
            <v>91999917</v>
          </cell>
          <cell r="I454">
            <v>0</v>
          </cell>
        </row>
        <row r="455">
          <cell r="A455" t="str">
            <v>0530|246003</v>
          </cell>
          <cell r="B455" t="str">
            <v>0530</v>
          </cell>
          <cell r="C455">
            <v>246003</v>
          </cell>
          <cell r="D455">
            <v>41426</v>
          </cell>
          <cell r="E455">
            <v>100000000</v>
          </cell>
          <cell r="F455">
            <v>50000000</v>
          </cell>
          <cell r="G455">
            <v>0</v>
          </cell>
          <cell r="H455">
            <v>8333333</v>
          </cell>
          <cell r="I455">
            <v>0</v>
          </cell>
        </row>
        <row r="456">
          <cell r="A456" t="str">
            <v>0530|400040</v>
          </cell>
          <cell r="B456" t="str">
            <v>0530</v>
          </cell>
          <cell r="C456">
            <v>400040</v>
          </cell>
          <cell r="D456">
            <v>41426</v>
          </cell>
          <cell r="E456">
            <v>0</v>
          </cell>
          <cell r="F456">
            <v>0</v>
          </cell>
          <cell r="G456">
            <v>2166418</v>
          </cell>
          <cell r="H456">
            <v>0</v>
          </cell>
          <cell r="I456">
            <v>2166418</v>
          </cell>
        </row>
        <row r="457">
          <cell r="A457" t="str">
            <v>0530|405200</v>
          </cell>
          <cell r="B457" t="str">
            <v>0530</v>
          </cell>
          <cell r="C457">
            <v>405200</v>
          </cell>
          <cell r="D457">
            <v>41426</v>
          </cell>
          <cell r="E457">
            <v>0</v>
          </cell>
          <cell r="F457">
            <v>0</v>
          </cell>
          <cell r="G457">
            <v>3839000</v>
          </cell>
          <cell r="H457">
            <v>0</v>
          </cell>
          <cell r="I457">
            <v>0</v>
          </cell>
        </row>
        <row r="458">
          <cell r="A458" t="str">
            <v>0530|420003</v>
          </cell>
          <cell r="B458" t="str">
            <v>0530</v>
          </cell>
          <cell r="C458">
            <v>420003</v>
          </cell>
          <cell r="D458">
            <v>41426</v>
          </cell>
          <cell r="E458">
            <v>611847132</v>
          </cell>
          <cell r="F458">
            <v>305923566</v>
          </cell>
          <cell r="G458">
            <v>289520956</v>
          </cell>
          <cell r="H458">
            <v>50987261</v>
          </cell>
          <cell r="I458">
            <v>46118034</v>
          </cell>
        </row>
        <row r="459">
          <cell r="A459" t="str">
            <v>0530|431002</v>
          </cell>
          <cell r="B459" t="str">
            <v>0530</v>
          </cell>
          <cell r="C459">
            <v>431002</v>
          </cell>
          <cell r="D459">
            <v>41426</v>
          </cell>
          <cell r="E459">
            <v>3496157</v>
          </cell>
          <cell r="F459">
            <v>1748079</v>
          </cell>
          <cell r="G459">
            <v>3503452</v>
          </cell>
          <cell r="H459">
            <v>291347</v>
          </cell>
          <cell r="I459">
            <v>3503452</v>
          </cell>
        </row>
        <row r="460">
          <cell r="A460" t="str">
            <v>0530|434013</v>
          </cell>
          <cell r="B460" t="str">
            <v>0530</v>
          </cell>
          <cell r="C460">
            <v>434013</v>
          </cell>
          <cell r="D460">
            <v>41426</v>
          </cell>
          <cell r="E460">
            <v>0</v>
          </cell>
          <cell r="F460">
            <v>0</v>
          </cell>
          <cell r="G460">
            <v>6866955</v>
          </cell>
          <cell r="H460">
            <v>0</v>
          </cell>
          <cell r="I460">
            <v>1200976</v>
          </cell>
        </row>
        <row r="461">
          <cell r="A461" t="str">
            <v>0530|435003</v>
          </cell>
          <cell r="B461" t="str">
            <v>0530</v>
          </cell>
          <cell r="C461">
            <v>435003</v>
          </cell>
          <cell r="D461">
            <v>41426</v>
          </cell>
          <cell r="E461">
            <v>84480892</v>
          </cell>
          <cell r="F461">
            <v>42240446</v>
          </cell>
          <cell r="G461">
            <v>48400000</v>
          </cell>
          <cell r="H461">
            <v>7040074</v>
          </cell>
          <cell r="I461">
            <v>0</v>
          </cell>
        </row>
        <row r="462">
          <cell r="A462" t="str">
            <v>0530|439003</v>
          </cell>
          <cell r="B462" t="str">
            <v>0530</v>
          </cell>
          <cell r="C462">
            <v>439003</v>
          </cell>
          <cell r="D462">
            <v>41426</v>
          </cell>
          <cell r="E462">
            <v>78899758</v>
          </cell>
          <cell r="F462">
            <v>39449879</v>
          </cell>
          <cell r="G462">
            <v>36744577</v>
          </cell>
          <cell r="H462">
            <v>6574980</v>
          </cell>
          <cell r="I462">
            <v>6445211</v>
          </cell>
        </row>
        <row r="463">
          <cell r="A463" t="str">
            <v>0530|439203</v>
          </cell>
          <cell r="B463" t="str">
            <v>0530</v>
          </cell>
          <cell r="C463">
            <v>439203</v>
          </cell>
          <cell r="D463">
            <v>41426</v>
          </cell>
          <cell r="E463">
            <v>11520000</v>
          </cell>
          <cell r="F463">
            <v>5760000</v>
          </cell>
          <cell r="G463">
            <v>5400000</v>
          </cell>
          <cell r="H463">
            <v>960000</v>
          </cell>
          <cell r="I463">
            <v>1000000</v>
          </cell>
        </row>
        <row r="464">
          <cell r="A464" t="str">
            <v>0530|440003</v>
          </cell>
          <cell r="B464" t="str">
            <v>0530</v>
          </cell>
          <cell r="C464">
            <v>440003</v>
          </cell>
          <cell r="D464">
            <v>41426</v>
          </cell>
          <cell r="E464">
            <v>56320594</v>
          </cell>
          <cell r="F464">
            <v>28160297</v>
          </cell>
          <cell r="G464">
            <v>28776593</v>
          </cell>
          <cell r="H464">
            <v>4693383</v>
          </cell>
          <cell r="I464">
            <v>5481172</v>
          </cell>
        </row>
        <row r="465">
          <cell r="A465" t="str">
            <v>0530|447003</v>
          </cell>
          <cell r="B465" t="str">
            <v>0530</v>
          </cell>
          <cell r="C465">
            <v>447003</v>
          </cell>
          <cell r="D465">
            <v>41426</v>
          </cell>
          <cell r="E465">
            <v>10611711</v>
          </cell>
          <cell r="F465">
            <v>5305856</v>
          </cell>
          <cell r="G465">
            <v>1719579</v>
          </cell>
          <cell r="H465">
            <v>884310</v>
          </cell>
          <cell r="I465">
            <v>284281</v>
          </cell>
        </row>
        <row r="466">
          <cell r="A466" t="str">
            <v>0530|447013</v>
          </cell>
          <cell r="B466" t="str">
            <v>0530</v>
          </cell>
          <cell r="C466">
            <v>447013</v>
          </cell>
          <cell r="D466">
            <v>41426</v>
          </cell>
          <cell r="E466">
            <v>25006344</v>
          </cell>
          <cell r="F466">
            <v>12503172</v>
          </cell>
          <cell r="G466">
            <v>11782283</v>
          </cell>
          <cell r="H466">
            <v>2083862</v>
          </cell>
          <cell r="I466">
            <v>1947847</v>
          </cell>
        </row>
        <row r="467">
          <cell r="A467" t="str">
            <v>0530|447023</v>
          </cell>
          <cell r="B467" t="str">
            <v>0530</v>
          </cell>
          <cell r="C467">
            <v>447023</v>
          </cell>
          <cell r="D467">
            <v>41426</v>
          </cell>
          <cell r="E467">
            <v>878191</v>
          </cell>
          <cell r="F467">
            <v>439096</v>
          </cell>
          <cell r="G467">
            <v>490305</v>
          </cell>
          <cell r="H467">
            <v>73183</v>
          </cell>
          <cell r="I467">
            <v>79587</v>
          </cell>
        </row>
        <row r="468">
          <cell r="A468" t="str">
            <v>0530|448003</v>
          </cell>
          <cell r="B468" t="str">
            <v>0530</v>
          </cell>
          <cell r="C468">
            <v>448003</v>
          </cell>
          <cell r="D468">
            <v>41426</v>
          </cell>
          <cell r="E468">
            <v>36269801</v>
          </cell>
          <cell r="F468">
            <v>18134901</v>
          </cell>
          <cell r="G468">
            <v>1941970</v>
          </cell>
          <cell r="H468">
            <v>3022484</v>
          </cell>
          <cell r="I468">
            <v>0</v>
          </cell>
        </row>
        <row r="469">
          <cell r="A469" t="str">
            <v>0530|449023</v>
          </cell>
          <cell r="B469" t="str">
            <v>0530</v>
          </cell>
          <cell r="C469">
            <v>449023</v>
          </cell>
          <cell r="D469">
            <v>41426</v>
          </cell>
          <cell r="E469">
            <v>29436000</v>
          </cell>
          <cell r="F469">
            <v>14718000</v>
          </cell>
          <cell r="G469">
            <v>21646000</v>
          </cell>
          <cell r="H469">
            <v>2453000</v>
          </cell>
          <cell r="I469">
            <v>340000</v>
          </cell>
        </row>
        <row r="470">
          <cell r="A470" t="str">
            <v>0530|449032</v>
          </cell>
          <cell r="B470" t="str">
            <v>0530</v>
          </cell>
          <cell r="C470">
            <v>449032</v>
          </cell>
          <cell r="D470">
            <v>41426</v>
          </cell>
          <cell r="E470">
            <v>3795673</v>
          </cell>
          <cell r="F470">
            <v>1897837</v>
          </cell>
          <cell r="G470">
            <v>0</v>
          </cell>
          <cell r="H470">
            <v>316307</v>
          </cell>
          <cell r="I470">
            <v>0</v>
          </cell>
        </row>
        <row r="471">
          <cell r="A471" t="str">
            <v>0530|449040</v>
          </cell>
          <cell r="B471" t="str">
            <v>0530</v>
          </cell>
          <cell r="C471">
            <v>449040</v>
          </cell>
          <cell r="D471">
            <v>41426</v>
          </cell>
          <cell r="E471">
            <v>17942803</v>
          </cell>
          <cell r="F471">
            <v>8971402</v>
          </cell>
          <cell r="G471">
            <v>5715000</v>
          </cell>
          <cell r="H471">
            <v>1495234</v>
          </cell>
          <cell r="I471">
            <v>0</v>
          </cell>
        </row>
        <row r="472">
          <cell r="A472" t="str">
            <v>0530|449061</v>
          </cell>
          <cell r="B472" t="str">
            <v>0530</v>
          </cell>
          <cell r="C472">
            <v>449061</v>
          </cell>
          <cell r="D472">
            <v>41426</v>
          </cell>
          <cell r="E472">
            <v>15119867</v>
          </cell>
          <cell r="F472">
            <v>7559934</v>
          </cell>
          <cell r="G472">
            <v>11036000</v>
          </cell>
          <cell r="H472">
            <v>1259989</v>
          </cell>
          <cell r="I472">
            <v>3294500</v>
          </cell>
        </row>
        <row r="473">
          <cell r="A473" t="str">
            <v>0530|459000</v>
          </cell>
          <cell r="B473" t="str">
            <v>0530</v>
          </cell>
          <cell r="C473">
            <v>459000</v>
          </cell>
          <cell r="D473">
            <v>41426</v>
          </cell>
          <cell r="E473">
            <v>2636796</v>
          </cell>
          <cell r="F473">
            <v>1318398</v>
          </cell>
          <cell r="G473">
            <v>0</v>
          </cell>
          <cell r="H473">
            <v>219733</v>
          </cell>
          <cell r="I473">
            <v>0</v>
          </cell>
        </row>
        <row r="474">
          <cell r="A474" t="str">
            <v>0530|459005</v>
          </cell>
          <cell r="B474" t="str">
            <v>0530</v>
          </cell>
          <cell r="C474">
            <v>459005</v>
          </cell>
          <cell r="D474">
            <v>41426</v>
          </cell>
          <cell r="E474">
            <v>2000000</v>
          </cell>
          <cell r="F474">
            <v>1000000</v>
          </cell>
          <cell r="G474">
            <v>0</v>
          </cell>
          <cell r="H474">
            <v>166667</v>
          </cell>
          <cell r="I474">
            <v>0</v>
          </cell>
        </row>
        <row r="475">
          <cell r="A475" t="str">
            <v>0530|472000</v>
          </cell>
          <cell r="B475" t="str">
            <v>0530</v>
          </cell>
          <cell r="C475">
            <v>472000</v>
          </cell>
          <cell r="D475">
            <v>41426</v>
          </cell>
          <cell r="E475">
            <v>0</v>
          </cell>
          <cell r="F475">
            <v>0</v>
          </cell>
          <cell r="G475">
            <v>1149945</v>
          </cell>
          <cell r="H475">
            <v>0</v>
          </cell>
          <cell r="I475">
            <v>0</v>
          </cell>
        </row>
        <row r="476">
          <cell r="A476" t="str">
            <v>0530|473120</v>
          </cell>
          <cell r="B476" t="str">
            <v>0530</v>
          </cell>
          <cell r="C476">
            <v>473120</v>
          </cell>
          <cell r="D476">
            <v>41426</v>
          </cell>
          <cell r="E476">
            <v>3859410</v>
          </cell>
          <cell r="F476">
            <v>1929705</v>
          </cell>
          <cell r="G476">
            <v>8225933</v>
          </cell>
          <cell r="H476">
            <v>321617</v>
          </cell>
          <cell r="I476">
            <v>872050</v>
          </cell>
        </row>
        <row r="477">
          <cell r="A477" t="str">
            <v>0530|474100</v>
          </cell>
          <cell r="B477" t="str">
            <v>0530</v>
          </cell>
          <cell r="C477">
            <v>474100</v>
          </cell>
          <cell r="D477">
            <v>41426</v>
          </cell>
          <cell r="E477">
            <v>7967743</v>
          </cell>
          <cell r="F477">
            <v>3983872</v>
          </cell>
          <cell r="G477">
            <v>38969288</v>
          </cell>
          <cell r="H477">
            <v>663979</v>
          </cell>
          <cell r="I477">
            <v>1405360</v>
          </cell>
        </row>
        <row r="478">
          <cell r="A478" t="str">
            <v>0530|474101</v>
          </cell>
          <cell r="B478" t="str">
            <v>0530</v>
          </cell>
          <cell r="C478">
            <v>474101</v>
          </cell>
          <cell r="D478">
            <v>41426</v>
          </cell>
          <cell r="E478">
            <v>14641390</v>
          </cell>
          <cell r="F478">
            <v>7320695</v>
          </cell>
          <cell r="G478">
            <v>595577</v>
          </cell>
          <cell r="H478">
            <v>1220116</v>
          </cell>
          <cell r="I478">
            <v>-8500000</v>
          </cell>
        </row>
        <row r="479">
          <cell r="A479" t="str">
            <v>0530|475004</v>
          </cell>
          <cell r="B479" t="str">
            <v>0530</v>
          </cell>
          <cell r="C479">
            <v>475004</v>
          </cell>
          <cell r="D479">
            <v>41426</v>
          </cell>
          <cell r="E479">
            <v>25893362</v>
          </cell>
          <cell r="F479">
            <v>12946681</v>
          </cell>
          <cell r="G479">
            <v>23883884</v>
          </cell>
          <cell r="H479">
            <v>2157780</v>
          </cell>
          <cell r="I479">
            <v>5712176</v>
          </cell>
        </row>
        <row r="480">
          <cell r="A480" t="str">
            <v>0530|475006</v>
          </cell>
          <cell r="B480" t="str">
            <v>0530</v>
          </cell>
          <cell r="C480">
            <v>475006</v>
          </cell>
          <cell r="D480">
            <v>41426</v>
          </cell>
          <cell r="E480">
            <v>0</v>
          </cell>
          <cell r="F480">
            <v>0</v>
          </cell>
          <cell r="G480">
            <v>3044995</v>
          </cell>
          <cell r="H480">
            <v>0</v>
          </cell>
          <cell r="I480">
            <v>608999</v>
          </cell>
        </row>
        <row r="481">
          <cell r="A481" t="str">
            <v>0530|476000</v>
          </cell>
          <cell r="B481" t="str">
            <v>0530</v>
          </cell>
          <cell r="C481">
            <v>476000</v>
          </cell>
          <cell r="D481">
            <v>41426</v>
          </cell>
          <cell r="E481">
            <v>21802178</v>
          </cell>
          <cell r="F481">
            <v>10901089</v>
          </cell>
          <cell r="G481">
            <v>11189682</v>
          </cell>
          <cell r="H481">
            <v>1816848</v>
          </cell>
          <cell r="I481">
            <v>0</v>
          </cell>
        </row>
        <row r="482">
          <cell r="A482" t="str">
            <v>0530|476001</v>
          </cell>
          <cell r="B482" t="str">
            <v>0530</v>
          </cell>
          <cell r="C482">
            <v>476001</v>
          </cell>
          <cell r="D482">
            <v>41426</v>
          </cell>
          <cell r="E482">
            <v>1982996</v>
          </cell>
          <cell r="F482">
            <v>991498</v>
          </cell>
          <cell r="G482">
            <v>9425848</v>
          </cell>
          <cell r="H482">
            <v>165250</v>
          </cell>
          <cell r="I482">
            <v>0</v>
          </cell>
        </row>
        <row r="483">
          <cell r="A483" t="str">
            <v>0530|476002</v>
          </cell>
          <cell r="B483" t="str">
            <v>0530</v>
          </cell>
          <cell r="C483">
            <v>476002</v>
          </cell>
          <cell r="D483">
            <v>41426</v>
          </cell>
          <cell r="E483">
            <v>3765678</v>
          </cell>
          <cell r="F483">
            <v>1882839</v>
          </cell>
          <cell r="G483">
            <v>5683300</v>
          </cell>
          <cell r="H483">
            <v>313806</v>
          </cell>
          <cell r="I483">
            <v>0</v>
          </cell>
        </row>
        <row r="484">
          <cell r="A484" t="str">
            <v>0530|476220</v>
          </cell>
          <cell r="B484" t="str">
            <v>0530</v>
          </cell>
          <cell r="C484">
            <v>476220</v>
          </cell>
          <cell r="D484">
            <v>41426</v>
          </cell>
          <cell r="E484">
            <v>35729758</v>
          </cell>
          <cell r="F484">
            <v>17864879</v>
          </cell>
          <cell r="G484">
            <v>23813561</v>
          </cell>
          <cell r="H484">
            <v>2977480</v>
          </cell>
          <cell r="I484">
            <v>6726550</v>
          </cell>
        </row>
        <row r="485">
          <cell r="A485" t="str">
            <v>0530|476910</v>
          </cell>
          <cell r="B485" t="str">
            <v>0530</v>
          </cell>
          <cell r="C485">
            <v>476910</v>
          </cell>
          <cell r="D485">
            <v>41426</v>
          </cell>
          <cell r="E485">
            <v>260037</v>
          </cell>
          <cell r="F485">
            <v>130019</v>
          </cell>
          <cell r="G485">
            <v>0</v>
          </cell>
          <cell r="H485">
            <v>21670</v>
          </cell>
          <cell r="I485">
            <v>0</v>
          </cell>
        </row>
        <row r="486">
          <cell r="A486" t="str">
            <v>0530|477001</v>
          </cell>
          <cell r="B486" t="str">
            <v>0530</v>
          </cell>
          <cell r="C486">
            <v>477001</v>
          </cell>
          <cell r="D486">
            <v>41426</v>
          </cell>
          <cell r="E486">
            <v>2059940375</v>
          </cell>
          <cell r="F486">
            <v>1029970188</v>
          </cell>
          <cell r="G486">
            <v>1479076358</v>
          </cell>
          <cell r="H486">
            <v>171661698</v>
          </cell>
          <cell r="I486">
            <v>601461706</v>
          </cell>
        </row>
        <row r="487">
          <cell r="A487" t="str">
            <v>0530|477310</v>
          </cell>
          <cell r="B487" t="str">
            <v>0530</v>
          </cell>
          <cell r="C487">
            <v>477310</v>
          </cell>
          <cell r="D487">
            <v>41426</v>
          </cell>
          <cell r="E487">
            <v>196910000</v>
          </cell>
          <cell r="F487">
            <v>98455000</v>
          </cell>
          <cell r="G487">
            <v>34005214</v>
          </cell>
          <cell r="H487">
            <v>16409167</v>
          </cell>
          <cell r="I487">
            <v>-18519692</v>
          </cell>
        </row>
        <row r="488">
          <cell r="A488" t="str">
            <v>0530|477400</v>
          </cell>
          <cell r="B488" t="str">
            <v>0530</v>
          </cell>
          <cell r="C488">
            <v>477400</v>
          </cell>
          <cell r="D488">
            <v>41426</v>
          </cell>
          <cell r="E488">
            <v>167697900</v>
          </cell>
          <cell r="F488">
            <v>83848950</v>
          </cell>
          <cell r="G488">
            <v>67697900</v>
          </cell>
          <cell r="H488">
            <v>13974825</v>
          </cell>
          <cell r="I488">
            <v>0</v>
          </cell>
        </row>
        <row r="489">
          <cell r="A489" t="str">
            <v>0530|477410</v>
          </cell>
          <cell r="B489" t="str">
            <v>0530</v>
          </cell>
          <cell r="C489">
            <v>477410</v>
          </cell>
          <cell r="D489">
            <v>41426</v>
          </cell>
          <cell r="E489">
            <v>798693125</v>
          </cell>
          <cell r="F489">
            <v>399346563</v>
          </cell>
          <cell r="G489">
            <v>686803125</v>
          </cell>
          <cell r="H489">
            <v>66557761</v>
          </cell>
          <cell r="I489">
            <v>0</v>
          </cell>
        </row>
        <row r="490">
          <cell r="A490" t="str">
            <v>0530|477450</v>
          </cell>
          <cell r="B490" t="str">
            <v>0530</v>
          </cell>
          <cell r="C490">
            <v>477450</v>
          </cell>
          <cell r="D490">
            <v>41426</v>
          </cell>
          <cell r="E490">
            <v>1617834000</v>
          </cell>
          <cell r="F490">
            <v>808917000</v>
          </cell>
          <cell r="G490">
            <v>645286056</v>
          </cell>
          <cell r="H490">
            <v>134819500</v>
          </cell>
          <cell r="I490">
            <v>221231362</v>
          </cell>
        </row>
        <row r="491">
          <cell r="A491" t="str">
            <v>0530|477900</v>
          </cell>
          <cell r="B491" t="str">
            <v>0530</v>
          </cell>
          <cell r="C491">
            <v>477900</v>
          </cell>
          <cell r="D491">
            <v>41426</v>
          </cell>
          <cell r="E491">
            <v>1200000000</v>
          </cell>
          <cell r="F491">
            <v>600000000</v>
          </cell>
          <cell r="G491">
            <v>377840000</v>
          </cell>
          <cell r="H491">
            <v>100000000</v>
          </cell>
          <cell r="I491">
            <v>209950000</v>
          </cell>
        </row>
        <row r="492">
          <cell r="A492" t="str">
            <v>1100|211100</v>
          </cell>
          <cell r="B492" t="str">
            <v>1100</v>
          </cell>
          <cell r="C492">
            <v>211100</v>
          </cell>
          <cell r="D492">
            <v>41426</v>
          </cell>
          <cell r="E492">
            <v>11564888</v>
          </cell>
          <cell r="F492">
            <v>5782444</v>
          </cell>
          <cell r="G492">
            <v>6355060</v>
          </cell>
          <cell r="H492">
            <v>963741</v>
          </cell>
          <cell r="I492">
            <v>1048316</v>
          </cell>
        </row>
        <row r="493">
          <cell r="A493" t="str">
            <v>1110|420003</v>
          </cell>
          <cell r="B493" t="str">
            <v>1110</v>
          </cell>
          <cell r="C493">
            <v>420003</v>
          </cell>
          <cell r="D493">
            <v>41426</v>
          </cell>
          <cell r="E493">
            <v>0</v>
          </cell>
          <cell r="F493">
            <v>0</v>
          </cell>
          <cell r="G493">
            <v>1</v>
          </cell>
          <cell r="H493">
            <v>0</v>
          </cell>
          <cell r="I493">
            <v>-1</v>
          </cell>
        </row>
        <row r="494">
          <cell r="A494" t="str">
            <v>1110|466000</v>
          </cell>
          <cell r="B494" t="str">
            <v>1110</v>
          </cell>
          <cell r="C494">
            <v>466000</v>
          </cell>
          <cell r="D494">
            <v>41426</v>
          </cell>
          <cell r="E494">
            <v>0</v>
          </cell>
          <cell r="F494">
            <v>0</v>
          </cell>
          <cell r="G494">
            <v>162900348</v>
          </cell>
          <cell r="H494">
            <v>0</v>
          </cell>
          <cell r="I494">
            <v>-404866704</v>
          </cell>
        </row>
        <row r="495">
          <cell r="A495" t="str">
            <v>1110|466003</v>
          </cell>
          <cell r="B495" t="str">
            <v>1110</v>
          </cell>
          <cell r="C495">
            <v>466003</v>
          </cell>
          <cell r="D495">
            <v>41426</v>
          </cell>
          <cell r="E495">
            <v>0</v>
          </cell>
          <cell r="F495">
            <v>0</v>
          </cell>
          <cell r="G495">
            <v>90330962</v>
          </cell>
          <cell r="H495">
            <v>0</v>
          </cell>
          <cell r="I495">
            <v>15055161</v>
          </cell>
        </row>
        <row r="496">
          <cell r="A496" t="str">
            <v>1110|470102</v>
          </cell>
          <cell r="B496" t="str">
            <v>1110</v>
          </cell>
          <cell r="C496">
            <v>470102</v>
          </cell>
          <cell r="D496">
            <v>41426</v>
          </cell>
          <cell r="E496">
            <v>0</v>
          </cell>
          <cell r="F496">
            <v>0</v>
          </cell>
          <cell r="G496">
            <v>1434003</v>
          </cell>
          <cell r="H496">
            <v>0</v>
          </cell>
          <cell r="I496">
            <v>428498</v>
          </cell>
        </row>
        <row r="497">
          <cell r="A497" t="str">
            <v>1110|472000</v>
          </cell>
          <cell r="B497" t="str">
            <v>1110</v>
          </cell>
          <cell r="C497">
            <v>472000</v>
          </cell>
          <cell r="D497">
            <v>41426</v>
          </cell>
          <cell r="E497">
            <v>0</v>
          </cell>
          <cell r="F497">
            <v>0</v>
          </cell>
          <cell r="G497">
            <v>145853</v>
          </cell>
          <cell r="H497">
            <v>0</v>
          </cell>
          <cell r="I497">
            <v>0</v>
          </cell>
        </row>
        <row r="498">
          <cell r="A498" t="str">
            <v>1200|211100</v>
          </cell>
          <cell r="B498" t="str">
            <v>1200</v>
          </cell>
          <cell r="C498">
            <v>211100</v>
          </cell>
          <cell r="D498">
            <v>41426</v>
          </cell>
          <cell r="E498">
            <v>81767417</v>
          </cell>
          <cell r="F498">
            <v>40883709</v>
          </cell>
          <cell r="G498">
            <v>39539334</v>
          </cell>
          <cell r="H498">
            <v>6813952</v>
          </cell>
          <cell r="I498">
            <v>6639256</v>
          </cell>
        </row>
        <row r="499">
          <cell r="A499" t="str">
            <v>1200|246000</v>
          </cell>
          <cell r="B499" t="str">
            <v>1200</v>
          </cell>
          <cell r="C499">
            <v>246000</v>
          </cell>
          <cell r="D499">
            <v>41426</v>
          </cell>
          <cell r="E499">
            <v>10000000</v>
          </cell>
          <cell r="F499">
            <v>5000000</v>
          </cell>
          <cell r="G499">
            <v>15210228</v>
          </cell>
          <cell r="H499">
            <v>833333</v>
          </cell>
          <cell r="I499">
            <v>0</v>
          </cell>
        </row>
        <row r="500">
          <cell r="A500" t="str">
            <v>1200|420002</v>
          </cell>
          <cell r="B500" t="str">
            <v>1200</v>
          </cell>
          <cell r="C500">
            <v>420002</v>
          </cell>
          <cell r="D500">
            <v>41426</v>
          </cell>
          <cell r="E500">
            <v>1036941513</v>
          </cell>
          <cell r="F500">
            <v>518470757</v>
          </cell>
          <cell r="G500">
            <v>550972000</v>
          </cell>
          <cell r="H500">
            <v>86411793</v>
          </cell>
          <cell r="I500">
            <v>92772500</v>
          </cell>
        </row>
        <row r="501">
          <cell r="A501" t="str">
            <v>1200|420003</v>
          </cell>
          <cell r="B501" t="str">
            <v>1200</v>
          </cell>
          <cell r="C501">
            <v>420003</v>
          </cell>
          <cell r="D501">
            <v>41426</v>
          </cell>
          <cell r="E501">
            <v>2068328689</v>
          </cell>
          <cell r="F501">
            <v>1034164345</v>
          </cell>
          <cell r="G501">
            <v>1147706169</v>
          </cell>
          <cell r="H501">
            <v>172360725</v>
          </cell>
          <cell r="I501">
            <v>193422180</v>
          </cell>
        </row>
        <row r="502">
          <cell r="A502" t="str">
            <v>1200|422002</v>
          </cell>
          <cell r="B502" t="str">
            <v>1200</v>
          </cell>
          <cell r="C502">
            <v>422002</v>
          </cell>
          <cell r="D502">
            <v>41426</v>
          </cell>
          <cell r="E502">
            <v>2649960</v>
          </cell>
          <cell r="F502">
            <v>1324980</v>
          </cell>
          <cell r="G502">
            <v>2155950</v>
          </cell>
          <cell r="H502">
            <v>220830</v>
          </cell>
          <cell r="I502">
            <v>0</v>
          </cell>
        </row>
        <row r="503">
          <cell r="A503" t="str">
            <v>1200|422003</v>
          </cell>
          <cell r="B503" t="str">
            <v>1200</v>
          </cell>
          <cell r="C503">
            <v>422003</v>
          </cell>
          <cell r="D503">
            <v>41426</v>
          </cell>
          <cell r="E503">
            <v>635850</v>
          </cell>
          <cell r="F503">
            <v>317925</v>
          </cell>
          <cell r="G503">
            <v>1332100</v>
          </cell>
          <cell r="H503">
            <v>52987</v>
          </cell>
          <cell r="I503">
            <v>0</v>
          </cell>
        </row>
        <row r="504">
          <cell r="A504" t="str">
            <v>1200|431002</v>
          </cell>
          <cell r="B504" t="str">
            <v>1200</v>
          </cell>
          <cell r="C504">
            <v>431002</v>
          </cell>
          <cell r="D504">
            <v>41426</v>
          </cell>
          <cell r="E504">
            <v>111666062</v>
          </cell>
          <cell r="F504">
            <v>55833031</v>
          </cell>
          <cell r="G504">
            <v>91811880</v>
          </cell>
          <cell r="H504">
            <v>9305505</v>
          </cell>
          <cell r="I504">
            <v>3623534</v>
          </cell>
        </row>
        <row r="505">
          <cell r="A505" t="str">
            <v>1200|433003</v>
          </cell>
          <cell r="B505" t="str">
            <v>1200</v>
          </cell>
          <cell r="C505">
            <v>433003</v>
          </cell>
          <cell r="D505">
            <v>41426</v>
          </cell>
          <cell r="E505">
            <v>7813119</v>
          </cell>
          <cell r="F505">
            <v>3906560</v>
          </cell>
          <cell r="G505">
            <v>3912000</v>
          </cell>
          <cell r="H505">
            <v>651094</v>
          </cell>
          <cell r="I505">
            <v>652000</v>
          </cell>
        </row>
        <row r="506">
          <cell r="A506" t="str">
            <v>1200|434012</v>
          </cell>
          <cell r="B506" t="str">
            <v>1200</v>
          </cell>
          <cell r="C506">
            <v>434012</v>
          </cell>
          <cell r="D506">
            <v>41426</v>
          </cell>
          <cell r="E506">
            <v>26238399</v>
          </cell>
          <cell r="F506">
            <v>13119200</v>
          </cell>
          <cell r="G506">
            <v>13242251</v>
          </cell>
          <cell r="H506">
            <v>2186534</v>
          </cell>
          <cell r="I506">
            <v>2327474</v>
          </cell>
        </row>
        <row r="507">
          <cell r="A507" t="str">
            <v>1200|434013</v>
          </cell>
          <cell r="B507" t="str">
            <v>1200</v>
          </cell>
          <cell r="C507">
            <v>434013</v>
          </cell>
          <cell r="D507">
            <v>41426</v>
          </cell>
          <cell r="E507">
            <v>48324572</v>
          </cell>
          <cell r="F507">
            <v>24162286</v>
          </cell>
          <cell r="G507">
            <v>45004823</v>
          </cell>
          <cell r="H507">
            <v>4027048</v>
          </cell>
          <cell r="I507">
            <v>7205855</v>
          </cell>
        </row>
        <row r="508">
          <cell r="A508" t="str">
            <v>1200|435002</v>
          </cell>
          <cell r="B508" t="str">
            <v>1200</v>
          </cell>
          <cell r="C508">
            <v>435002</v>
          </cell>
          <cell r="D508">
            <v>41426</v>
          </cell>
          <cell r="E508">
            <v>177144175</v>
          </cell>
          <cell r="F508">
            <v>88572088</v>
          </cell>
          <cell r="G508">
            <v>91927552</v>
          </cell>
          <cell r="H508">
            <v>14762015</v>
          </cell>
          <cell r="I508">
            <v>0</v>
          </cell>
        </row>
        <row r="509">
          <cell r="A509" t="str">
            <v>1200|435003</v>
          </cell>
          <cell r="B509" t="str">
            <v>1200</v>
          </cell>
          <cell r="C509">
            <v>435003</v>
          </cell>
          <cell r="D509">
            <v>41426</v>
          </cell>
          <cell r="E509">
            <v>258541086</v>
          </cell>
          <cell r="F509">
            <v>129270543</v>
          </cell>
          <cell r="G509">
            <v>341103500</v>
          </cell>
          <cell r="H509">
            <v>21545090</v>
          </cell>
          <cell r="I509">
            <v>0</v>
          </cell>
        </row>
        <row r="510">
          <cell r="A510" t="str">
            <v>1200|439003</v>
          </cell>
          <cell r="B510" t="str">
            <v>1200</v>
          </cell>
          <cell r="C510">
            <v>439003</v>
          </cell>
          <cell r="D510">
            <v>41426</v>
          </cell>
          <cell r="E510">
            <v>394498792</v>
          </cell>
          <cell r="F510">
            <v>197249396</v>
          </cell>
          <cell r="G510">
            <v>240877294</v>
          </cell>
          <cell r="H510">
            <v>32874899</v>
          </cell>
          <cell r="I510">
            <v>38671263</v>
          </cell>
        </row>
        <row r="511">
          <cell r="A511" t="str">
            <v>1200|439008</v>
          </cell>
          <cell r="B511" t="str">
            <v>1200</v>
          </cell>
          <cell r="C511">
            <v>439008</v>
          </cell>
          <cell r="D511">
            <v>41426</v>
          </cell>
          <cell r="E511">
            <v>280859377</v>
          </cell>
          <cell r="F511">
            <v>140429689</v>
          </cell>
          <cell r="G511">
            <v>133125315</v>
          </cell>
          <cell r="H511">
            <v>23404949</v>
          </cell>
          <cell r="I511">
            <v>22375560</v>
          </cell>
        </row>
        <row r="512">
          <cell r="A512" t="str">
            <v>1200|439103</v>
          </cell>
          <cell r="B512" t="str">
            <v>1200</v>
          </cell>
          <cell r="C512">
            <v>439103</v>
          </cell>
          <cell r="D512">
            <v>41426</v>
          </cell>
          <cell r="E512">
            <v>0</v>
          </cell>
          <cell r="F512">
            <v>0</v>
          </cell>
          <cell r="G512">
            <v>2000000</v>
          </cell>
          <cell r="H512">
            <v>0</v>
          </cell>
          <cell r="I512">
            <v>0</v>
          </cell>
        </row>
        <row r="513">
          <cell r="A513" t="str">
            <v>1200|439202</v>
          </cell>
          <cell r="B513" t="str">
            <v>1200</v>
          </cell>
          <cell r="C513">
            <v>439202</v>
          </cell>
          <cell r="D513">
            <v>41426</v>
          </cell>
          <cell r="E513">
            <v>5760000</v>
          </cell>
          <cell r="F513">
            <v>2880000</v>
          </cell>
          <cell r="G513">
            <v>2950000</v>
          </cell>
          <cell r="H513">
            <v>480000</v>
          </cell>
          <cell r="I513">
            <v>500000</v>
          </cell>
        </row>
        <row r="514">
          <cell r="A514" t="str">
            <v>1200|439203</v>
          </cell>
          <cell r="B514" t="str">
            <v>1200</v>
          </cell>
          <cell r="C514">
            <v>439203</v>
          </cell>
          <cell r="D514">
            <v>41426</v>
          </cell>
          <cell r="E514">
            <v>0</v>
          </cell>
          <cell r="F514">
            <v>0</v>
          </cell>
          <cell r="G514">
            <v>2537319</v>
          </cell>
          <cell r="H514">
            <v>0</v>
          </cell>
          <cell r="I514">
            <v>87500</v>
          </cell>
        </row>
        <row r="515">
          <cell r="A515" t="str">
            <v>1200|440002</v>
          </cell>
          <cell r="B515" t="str">
            <v>1200</v>
          </cell>
          <cell r="C515">
            <v>440002</v>
          </cell>
          <cell r="D515">
            <v>41426</v>
          </cell>
          <cell r="E515">
            <v>86411793</v>
          </cell>
          <cell r="F515">
            <v>43205897</v>
          </cell>
          <cell r="G515">
            <v>49912529</v>
          </cell>
          <cell r="H515">
            <v>7200983</v>
          </cell>
          <cell r="I515">
            <v>5566665</v>
          </cell>
        </row>
        <row r="516">
          <cell r="A516" t="str">
            <v>1200|440003</v>
          </cell>
          <cell r="B516" t="str">
            <v>1200</v>
          </cell>
          <cell r="C516">
            <v>440003</v>
          </cell>
          <cell r="D516">
            <v>41426</v>
          </cell>
          <cell r="E516">
            <v>172360724</v>
          </cell>
          <cell r="F516">
            <v>86180362</v>
          </cell>
          <cell r="G516">
            <v>111778049</v>
          </cell>
          <cell r="H516">
            <v>14363394</v>
          </cell>
          <cell r="I516">
            <v>22988408</v>
          </cell>
        </row>
        <row r="517">
          <cell r="A517" t="str">
            <v>1200|446002</v>
          </cell>
          <cell r="B517" t="str">
            <v>1200</v>
          </cell>
          <cell r="C517">
            <v>446002</v>
          </cell>
          <cell r="D517">
            <v>41426</v>
          </cell>
          <cell r="E517">
            <v>69645896</v>
          </cell>
          <cell r="F517">
            <v>34822948</v>
          </cell>
          <cell r="G517">
            <v>7200000</v>
          </cell>
          <cell r="H517">
            <v>5803825</v>
          </cell>
          <cell r="I517">
            <v>1250000</v>
          </cell>
        </row>
        <row r="518">
          <cell r="A518" t="str">
            <v>1200|447002</v>
          </cell>
          <cell r="B518" t="str">
            <v>1200</v>
          </cell>
          <cell r="C518">
            <v>447002</v>
          </cell>
          <cell r="D518">
            <v>41426</v>
          </cell>
          <cell r="E518">
            <v>16279982</v>
          </cell>
          <cell r="F518">
            <v>8139991</v>
          </cell>
          <cell r="G518">
            <v>8088091</v>
          </cell>
          <cell r="H518">
            <v>1356665</v>
          </cell>
          <cell r="I518">
            <v>1381150</v>
          </cell>
        </row>
        <row r="519">
          <cell r="A519" t="str">
            <v>1200|447003</v>
          </cell>
          <cell r="B519" t="str">
            <v>1200</v>
          </cell>
          <cell r="C519">
            <v>447003</v>
          </cell>
          <cell r="D519">
            <v>41426</v>
          </cell>
          <cell r="E519">
            <v>32472543</v>
          </cell>
          <cell r="F519">
            <v>16236272</v>
          </cell>
          <cell r="G519">
            <v>16722726</v>
          </cell>
          <cell r="H519">
            <v>2706046</v>
          </cell>
          <cell r="I519">
            <v>2787121</v>
          </cell>
        </row>
        <row r="520">
          <cell r="A520" t="str">
            <v>1200|447012</v>
          </cell>
          <cell r="B520" t="str">
            <v>1200</v>
          </cell>
          <cell r="C520">
            <v>447012</v>
          </cell>
          <cell r="D520">
            <v>41426</v>
          </cell>
          <cell r="E520">
            <v>38366836</v>
          </cell>
          <cell r="F520">
            <v>19183418</v>
          </cell>
          <cell r="G520">
            <v>20126973</v>
          </cell>
          <cell r="H520">
            <v>3197236</v>
          </cell>
          <cell r="I520">
            <v>3432584</v>
          </cell>
        </row>
        <row r="521">
          <cell r="A521" t="str">
            <v>1200|447013</v>
          </cell>
          <cell r="B521" t="str">
            <v>1200</v>
          </cell>
          <cell r="C521">
            <v>447013</v>
          </cell>
          <cell r="D521">
            <v>41426</v>
          </cell>
          <cell r="E521">
            <v>76528162</v>
          </cell>
          <cell r="F521">
            <v>38264081</v>
          </cell>
          <cell r="G521">
            <v>44719800</v>
          </cell>
          <cell r="H521">
            <v>6377347</v>
          </cell>
          <cell r="I521">
            <v>7453300</v>
          </cell>
        </row>
        <row r="522">
          <cell r="A522" t="str">
            <v>1200|447022</v>
          </cell>
          <cell r="B522" t="str">
            <v>1200</v>
          </cell>
          <cell r="C522">
            <v>447022</v>
          </cell>
          <cell r="D522">
            <v>41426</v>
          </cell>
          <cell r="E522">
            <v>1627998</v>
          </cell>
          <cell r="F522">
            <v>813999</v>
          </cell>
          <cell r="G522">
            <v>1296321</v>
          </cell>
          <cell r="H522">
            <v>135666</v>
          </cell>
          <cell r="I522">
            <v>223571</v>
          </cell>
        </row>
        <row r="523">
          <cell r="A523" t="str">
            <v>1200|447023</v>
          </cell>
          <cell r="B523" t="str">
            <v>1200</v>
          </cell>
          <cell r="C523">
            <v>447023</v>
          </cell>
          <cell r="D523">
            <v>41426</v>
          </cell>
          <cell r="E523">
            <v>2687322</v>
          </cell>
          <cell r="F523">
            <v>1343661</v>
          </cell>
          <cell r="G523">
            <v>3868983</v>
          </cell>
          <cell r="H523">
            <v>223943</v>
          </cell>
          <cell r="I523">
            <v>626175</v>
          </cell>
        </row>
        <row r="524">
          <cell r="A524" t="str">
            <v>1200|448002</v>
          </cell>
          <cell r="B524" t="str">
            <v>1200</v>
          </cell>
          <cell r="C524">
            <v>448002</v>
          </cell>
          <cell r="D524">
            <v>41426</v>
          </cell>
          <cell r="E524">
            <v>77581281</v>
          </cell>
          <cell r="F524">
            <v>38790641</v>
          </cell>
          <cell r="G524">
            <v>48755516</v>
          </cell>
          <cell r="H524">
            <v>6465107</v>
          </cell>
          <cell r="I524">
            <v>4651000</v>
          </cell>
        </row>
        <row r="525">
          <cell r="A525" t="str">
            <v>1200|448003</v>
          </cell>
          <cell r="B525" t="str">
            <v>1200</v>
          </cell>
          <cell r="C525">
            <v>448003</v>
          </cell>
          <cell r="D525">
            <v>41426</v>
          </cell>
          <cell r="E525">
            <v>121144320</v>
          </cell>
          <cell r="F525">
            <v>60572160</v>
          </cell>
          <cell r="G525">
            <v>51309740</v>
          </cell>
          <cell r="H525">
            <v>10095360</v>
          </cell>
          <cell r="I525">
            <v>14921624</v>
          </cell>
        </row>
        <row r="526">
          <cell r="A526" t="str">
            <v>1200|449022</v>
          </cell>
          <cell r="B526" t="str">
            <v>1200</v>
          </cell>
          <cell r="C526">
            <v>449022</v>
          </cell>
          <cell r="D526">
            <v>41426</v>
          </cell>
          <cell r="E526">
            <v>51480000</v>
          </cell>
          <cell r="F526">
            <v>25740000</v>
          </cell>
          <cell r="G526">
            <v>29413000</v>
          </cell>
          <cell r="H526">
            <v>4290000</v>
          </cell>
          <cell r="I526">
            <v>4742000</v>
          </cell>
        </row>
        <row r="527">
          <cell r="A527" t="str">
            <v>1200|449023</v>
          </cell>
          <cell r="B527" t="str">
            <v>1200</v>
          </cell>
          <cell r="C527">
            <v>449023</v>
          </cell>
          <cell r="D527">
            <v>41426</v>
          </cell>
          <cell r="E527">
            <v>112068000</v>
          </cell>
          <cell r="F527">
            <v>56034000</v>
          </cell>
          <cell r="G527">
            <v>112037000</v>
          </cell>
          <cell r="H527">
            <v>9339000</v>
          </cell>
          <cell r="I527">
            <v>19442000</v>
          </cell>
        </row>
        <row r="528">
          <cell r="A528" t="str">
            <v>1200|449032</v>
          </cell>
          <cell r="B528" t="str">
            <v>1200</v>
          </cell>
          <cell r="C528">
            <v>449032</v>
          </cell>
          <cell r="D528">
            <v>41426</v>
          </cell>
          <cell r="E528">
            <v>9498344</v>
          </cell>
          <cell r="F528">
            <v>4749172</v>
          </cell>
          <cell r="G528">
            <v>13158009</v>
          </cell>
          <cell r="H528">
            <v>791529</v>
          </cell>
          <cell r="I528">
            <v>0</v>
          </cell>
        </row>
        <row r="529">
          <cell r="A529" t="str">
            <v>1200|449040</v>
          </cell>
          <cell r="B529" t="str">
            <v>1200</v>
          </cell>
          <cell r="C529">
            <v>449040</v>
          </cell>
          <cell r="D529">
            <v>41426</v>
          </cell>
          <cell r="E529">
            <v>10783444</v>
          </cell>
          <cell r="F529">
            <v>5391722</v>
          </cell>
          <cell r="G529">
            <v>7025000</v>
          </cell>
          <cell r="H529">
            <v>898620</v>
          </cell>
          <cell r="I529">
            <v>760000</v>
          </cell>
        </row>
        <row r="530">
          <cell r="A530" t="str">
            <v>1200|449050</v>
          </cell>
          <cell r="B530" t="str">
            <v>1200</v>
          </cell>
          <cell r="C530">
            <v>449050</v>
          </cell>
          <cell r="D530">
            <v>41426</v>
          </cell>
          <cell r="E530">
            <v>57330024</v>
          </cell>
          <cell r="F530">
            <v>28665012</v>
          </cell>
          <cell r="G530">
            <v>19200000</v>
          </cell>
          <cell r="H530">
            <v>4777502</v>
          </cell>
          <cell r="I530">
            <v>3200000</v>
          </cell>
        </row>
        <row r="531">
          <cell r="A531" t="str">
            <v>1200|449060</v>
          </cell>
          <cell r="B531" t="str">
            <v>1200</v>
          </cell>
          <cell r="C531">
            <v>449060</v>
          </cell>
          <cell r="D531">
            <v>41426</v>
          </cell>
          <cell r="E531">
            <v>0</v>
          </cell>
          <cell r="F531">
            <v>0</v>
          </cell>
          <cell r="G531">
            <v>510000</v>
          </cell>
          <cell r="H531">
            <v>0</v>
          </cell>
          <cell r="I531">
            <v>0</v>
          </cell>
        </row>
        <row r="532">
          <cell r="A532" t="str">
            <v>1200|449061</v>
          </cell>
          <cell r="B532" t="str">
            <v>1200</v>
          </cell>
          <cell r="C532">
            <v>449061</v>
          </cell>
          <cell r="D532">
            <v>41426</v>
          </cell>
          <cell r="E532">
            <v>238685745</v>
          </cell>
          <cell r="F532">
            <v>119342873</v>
          </cell>
          <cell r="G532">
            <v>118019450</v>
          </cell>
          <cell r="H532">
            <v>19890479</v>
          </cell>
          <cell r="I532">
            <v>41414000</v>
          </cell>
        </row>
        <row r="533">
          <cell r="A533" t="str">
            <v>1200|455000</v>
          </cell>
          <cell r="B533" t="str">
            <v>1200</v>
          </cell>
          <cell r="C533">
            <v>455000</v>
          </cell>
          <cell r="D533">
            <v>41426</v>
          </cell>
          <cell r="E533">
            <v>0</v>
          </cell>
          <cell r="F533">
            <v>0</v>
          </cell>
          <cell r="G533">
            <v>177650</v>
          </cell>
          <cell r="H533">
            <v>0</v>
          </cell>
          <cell r="I533">
            <v>0</v>
          </cell>
        </row>
        <row r="534">
          <cell r="A534" t="str">
            <v>1200|459000</v>
          </cell>
          <cell r="B534" t="str">
            <v>1200</v>
          </cell>
          <cell r="C534">
            <v>459000</v>
          </cell>
          <cell r="D534">
            <v>41426</v>
          </cell>
          <cell r="E534">
            <v>2301491</v>
          </cell>
          <cell r="F534">
            <v>1150746</v>
          </cell>
          <cell r="G534">
            <v>4547500</v>
          </cell>
          <cell r="H534">
            <v>191791</v>
          </cell>
          <cell r="I534">
            <v>3850000</v>
          </cell>
        </row>
        <row r="535">
          <cell r="A535" t="str">
            <v>1200|459002</v>
          </cell>
          <cell r="B535" t="str">
            <v>1200</v>
          </cell>
          <cell r="C535">
            <v>459002</v>
          </cell>
          <cell r="D535">
            <v>41426</v>
          </cell>
          <cell r="E535">
            <v>7475437</v>
          </cell>
          <cell r="F535">
            <v>3737719</v>
          </cell>
          <cell r="G535">
            <v>13645269</v>
          </cell>
          <cell r="H535">
            <v>622954</v>
          </cell>
          <cell r="I535">
            <v>0</v>
          </cell>
        </row>
        <row r="536">
          <cell r="A536" t="str">
            <v>1200|459005</v>
          </cell>
          <cell r="B536" t="str">
            <v>1200</v>
          </cell>
          <cell r="C536">
            <v>459005</v>
          </cell>
          <cell r="D536">
            <v>41426</v>
          </cell>
          <cell r="E536">
            <v>762796</v>
          </cell>
          <cell r="F536">
            <v>381398</v>
          </cell>
          <cell r="G536">
            <v>0</v>
          </cell>
          <cell r="H536">
            <v>63566</v>
          </cell>
          <cell r="I536">
            <v>0</v>
          </cell>
        </row>
        <row r="537">
          <cell r="A537" t="str">
            <v>1200|470102</v>
          </cell>
          <cell r="B537" t="str">
            <v>1200</v>
          </cell>
          <cell r="C537">
            <v>470102</v>
          </cell>
          <cell r="D537">
            <v>41426</v>
          </cell>
          <cell r="E537">
            <v>8164779</v>
          </cell>
          <cell r="F537">
            <v>4082390</v>
          </cell>
          <cell r="G537">
            <v>9389196</v>
          </cell>
          <cell r="H537">
            <v>680399</v>
          </cell>
          <cell r="I537">
            <v>882001</v>
          </cell>
        </row>
        <row r="538">
          <cell r="A538" t="str">
            <v>1200|471000</v>
          </cell>
          <cell r="B538" t="str">
            <v>1200</v>
          </cell>
          <cell r="C538">
            <v>471000</v>
          </cell>
          <cell r="D538">
            <v>41426</v>
          </cell>
          <cell r="E538">
            <v>46199084</v>
          </cell>
          <cell r="F538">
            <v>23099542</v>
          </cell>
          <cell r="G538">
            <v>17498955</v>
          </cell>
          <cell r="H538">
            <v>3849924</v>
          </cell>
          <cell r="I538">
            <v>420180</v>
          </cell>
        </row>
        <row r="539">
          <cell r="A539" t="str">
            <v>1200|472000</v>
          </cell>
          <cell r="B539" t="str">
            <v>1200</v>
          </cell>
          <cell r="C539">
            <v>472000</v>
          </cell>
          <cell r="D539">
            <v>41426</v>
          </cell>
          <cell r="E539">
            <v>54900000</v>
          </cell>
          <cell r="F539">
            <v>27450000</v>
          </cell>
          <cell r="G539">
            <v>19423515</v>
          </cell>
          <cell r="H539">
            <v>4575000</v>
          </cell>
          <cell r="I539">
            <v>3249563</v>
          </cell>
        </row>
        <row r="540">
          <cell r="A540" t="str">
            <v>1200|473000</v>
          </cell>
          <cell r="B540" t="str">
            <v>1200</v>
          </cell>
          <cell r="C540">
            <v>473000</v>
          </cell>
          <cell r="D540">
            <v>41426</v>
          </cell>
          <cell r="E540">
            <v>8102765</v>
          </cell>
          <cell r="F540">
            <v>4051383</v>
          </cell>
          <cell r="G540">
            <v>4610855</v>
          </cell>
          <cell r="H540">
            <v>675231</v>
          </cell>
          <cell r="I540">
            <v>465239</v>
          </cell>
        </row>
        <row r="541">
          <cell r="A541" t="str">
            <v>1200|473120</v>
          </cell>
          <cell r="B541" t="str">
            <v>1200</v>
          </cell>
          <cell r="C541">
            <v>473120</v>
          </cell>
          <cell r="D541">
            <v>41426</v>
          </cell>
          <cell r="E541">
            <v>41309918</v>
          </cell>
          <cell r="F541">
            <v>20654959</v>
          </cell>
          <cell r="G541">
            <v>28020299</v>
          </cell>
          <cell r="H541">
            <v>3442493</v>
          </cell>
          <cell r="I541">
            <v>4167367</v>
          </cell>
        </row>
        <row r="542">
          <cell r="A542" t="str">
            <v>1200|474100</v>
          </cell>
          <cell r="B542" t="str">
            <v>1200</v>
          </cell>
          <cell r="C542">
            <v>474100</v>
          </cell>
          <cell r="D542">
            <v>41426</v>
          </cell>
          <cell r="E542">
            <v>37795105</v>
          </cell>
          <cell r="F542">
            <v>18897553</v>
          </cell>
          <cell r="G542">
            <v>2761207</v>
          </cell>
          <cell r="H542">
            <v>3149593</v>
          </cell>
          <cell r="I542">
            <v>3429817</v>
          </cell>
        </row>
        <row r="543">
          <cell r="A543" t="str">
            <v>1200|474101</v>
          </cell>
          <cell r="B543" t="str">
            <v>1200</v>
          </cell>
          <cell r="C543">
            <v>474101</v>
          </cell>
          <cell r="D543">
            <v>41426</v>
          </cell>
          <cell r="E543">
            <v>30115601</v>
          </cell>
          <cell r="F543">
            <v>15057801</v>
          </cell>
          <cell r="G543">
            <v>9753235</v>
          </cell>
          <cell r="H543">
            <v>2509634</v>
          </cell>
          <cell r="I543">
            <v>-1374000</v>
          </cell>
        </row>
        <row r="544">
          <cell r="A544" t="str">
            <v>1200|475004</v>
          </cell>
          <cell r="B544" t="str">
            <v>1200</v>
          </cell>
          <cell r="C544">
            <v>475004</v>
          </cell>
          <cell r="D544">
            <v>41426</v>
          </cell>
          <cell r="E544">
            <v>52133377</v>
          </cell>
          <cell r="F544">
            <v>26066689</v>
          </cell>
          <cell r="G544">
            <v>33902969</v>
          </cell>
          <cell r="H544">
            <v>4344449</v>
          </cell>
          <cell r="I544">
            <v>5382270</v>
          </cell>
        </row>
        <row r="545">
          <cell r="A545" t="str">
            <v>1200|475005</v>
          </cell>
          <cell r="B545" t="str">
            <v>1200</v>
          </cell>
          <cell r="C545">
            <v>475005</v>
          </cell>
          <cell r="D545">
            <v>41426</v>
          </cell>
          <cell r="E545">
            <v>409228</v>
          </cell>
          <cell r="F545">
            <v>204614</v>
          </cell>
          <cell r="G545">
            <v>524118</v>
          </cell>
          <cell r="H545">
            <v>34102</v>
          </cell>
          <cell r="I545">
            <v>0</v>
          </cell>
        </row>
        <row r="546">
          <cell r="A546" t="str">
            <v>1200|475006</v>
          </cell>
          <cell r="B546" t="str">
            <v>1200</v>
          </cell>
          <cell r="C546">
            <v>475006</v>
          </cell>
          <cell r="D546">
            <v>41426</v>
          </cell>
          <cell r="E546">
            <v>12293257</v>
          </cell>
          <cell r="F546">
            <v>6146629</v>
          </cell>
          <cell r="G546">
            <v>6637501</v>
          </cell>
          <cell r="H546">
            <v>1024439</v>
          </cell>
          <cell r="I546">
            <v>1207750</v>
          </cell>
        </row>
        <row r="547">
          <cell r="A547" t="str">
            <v>1200|476000</v>
          </cell>
          <cell r="B547" t="str">
            <v>1200</v>
          </cell>
          <cell r="C547">
            <v>476000</v>
          </cell>
          <cell r="D547">
            <v>41426</v>
          </cell>
          <cell r="E547">
            <v>79292006</v>
          </cell>
          <cell r="F547">
            <v>39646003</v>
          </cell>
          <cell r="G547">
            <v>47794343</v>
          </cell>
          <cell r="H547">
            <v>6607667</v>
          </cell>
          <cell r="I547">
            <v>10117703</v>
          </cell>
        </row>
        <row r="548">
          <cell r="A548" t="str">
            <v>1200|476001</v>
          </cell>
          <cell r="B548" t="str">
            <v>1200</v>
          </cell>
          <cell r="C548">
            <v>476001</v>
          </cell>
          <cell r="D548">
            <v>41426</v>
          </cell>
          <cell r="E548">
            <v>25022053</v>
          </cell>
          <cell r="F548">
            <v>12511027</v>
          </cell>
          <cell r="G548">
            <v>12240272</v>
          </cell>
          <cell r="H548">
            <v>2085172</v>
          </cell>
          <cell r="I548">
            <v>0</v>
          </cell>
        </row>
        <row r="549">
          <cell r="A549" t="str">
            <v>1200|476002</v>
          </cell>
          <cell r="B549" t="str">
            <v>1200</v>
          </cell>
          <cell r="C549">
            <v>476002</v>
          </cell>
          <cell r="D549">
            <v>41426</v>
          </cell>
          <cell r="E549">
            <v>2568847</v>
          </cell>
          <cell r="F549">
            <v>1284424</v>
          </cell>
          <cell r="G549">
            <v>1332300</v>
          </cell>
          <cell r="H549">
            <v>214071</v>
          </cell>
          <cell r="I549">
            <v>0</v>
          </cell>
        </row>
        <row r="550">
          <cell r="A550" t="str">
            <v>1200|476201</v>
          </cell>
          <cell r="B550" t="str">
            <v>1200</v>
          </cell>
          <cell r="C550">
            <v>476201</v>
          </cell>
          <cell r="D550">
            <v>41426</v>
          </cell>
          <cell r="E550">
            <v>112541321</v>
          </cell>
          <cell r="F550">
            <v>56270661</v>
          </cell>
          <cell r="G550">
            <v>141664960</v>
          </cell>
          <cell r="H550">
            <v>9378444</v>
          </cell>
          <cell r="I550">
            <v>26100000</v>
          </cell>
        </row>
        <row r="551">
          <cell r="A551" t="str">
            <v>1200|476220</v>
          </cell>
          <cell r="B551" t="str">
            <v>1200</v>
          </cell>
          <cell r="C551">
            <v>476220</v>
          </cell>
          <cell r="D551">
            <v>41426</v>
          </cell>
          <cell r="E551">
            <v>99986203</v>
          </cell>
          <cell r="F551">
            <v>49993102</v>
          </cell>
          <cell r="G551">
            <v>72775730</v>
          </cell>
          <cell r="H551">
            <v>8332184</v>
          </cell>
          <cell r="I551">
            <v>25400704</v>
          </cell>
        </row>
        <row r="552">
          <cell r="A552" t="str">
            <v>1200|476900</v>
          </cell>
          <cell r="B552" t="str">
            <v>1200</v>
          </cell>
          <cell r="C552">
            <v>476900</v>
          </cell>
          <cell r="D552">
            <v>41426</v>
          </cell>
          <cell r="E552">
            <v>908632</v>
          </cell>
          <cell r="F552">
            <v>454316</v>
          </cell>
          <cell r="G552">
            <v>1389100</v>
          </cell>
          <cell r="H552">
            <v>75719</v>
          </cell>
          <cell r="I552">
            <v>510620</v>
          </cell>
        </row>
        <row r="553">
          <cell r="A553" t="str">
            <v>1210|434010</v>
          </cell>
          <cell r="B553" t="str">
            <v>1210</v>
          </cell>
          <cell r="C553">
            <v>434010</v>
          </cell>
          <cell r="D553">
            <v>41426</v>
          </cell>
          <cell r="E553">
            <v>0</v>
          </cell>
          <cell r="F553">
            <v>0</v>
          </cell>
          <cell r="G553">
            <v>-6</v>
          </cell>
          <cell r="H553">
            <v>0</v>
          </cell>
          <cell r="I553">
            <v>-3</v>
          </cell>
        </row>
        <row r="554">
          <cell r="A554" t="str">
            <v>1210|434012</v>
          </cell>
          <cell r="B554" t="str">
            <v>1210</v>
          </cell>
          <cell r="C554">
            <v>434012</v>
          </cell>
          <cell r="D554">
            <v>41426</v>
          </cell>
          <cell r="E554">
            <v>0</v>
          </cell>
          <cell r="F554">
            <v>0</v>
          </cell>
          <cell r="G554">
            <v>18</v>
          </cell>
          <cell r="H554">
            <v>0</v>
          </cell>
          <cell r="I554">
            <v>3</v>
          </cell>
        </row>
        <row r="555">
          <cell r="A555" t="str">
            <v>1210|434013</v>
          </cell>
          <cell r="B555" t="str">
            <v>1210</v>
          </cell>
          <cell r="C555">
            <v>434013</v>
          </cell>
          <cell r="D555">
            <v>41426</v>
          </cell>
          <cell r="E555">
            <v>0</v>
          </cell>
          <cell r="F555">
            <v>0</v>
          </cell>
          <cell r="G555">
            <v>-6</v>
          </cell>
          <cell r="H555">
            <v>0</v>
          </cell>
          <cell r="I555">
            <v>-7</v>
          </cell>
        </row>
        <row r="556">
          <cell r="A556" t="str">
            <v>1210|435000</v>
          </cell>
          <cell r="B556" t="str">
            <v>1210</v>
          </cell>
          <cell r="C556">
            <v>435000</v>
          </cell>
          <cell r="D556">
            <v>41426</v>
          </cell>
          <cell r="E556">
            <v>0</v>
          </cell>
          <cell r="F556">
            <v>0</v>
          </cell>
          <cell r="G556">
            <v>23266605</v>
          </cell>
          <cell r="H556">
            <v>0</v>
          </cell>
          <cell r="I556">
            <v>646601333</v>
          </cell>
        </row>
        <row r="557">
          <cell r="A557" t="str">
            <v>1210|435001</v>
          </cell>
          <cell r="B557" t="str">
            <v>1210</v>
          </cell>
          <cell r="C557">
            <v>435001</v>
          </cell>
          <cell r="D557">
            <v>41426</v>
          </cell>
          <cell r="E557">
            <v>0</v>
          </cell>
          <cell r="F557">
            <v>0</v>
          </cell>
          <cell r="G557">
            <v>3936766</v>
          </cell>
          <cell r="H557">
            <v>0</v>
          </cell>
          <cell r="I557">
            <v>367524323</v>
          </cell>
        </row>
        <row r="558">
          <cell r="A558" t="str">
            <v>1210|435002</v>
          </cell>
          <cell r="B558" t="str">
            <v>1210</v>
          </cell>
          <cell r="C558">
            <v>435002</v>
          </cell>
          <cell r="D558">
            <v>41426</v>
          </cell>
          <cell r="E558">
            <v>0</v>
          </cell>
          <cell r="F558">
            <v>0</v>
          </cell>
          <cell r="G558">
            <v>24431290</v>
          </cell>
          <cell r="H558">
            <v>0</v>
          </cell>
          <cell r="I558">
            <v>281908639</v>
          </cell>
        </row>
        <row r="559">
          <cell r="A559" t="str">
            <v>1210|439000</v>
          </cell>
          <cell r="B559" t="str">
            <v>1210</v>
          </cell>
          <cell r="C559">
            <v>439000</v>
          </cell>
          <cell r="D559">
            <v>41426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-1272458334</v>
          </cell>
        </row>
        <row r="560">
          <cell r="A560" t="str">
            <v>1210|439001</v>
          </cell>
          <cell r="B560" t="str">
            <v>1210</v>
          </cell>
          <cell r="C560">
            <v>439001</v>
          </cell>
          <cell r="D560">
            <v>41426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-433807922</v>
          </cell>
        </row>
        <row r="561">
          <cell r="A561" t="str">
            <v>1210|439003</v>
          </cell>
          <cell r="B561" t="str">
            <v>1210</v>
          </cell>
          <cell r="C561">
            <v>439003</v>
          </cell>
          <cell r="D561">
            <v>41426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-2030154574</v>
          </cell>
        </row>
        <row r="562">
          <cell r="A562" t="str">
            <v>1210|439008</v>
          </cell>
          <cell r="B562" t="str">
            <v>1210</v>
          </cell>
          <cell r="C562">
            <v>439008</v>
          </cell>
          <cell r="D562">
            <v>41426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-987911245</v>
          </cell>
        </row>
        <row r="563">
          <cell r="A563" t="str">
            <v>1210|440000</v>
          </cell>
          <cell r="B563" t="str">
            <v>1210</v>
          </cell>
          <cell r="C563">
            <v>440000</v>
          </cell>
          <cell r="D563">
            <v>41426</v>
          </cell>
          <cell r="E563">
            <v>0</v>
          </cell>
          <cell r="F563">
            <v>0</v>
          </cell>
          <cell r="G563">
            <v>3</v>
          </cell>
          <cell r="H563">
            <v>0</v>
          </cell>
          <cell r="I563">
            <v>3</v>
          </cell>
        </row>
        <row r="564">
          <cell r="A564" t="str">
            <v>1210|440002</v>
          </cell>
          <cell r="B564" t="str">
            <v>1210</v>
          </cell>
          <cell r="C564">
            <v>440002</v>
          </cell>
          <cell r="D564">
            <v>41426</v>
          </cell>
          <cell r="E564">
            <v>0</v>
          </cell>
          <cell r="F564">
            <v>0</v>
          </cell>
          <cell r="G564">
            <v>-8</v>
          </cell>
          <cell r="H564">
            <v>0</v>
          </cell>
          <cell r="I564">
            <v>-4</v>
          </cell>
        </row>
        <row r="565">
          <cell r="A565" t="str">
            <v>1210|440003</v>
          </cell>
          <cell r="B565" t="str">
            <v>1210</v>
          </cell>
          <cell r="C565">
            <v>440003</v>
          </cell>
          <cell r="D565">
            <v>41426</v>
          </cell>
          <cell r="E565">
            <v>0</v>
          </cell>
          <cell r="F565">
            <v>0</v>
          </cell>
          <cell r="G565">
            <v>-29</v>
          </cell>
          <cell r="H565">
            <v>0</v>
          </cell>
          <cell r="I565">
            <v>-1</v>
          </cell>
        </row>
        <row r="566">
          <cell r="A566" t="str">
            <v>1210|476201</v>
          </cell>
          <cell r="B566" t="str">
            <v>1210</v>
          </cell>
          <cell r="C566">
            <v>476201</v>
          </cell>
          <cell r="D566">
            <v>41426</v>
          </cell>
          <cell r="E566">
            <v>69738106</v>
          </cell>
          <cell r="F566">
            <v>34869053</v>
          </cell>
          <cell r="G566">
            <v>898735688</v>
          </cell>
          <cell r="H566">
            <v>5811509</v>
          </cell>
          <cell r="I566">
            <v>375521792</v>
          </cell>
        </row>
        <row r="567">
          <cell r="A567" t="str">
            <v>1210|476202</v>
          </cell>
          <cell r="B567" t="str">
            <v>1210</v>
          </cell>
          <cell r="C567">
            <v>476202</v>
          </cell>
          <cell r="D567">
            <v>41426</v>
          </cell>
          <cell r="E567">
            <v>1888304234</v>
          </cell>
          <cell r="F567">
            <v>944152117</v>
          </cell>
          <cell r="G567">
            <v>1102151659</v>
          </cell>
          <cell r="H567">
            <v>157358686</v>
          </cell>
          <cell r="I567">
            <v>191566544</v>
          </cell>
        </row>
        <row r="568">
          <cell r="A568" t="str">
            <v>1300|211100</v>
          </cell>
          <cell r="B568" t="str">
            <v>1300</v>
          </cell>
          <cell r="C568">
            <v>211100</v>
          </cell>
          <cell r="D568">
            <v>41426</v>
          </cell>
          <cell r="E568">
            <v>188515</v>
          </cell>
          <cell r="F568">
            <v>94258</v>
          </cell>
          <cell r="G568">
            <v>102017</v>
          </cell>
          <cell r="H568">
            <v>15710</v>
          </cell>
          <cell r="I568">
            <v>17002</v>
          </cell>
        </row>
        <row r="569">
          <cell r="A569" t="str">
            <v>1300|420002</v>
          </cell>
          <cell r="B569" t="str">
            <v>1300</v>
          </cell>
          <cell r="C569">
            <v>420002</v>
          </cell>
          <cell r="D569">
            <v>41426</v>
          </cell>
          <cell r="E569">
            <v>79764732</v>
          </cell>
          <cell r="F569">
            <v>39882366</v>
          </cell>
          <cell r="G569">
            <v>22734000</v>
          </cell>
          <cell r="H569">
            <v>6647061</v>
          </cell>
          <cell r="I569">
            <v>0</v>
          </cell>
        </row>
        <row r="570">
          <cell r="A570" t="str">
            <v>1300|420003</v>
          </cell>
          <cell r="B570" t="str">
            <v>1300</v>
          </cell>
          <cell r="C570">
            <v>420003</v>
          </cell>
          <cell r="D570">
            <v>41426</v>
          </cell>
          <cell r="E570">
            <v>255520683</v>
          </cell>
          <cell r="F570">
            <v>127760342</v>
          </cell>
          <cell r="G570">
            <v>0</v>
          </cell>
          <cell r="H570">
            <v>21293391</v>
          </cell>
          <cell r="I570">
            <v>0</v>
          </cell>
        </row>
        <row r="571">
          <cell r="A571" t="str">
            <v>1300|431002</v>
          </cell>
          <cell r="B571" t="str">
            <v>1300</v>
          </cell>
          <cell r="C571">
            <v>431002</v>
          </cell>
          <cell r="D571">
            <v>41426</v>
          </cell>
          <cell r="E571">
            <v>6706880</v>
          </cell>
          <cell r="F571">
            <v>3353440</v>
          </cell>
          <cell r="G571">
            <v>1471757</v>
          </cell>
          <cell r="H571">
            <v>558907</v>
          </cell>
          <cell r="I571">
            <v>0</v>
          </cell>
        </row>
        <row r="572">
          <cell r="A572" t="str">
            <v>1300|434012</v>
          </cell>
          <cell r="B572" t="str">
            <v>1300</v>
          </cell>
          <cell r="C572">
            <v>434012</v>
          </cell>
          <cell r="D572">
            <v>41426</v>
          </cell>
          <cell r="E572">
            <v>0</v>
          </cell>
          <cell r="F572">
            <v>0</v>
          </cell>
          <cell r="G572">
            <v>578559</v>
          </cell>
          <cell r="H572">
            <v>0</v>
          </cell>
          <cell r="I572">
            <v>0</v>
          </cell>
        </row>
        <row r="573">
          <cell r="A573" t="str">
            <v>1300|435002</v>
          </cell>
          <cell r="B573" t="str">
            <v>1300</v>
          </cell>
          <cell r="C573">
            <v>435002</v>
          </cell>
          <cell r="D573">
            <v>41426</v>
          </cell>
          <cell r="E573">
            <v>13626475</v>
          </cell>
          <cell r="F573">
            <v>6813238</v>
          </cell>
          <cell r="G573">
            <v>0</v>
          </cell>
          <cell r="H573">
            <v>1135540</v>
          </cell>
          <cell r="I573">
            <v>0</v>
          </cell>
        </row>
        <row r="574">
          <cell r="A574" t="str">
            <v>1300|435003</v>
          </cell>
          <cell r="B574" t="str">
            <v>1300</v>
          </cell>
          <cell r="C574">
            <v>435003</v>
          </cell>
          <cell r="D574">
            <v>41426</v>
          </cell>
          <cell r="E574">
            <v>31940085</v>
          </cell>
          <cell r="F574">
            <v>15970043</v>
          </cell>
          <cell r="G574">
            <v>0</v>
          </cell>
          <cell r="H574">
            <v>2661674</v>
          </cell>
          <cell r="I574">
            <v>0</v>
          </cell>
        </row>
        <row r="575">
          <cell r="A575" t="str">
            <v>1300|439003</v>
          </cell>
          <cell r="B575" t="str">
            <v>1300</v>
          </cell>
          <cell r="C575">
            <v>439003</v>
          </cell>
          <cell r="D575">
            <v>41426</v>
          </cell>
          <cell r="E575">
            <v>39449879</v>
          </cell>
          <cell r="F575">
            <v>19724940</v>
          </cell>
          <cell r="G575">
            <v>0</v>
          </cell>
          <cell r="H575">
            <v>3287490</v>
          </cell>
          <cell r="I575">
            <v>0</v>
          </cell>
        </row>
        <row r="576">
          <cell r="A576" t="str">
            <v>1300|439008</v>
          </cell>
          <cell r="B576" t="str">
            <v>1300</v>
          </cell>
          <cell r="C576">
            <v>439008</v>
          </cell>
          <cell r="D576">
            <v>41426</v>
          </cell>
          <cell r="E576">
            <v>16422063</v>
          </cell>
          <cell r="F576">
            <v>8211032</v>
          </cell>
          <cell r="G576">
            <v>0</v>
          </cell>
          <cell r="H576">
            <v>1368506</v>
          </cell>
          <cell r="I576">
            <v>0</v>
          </cell>
        </row>
        <row r="577">
          <cell r="A577" t="str">
            <v>1300|440002</v>
          </cell>
          <cell r="B577" t="str">
            <v>1300</v>
          </cell>
          <cell r="C577">
            <v>440002</v>
          </cell>
          <cell r="D577">
            <v>41426</v>
          </cell>
          <cell r="E577">
            <v>6647061</v>
          </cell>
          <cell r="F577">
            <v>3323531</v>
          </cell>
          <cell r="G577">
            <v>1665285</v>
          </cell>
          <cell r="H577">
            <v>553922</v>
          </cell>
          <cell r="I577">
            <v>0</v>
          </cell>
        </row>
        <row r="578">
          <cell r="A578" t="str">
            <v>1300|440003</v>
          </cell>
          <cell r="B578" t="str">
            <v>1300</v>
          </cell>
          <cell r="C578">
            <v>440003</v>
          </cell>
          <cell r="D578">
            <v>41426</v>
          </cell>
          <cell r="E578">
            <v>21293390</v>
          </cell>
          <cell r="F578">
            <v>10646695</v>
          </cell>
          <cell r="G578">
            <v>0</v>
          </cell>
          <cell r="H578">
            <v>1774449</v>
          </cell>
          <cell r="I578">
            <v>0</v>
          </cell>
        </row>
        <row r="579">
          <cell r="A579" t="str">
            <v>1300|446002</v>
          </cell>
          <cell r="B579" t="str">
            <v>1300</v>
          </cell>
          <cell r="C579">
            <v>446002</v>
          </cell>
          <cell r="D579">
            <v>41426</v>
          </cell>
          <cell r="E579">
            <v>3323530</v>
          </cell>
          <cell r="F579">
            <v>1661765</v>
          </cell>
          <cell r="G579">
            <v>300000</v>
          </cell>
          <cell r="H579">
            <v>276961</v>
          </cell>
          <cell r="I579">
            <v>0</v>
          </cell>
        </row>
        <row r="580">
          <cell r="A580" t="str">
            <v>1300|447002</v>
          </cell>
          <cell r="B580" t="str">
            <v>1300</v>
          </cell>
          <cell r="C580">
            <v>447002</v>
          </cell>
          <cell r="D580">
            <v>41426</v>
          </cell>
          <cell r="E580">
            <v>1252306</v>
          </cell>
          <cell r="F580">
            <v>626153</v>
          </cell>
          <cell r="G580">
            <v>231324</v>
          </cell>
          <cell r="H580">
            <v>104359</v>
          </cell>
          <cell r="I580">
            <v>0</v>
          </cell>
        </row>
        <row r="581">
          <cell r="A581" t="str">
            <v>1300|447003</v>
          </cell>
          <cell r="B581" t="str">
            <v>1300</v>
          </cell>
          <cell r="C581">
            <v>447003</v>
          </cell>
          <cell r="D581">
            <v>41426</v>
          </cell>
          <cell r="E581">
            <v>4012241</v>
          </cell>
          <cell r="F581">
            <v>2006121</v>
          </cell>
          <cell r="G581">
            <v>0</v>
          </cell>
          <cell r="H581">
            <v>334354</v>
          </cell>
          <cell r="I581">
            <v>0</v>
          </cell>
        </row>
        <row r="582">
          <cell r="A582" t="str">
            <v>1300|447012</v>
          </cell>
          <cell r="B582" t="str">
            <v>1300</v>
          </cell>
          <cell r="C582">
            <v>447012</v>
          </cell>
          <cell r="D582">
            <v>41426</v>
          </cell>
          <cell r="E582">
            <v>2951295</v>
          </cell>
          <cell r="F582">
            <v>1475648</v>
          </cell>
          <cell r="G582">
            <v>545158</v>
          </cell>
          <cell r="H582">
            <v>245942</v>
          </cell>
          <cell r="I582">
            <v>0</v>
          </cell>
        </row>
        <row r="583">
          <cell r="A583" t="str">
            <v>1300|447013</v>
          </cell>
          <cell r="B583" t="str">
            <v>1300</v>
          </cell>
          <cell r="C583">
            <v>447013</v>
          </cell>
          <cell r="D583">
            <v>41426</v>
          </cell>
          <cell r="E583">
            <v>9454265</v>
          </cell>
          <cell r="F583">
            <v>4727133</v>
          </cell>
          <cell r="G583">
            <v>0</v>
          </cell>
          <cell r="H583">
            <v>787856</v>
          </cell>
          <cell r="I583">
            <v>0</v>
          </cell>
        </row>
        <row r="584">
          <cell r="A584" t="str">
            <v>1300|447022</v>
          </cell>
          <cell r="B584" t="str">
            <v>1300</v>
          </cell>
          <cell r="C584">
            <v>447022</v>
          </cell>
          <cell r="D584">
            <v>41426</v>
          </cell>
          <cell r="E584">
            <v>125231</v>
          </cell>
          <cell r="F584">
            <v>62616</v>
          </cell>
          <cell r="G584">
            <v>38437</v>
          </cell>
          <cell r="H584">
            <v>10436</v>
          </cell>
          <cell r="I584">
            <v>0</v>
          </cell>
        </row>
        <row r="585">
          <cell r="A585" t="str">
            <v>1300|447023</v>
          </cell>
          <cell r="B585" t="str">
            <v>1300</v>
          </cell>
          <cell r="C585">
            <v>447023</v>
          </cell>
          <cell r="D585">
            <v>41426</v>
          </cell>
          <cell r="E585">
            <v>332040</v>
          </cell>
          <cell r="F585">
            <v>166020</v>
          </cell>
          <cell r="G585">
            <v>0</v>
          </cell>
          <cell r="H585">
            <v>27670</v>
          </cell>
          <cell r="I585">
            <v>0</v>
          </cell>
        </row>
        <row r="586">
          <cell r="A586" t="str">
            <v>1300|448002</v>
          </cell>
          <cell r="B586" t="str">
            <v>1300</v>
          </cell>
          <cell r="C586">
            <v>448002</v>
          </cell>
          <cell r="D586">
            <v>41426</v>
          </cell>
          <cell r="E586">
            <v>5967791</v>
          </cell>
          <cell r="F586">
            <v>2983896</v>
          </cell>
          <cell r="G586">
            <v>1413270</v>
          </cell>
          <cell r="H586">
            <v>497316</v>
          </cell>
          <cell r="I586">
            <v>0</v>
          </cell>
        </row>
        <row r="587">
          <cell r="A587" t="str">
            <v>1300|448003</v>
          </cell>
          <cell r="B587" t="str">
            <v>1300</v>
          </cell>
          <cell r="C587">
            <v>448003</v>
          </cell>
          <cell r="D587">
            <v>41426</v>
          </cell>
          <cell r="E587">
            <v>14470431</v>
          </cell>
          <cell r="F587">
            <v>7235216</v>
          </cell>
          <cell r="G587">
            <v>872500</v>
          </cell>
          <cell r="H587">
            <v>1205870</v>
          </cell>
          <cell r="I587">
            <v>0</v>
          </cell>
        </row>
        <row r="588">
          <cell r="A588" t="str">
            <v>1300|449022</v>
          </cell>
          <cell r="B588" t="str">
            <v>1300</v>
          </cell>
          <cell r="C588">
            <v>449022</v>
          </cell>
          <cell r="D588">
            <v>41426</v>
          </cell>
          <cell r="E588">
            <v>3960000</v>
          </cell>
          <cell r="F588">
            <v>1980000</v>
          </cell>
          <cell r="G588">
            <v>595000</v>
          </cell>
          <cell r="H588">
            <v>330000</v>
          </cell>
          <cell r="I588">
            <v>0</v>
          </cell>
        </row>
        <row r="589">
          <cell r="A589" t="str">
            <v>1300|449023</v>
          </cell>
          <cell r="B589" t="str">
            <v>1300</v>
          </cell>
          <cell r="C589">
            <v>449023</v>
          </cell>
          <cell r="D589">
            <v>41426</v>
          </cell>
          <cell r="E589">
            <v>29436000</v>
          </cell>
          <cell r="F589">
            <v>14718000</v>
          </cell>
          <cell r="G589">
            <v>0</v>
          </cell>
          <cell r="H589">
            <v>2453000</v>
          </cell>
          <cell r="I589">
            <v>0</v>
          </cell>
        </row>
        <row r="590">
          <cell r="A590" t="str">
            <v>1300|449032</v>
          </cell>
          <cell r="B590" t="str">
            <v>1300</v>
          </cell>
          <cell r="C590">
            <v>449032</v>
          </cell>
          <cell r="D590">
            <v>41426</v>
          </cell>
          <cell r="E590">
            <v>895132</v>
          </cell>
          <cell r="F590">
            <v>447566</v>
          </cell>
          <cell r="G590">
            <v>0</v>
          </cell>
          <cell r="H590">
            <v>74594</v>
          </cell>
          <cell r="I590">
            <v>0</v>
          </cell>
        </row>
        <row r="591">
          <cell r="A591" t="str">
            <v>1300|449050</v>
          </cell>
          <cell r="B591" t="str">
            <v>1300</v>
          </cell>
          <cell r="C591">
            <v>449050</v>
          </cell>
          <cell r="D591">
            <v>41426</v>
          </cell>
          <cell r="E591">
            <v>31998151</v>
          </cell>
          <cell r="F591">
            <v>15999076</v>
          </cell>
          <cell r="G591">
            <v>0</v>
          </cell>
          <cell r="H591">
            <v>2666513</v>
          </cell>
          <cell r="I591">
            <v>0</v>
          </cell>
        </row>
        <row r="592">
          <cell r="A592" t="str">
            <v>1300|449061</v>
          </cell>
          <cell r="B592" t="str">
            <v>1300</v>
          </cell>
          <cell r="C592">
            <v>449061</v>
          </cell>
          <cell r="D592">
            <v>41426</v>
          </cell>
          <cell r="E592">
            <v>10648360</v>
          </cell>
          <cell r="F592">
            <v>5324180</v>
          </cell>
          <cell r="G592">
            <v>7175000</v>
          </cell>
          <cell r="H592">
            <v>887363</v>
          </cell>
          <cell r="I592">
            <v>2352500</v>
          </cell>
        </row>
        <row r="593">
          <cell r="A593" t="str">
            <v>1300|473000</v>
          </cell>
          <cell r="B593" t="str">
            <v>1300</v>
          </cell>
          <cell r="C593">
            <v>473000</v>
          </cell>
          <cell r="D593">
            <v>41426</v>
          </cell>
          <cell r="E593">
            <v>1180879</v>
          </cell>
          <cell r="F593">
            <v>590440</v>
          </cell>
          <cell r="G593">
            <v>300000</v>
          </cell>
          <cell r="H593">
            <v>98407</v>
          </cell>
          <cell r="I593">
            <v>0</v>
          </cell>
        </row>
        <row r="594">
          <cell r="A594" t="str">
            <v>1300|473120</v>
          </cell>
          <cell r="B594" t="str">
            <v>1300</v>
          </cell>
          <cell r="C594">
            <v>473120</v>
          </cell>
          <cell r="D594">
            <v>41426</v>
          </cell>
          <cell r="E594">
            <v>757525</v>
          </cell>
          <cell r="F594">
            <v>378763</v>
          </cell>
          <cell r="G594">
            <v>227567</v>
          </cell>
          <cell r="H594">
            <v>63128</v>
          </cell>
          <cell r="I594">
            <v>18925</v>
          </cell>
        </row>
        <row r="595">
          <cell r="A595" t="str">
            <v>1300|475003</v>
          </cell>
          <cell r="B595" t="str">
            <v>1300</v>
          </cell>
          <cell r="C595">
            <v>475003</v>
          </cell>
          <cell r="D595">
            <v>41426</v>
          </cell>
          <cell r="E595">
            <v>685219</v>
          </cell>
          <cell r="F595">
            <v>342610</v>
          </cell>
          <cell r="G595">
            <v>0</v>
          </cell>
          <cell r="H595">
            <v>57102</v>
          </cell>
          <cell r="I595">
            <v>0</v>
          </cell>
        </row>
        <row r="596">
          <cell r="A596" t="str">
            <v>1300|475006</v>
          </cell>
          <cell r="B596" t="str">
            <v>1300</v>
          </cell>
          <cell r="C596">
            <v>475006</v>
          </cell>
          <cell r="D596">
            <v>41426</v>
          </cell>
          <cell r="E596">
            <v>2788614</v>
          </cell>
          <cell r="F596">
            <v>1394307</v>
          </cell>
          <cell r="G596">
            <v>0</v>
          </cell>
          <cell r="H596">
            <v>232384</v>
          </cell>
          <cell r="I596">
            <v>0</v>
          </cell>
        </row>
        <row r="597">
          <cell r="A597" t="str">
            <v>1300|476000</v>
          </cell>
          <cell r="B597" t="str">
            <v>1300</v>
          </cell>
          <cell r="C597">
            <v>476000</v>
          </cell>
          <cell r="D597">
            <v>41426</v>
          </cell>
          <cell r="E597">
            <v>258553</v>
          </cell>
          <cell r="F597">
            <v>129277</v>
          </cell>
          <cell r="G597">
            <v>0</v>
          </cell>
          <cell r="H597">
            <v>21547</v>
          </cell>
          <cell r="I597">
            <v>0</v>
          </cell>
        </row>
        <row r="598">
          <cell r="A598" t="str">
            <v>1300|476001</v>
          </cell>
          <cell r="B598" t="str">
            <v>1300</v>
          </cell>
          <cell r="C598">
            <v>476001</v>
          </cell>
          <cell r="D598">
            <v>41426</v>
          </cell>
          <cell r="E598">
            <v>257605</v>
          </cell>
          <cell r="F598">
            <v>128803</v>
          </cell>
          <cell r="G598">
            <v>6927</v>
          </cell>
          <cell r="H598">
            <v>21468</v>
          </cell>
          <cell r="I598">
            <v>0</v>
          </cell>
        </row>
        <row r="599">
          <cell r="A599" t="str">
            <v>1300|476201</v>
          </cell>
          <cell r="B599" t="str">
            <v>1300</v>
          </cell>
          <cell r="C599">
            <v>476201</v>
          </cell>
          <cell r="D599">
            <v>41426</v>
          </cell>
          <cell r="E599">
            <v>399164</v>
          </cell>
          <cell r="F599">
            <v>199582</v>
          </cell>
          <cell r="G599">
            <v>0</v>
          </cell>
          <cell r="H599">
            <v>33264</v>
          </cell>
          <cell r="I599">
            <v>0</v>
          </cell>
        </row>
        <row r="600">
          <cell r="A600" t="str">
            <v>1300|476220</v>
          </cell>
          <cell r="B600" t="str">
            <v>1300</v>
          </cell>
          <cell r="C600">
            <v>476220</v>
          </cell>
          <cell r="D600">
            <v>41426</v>
          </cell>
          <cell r="E600">
            <v>16820343</v>
          </cell>
          <cell r="F600">
            <v>8410172</v>
          </cell>
          <cell r="G600">
            <v>20711069</v>
          </cell>
          <cell r="H600">
            <v>1401696</v>
          </cell>
          <cell r="I600">
            <v>7467603</v>
          </cell>
        </row>
        <row r="601">
          <cell r="A601" t="str">
            <v>1300|476900</v>
          </cell>
          <cell r="B601" t="str">
            <v>1300</v>
          </cell>
          <cell r="C601">
            <v>476900</v>
          </cell>
          <cell r="D601">
            <v>41426</v>
          </cell>
          <cell r="E601">
            <v>229237</v>
          </cell>
          <cell r="F601">
            <v>114619</v>
          </cell>
          <cell r="G601">
            <v>0</v>
          </cell>
          <cell r="H601">
            <v>19104</v>
          </cell>
          <cell r="I601">
            <v>0</v>
          </cell>
        </row>
        <row r="602">
          <cell r="A602" t="str">
            <v>1400|211100</v>
          </cell>
          <cell r="B602" t="str">
            <v>1400</v>
          </cell>
          <cell r="C602">
            <v>211100</v>
          </cell>
          <cell r="D602">
            <v>41426</v>
          </cell>
          <cell r="E602">
            <v>29153367</v>
          </cell>
          <cell r="F602">
            <v>14576684</v>
          </cell>
          <cell r="G602">
            <v>6408724</v>
          </cell>
          <cell r="H602">
            <v>2429448</v>
          </cell>
          <cell r="I602">
            <v>1057266</v>
          </cell>
        </row>
        <row r="603">
          <cell r="A603" t="str">
            <v>1400|405200</v>
          </cell>
          <cell r="B603" t="str">
            <v>1400</v>
          </cell>
          <cell r="C603">
            <v>405200</v>
          </cell>
          <cell r="D603">
            <v>41426</v>
          </cell>
          <cell r="E603">
            <v>5000000</v>
          </cell>
          <cell r="F603">
            <v>2500000</v>
          </cell>
          <cell r="G603">
            <v>3806000</v>
          </cell>
          <cell r="H603">
            <v>416667</v>
          </cell>
          <cell r="I603">
            <v>0</v>
          </cell>
        </row>
        <row r="604">
          <cell r="A604" t="str">
            <v>1400|420002</v>
          </cell>
          <cell r="B604" t="str">
            <v>1400</v>
          </cell>
          <cell r="C604">
            <v>420002</v>
          </cell>
          <cell r="D604">
            <v>41426</v>
          </cell>
          <cell r="E604">
            <v>478588390</v>
          </cell>
          <cell r="F604">
            <v>239294195</v>
          </cell>
          <cell r="G604">
            <v>196067081</v>
          </cell>
          <cell r="H604">
            <v>39882366</v>
          </cell>
          <cell r="I604">
            <v>32644000</v>
          </cell>
        </row>
        <row r="605">
          <cell r="A605" t="str">
            <v>1400|420003</v>
          </cell>
          <cell r="B605" t="str">
            <v>1400</v>
          </cell>
          <cell r="C605">
            <v>420003</v>
          </cell>
          <cell r="D605">
            <v>41426</v>
          </cell>
          <cell r="E605">
            <v>1518994609</v>
          </cell>
          <cell r="F605">
            <v>759497305</v>
          </cell>
          <cell r="G605">
            <v>667585723</v>
          </cell>
          <cell r="H605">
            <v>126582885</v>
          </cell>
          <cell r="I605">
            <v>112507791</v>
          </cell>
        </row>
        <row r="606">
          <cell r="A606" t="str">
            <v>1400|422002</v>
          </cell>
          <cell r="B606" t="str">
            <v>1400</v>
          </cell>
          <cell r="C606">
            <v>422002</v>
          </cell>
          <cell r="D606">
            <v>41426</v>
          </cell>
          <cell r="E606">
            <v>1239030</v>
          </cell>
          <cell r="F606">
            <v>619515</v>
          </cell>
          <cell r="G606">
            <v>311850</v>
          </cell>
          <cell r="H606">
            <v>103252</v>
          </cell>
          <cell r="I606">
            <v>0</v>
          </cell>
        </row>
        <row r="607">
          <cell r="A607" t="str">
            <v>1400|422003</v>
          </cell>
          <cell r="B607" t="str">
            <v>1400</v>
          </cell>
          <cell r="C607">
            <v>422003</v>
          </cell>
          <cell r="D607">
            <v>41426</v>
          </cell>
          <cell r="E607">
            <v>149580</v>
          </cell>
          <cell r="F607">
            <v>74790</v>
          </cell>
          <cell r="G607">
            <v>259950</v>
          </cell>
          <cell r="H607">
            <v>12465</v>
          </cell>
          <cell r="I607">
            <v>0</v>
          </cell>
        </row>
        <row r="608">
          <cell r="A608" t="str">
            <v>1400|431002</v>
          </cell>
          <cell r="B608" t="str">
            <v>1400</v>
          </cell>
          <cell r="C608">
            <v>431002</v>
          </cell>
          <cell r="D608">
            <v>41426</v>
          </cell>
          <cell r="E608">
            <v>45705620</v>
          </cell>
          <cell r="F608">
            <v>22852810</v>
          </cell>
          <cell r="G608">
            <v>43713304</v>
          </cell>
          <cell r="H608">
            <v>3808802</v>
          </cell>
          <cell r="I608">
            <v>2257871</v>
          </cell>
        </row>
        <row r="609">
          <cell r="A609" t="str">
            <v>1400|433002</v>
          </cell>
          <cell r="B609" t="str">
            <v>1400</v>
          </cell>
          <cell r="C609">
            <v>433002</v>
          </cell>
          <cell r="D609">
            <v>41426</v>
          </cell>
          <cell r="E609">
            <v>4831689</v>
          </cell>
          <cell r="F609">
            <v>2415845</v>
          </cell>
          <cell r="G609">
            <v>2514600</v>
          </cell>
          <cell r="H609">
            <v>402641</v>
          </cell>
          <cell r="I609">
            <v>419100</v>
          </cell>
        </row>
        <row r="610">
          <cell r="A610" t="str">
            <v>1400|434012</v>
          </cell>
          <cell r="B610" t="str">
            <v>1400</v>
          </cell>
          <cell r="C610">
            <v>434012</v>
          </cell>
          <cell r="D610">
            <v>41426</v>
          </cell>
          <cell r="E610">
            <v>0</v>
          </cell>
          <cell r="F610">
            <v>0</v>
          </cell>
          <cell r="G610">
            <v>4936004</v>
          </cell>
          <cell r="H610">
            <v>0</v>
          </cell>
          <cell r="I610">
            <v>831241</v>
          </cell>
        </row>
        <row r="611">
          <cell r="A611" t="str">
            <v>1400|434013</v>
          </cell>
          <cell r="B611" t="str">
            <v>1400</v>
          </cell>
          <cell r="C611">
            <v>434013</v>
          </cell>
          <cell r="D611">
            <v>41426</v>
          </cell>
          <cell r="E611">
            <v>0</v>
          </cell>
          <cell r="F611">
            <v>0</v>
          </cell>
          <cell r="G611">
            <v>22502412</v>
          </cell>
          <cell r="H611">
            <v>0</v>
          </cell>
          <cell r="I611">
            <v>3602928</v>
          </cell>
        </row>
        <row r="612">
          <cell r="A612" t="str">
            <v>1400|435002</v>
          </cell>
          <cell r="B612" t="str">
            <v>1400</v>
          </cell>
          <cell r="C612">
            <v>435002</v>
          </cell>
          <cell r="D612">
            <v>41426</v>
          </cell>
          <cell r="E612">
            <v>81758850</v>
          </cell>
          <cell r="F612">
            <v>40879425</v>
          </cell>
          <cell r="G612">
            <v>21410500</v>
          </cell>
          <cell r="H612">
            <v>6813237</v>
          </cell>
          <cell r="I612">
            <v>0</v>
          </cell>
        </row>
        <row r="613">
          <cell r="A613" t="str">
            <v>1400|435003</v>
          </cell>
          <cell r="B613" t="str">
            <v>1400</v>
          </cell>
          <cell r="C613">
            <v>435003</v>
          </cell>
          <cell r="D613">
            <v>41426</v>
          </cell>
          <cell r="E613">
            <v>189874326</v>
          </cell>
          <cell r="F613">
            <v>94937163</v>
          </cell>
          <cell r="G613">
            <v>238963500</v>
          </cell>
          <cell r="H613">
            <v>15822860</v>
          </cell>
          <cell r="I613">
            <v>0</v>
          </cell>
        </row>
        <row r="614">
          <cell r="A614" t="str">
            <v>1400|439003</v>
          </cell>
          <cell r="B614" t="str">
            <v>1400</v>
          </cell>
          <cell r="C614">
            <v>439003</v>
          </cell>
          <cell r="D614">
            <v>41426</v>
          </cell>
          <cell r="E614">
            <v>315902904</v>
          </cell>
          <cell r="F614">
            <v>157951452</v>
          </cell>
          <cell r="G614">
            <v>120438647</v>
          </cell>
          <cell r="H614">
            <v>26325242</v>
          </cell>
          <cell r="I614">
            <v>19335632</v>
          </cell>
        </row>
        <row r="615">
          <cell r="A615" t="str">
            <v>1400|439008</v>
          </cell>
          <cell r="B615" t="str">
            <v>1400</v>
          </cell>
          <cell r="C615">
            <v>439008</v>
          </cell>
          <cell r="D615">
            <v>41426</v>
          </cell>
          <cell r="E615">
            <v>98532375</v>
          </cell>
          <cell r="F615">
            <v>49266188</v>
          </cell>
          <cell r="G615">
            <v>47544756</v>
          </cell>
          <cell r="H615">
            <v>8211032</v>
          </cell>
          <cell r="I615">
            <v>7991271</v>
          </cell>
        </row>
        <row r="616">
          <cell r="A616" t="str">
            <v>1400|440002</v>
          </cell>
          <cell r="B616" t="str">
            <v>1400</v>
          </cell>
          <cell r="C616">
            <v>440002</v>
          </cell>
          <cell r="D616">
            <v>41426</v>
          </cell>
          <cell r="E616">
            <v>39882366</v>
          </cell>
          <cell r="F616">
            <v>19941183</v>
          </cell>
          <cell r="G616">
            <v>17656243</v>
          </cell>
          <cell r="H616">
            <v>3323530</v>
          </cell>
          <cell r="I616">
            <v>1988095</v>
          </cell>
        </row>
        <row r="617">
          <cell r="A617" t="str">
            <v>1400|440003</v>
          </cell>
          <cell r="B617" t="str">
            <v>1400</v>
          </cell>
          <cell r="C617">
            <v>440003</v>
          </cell>
          <cell r="D617">
            <v>41426</v>
          </cell>
          <cell r="E617">
            <v>126582884</v>
          </cell>
          <cell r="F617">
            <v>63291442</v>
          </cell>
          <cell r="G617">
            <v>65017886</v>
          </cell>
          <cell r="H617">
            <v>10548574</v>
          </cell>
          <cell r="I617">
            <v>13371657</v>
          </cell>
        </row>
        <row r="618">
          <cell r="A618" t="str">
            <v>1400|446002</v>
          </cell>
          <cell r="B618" t="str">
            <v>1400</v>
          </cell>
          <cell r="C618">
            <v>446002</v>
          </cell>
          <cell r="D618">
            <v>41426</v>
          </cell>
          <cell r="E618">
            <v>19941183</v>
          </cell>
          <cell r="F618">
            <v>9970592</v>
          </cell>
          <cell r="G618">
            <v>1200000</v>
          </cell>
          <cell r="H618">
            <v>1661766</v>
          </cell>
          <cell r="I618">
            <v>200000</v>
          </cell>
        </row>
        <row r="619">
          <cell r="A619" t="str">
            <v>1400|447002</v>
          </cell>
          <cell r="B619" t="str">
            <v>1400</v>
          </cell>
          <cell r="C619">
            <v>447002</v>
          </cell>
          <cell r="D619">
            <v>41426</v>
          </cell>
          <cell r="E619">
            <v>7513838</v>
          </cell>
          <cell r="F619">
            <v>3756919</v>
          </cell>
          <cell r="G619">
            <v>2557062</v>
          </cell>
          <cell r="H619">
            <v>626153</v>
          </cell>
          <cell r="I619">
            <v>426177</v>
          </cell>
        </row>
        <row r="620">
          <cell r="A620" t="str">
            <v>1400|447003</v>
          </cell>
          <cell r="B620" t="str">
            <v>1400</v>
          </cell>
          <cell r="C620">
            <v>447003</v>
          </cell>
          <cell r="D620">
            <v>41426</v>
          </cell>
          <cell r="E620">
            <v>23848185</v>
          </cell>
          <cell r="F620">
            <v>11924093</v>
          </cell>
          <cell r="G620">
            <v>9395046</v>
          </cell>
          <cell r="H620">
            <v>1987349</v>
          </cell>
          <cell r="I620">
            <v>1565841</v>
          </cell>
        </row>
        <row r="621">
          <cell r="A621" t="str">
            <v>1400|447012</v>
          </cell>
          <cell r="B621" t="str">
            <v>1400</v>
          </cell>
          <cell r="C621">
            <v>447012</v>
          </cell>
          <cell r="D621">
            <v>41426</v>
          </cell>
          <cell r="E621">
            <v>17707770</v>
          </cell>
          <cell r="F621">
            <v>8853885</v>
          </cell>
          <cell r="G621">
            <v>7246968</v>
          </cell>
          <cell r="H621">
            <v>1475647</v>
          </cell>
          <cell r="I621">
            <v>1207828</v>
          </cell>
        </row>
        <row r="622">
          <cell r="A622" t="str">
            <v>1400|447013</v>
          </cell>
          <cell r="B622" t="str">
            <v>1400</v>
          </cell>
          <cell r="C622">
            <v>447013</v>
          </cell>
          <cell r="D622">
            <v>41426</v>
          </cell>
          <cell r="E622">
            <v>56202801</v>
          </cell>
          <cell r="F622">
            <v>28101401</v>
          </cell>
          <cell r="G622">
            <v>24626580</v>
          </cell>
          <cell r="H622">
            <v>4683567</v>
          </cell>
          <cell r="I622">
            <v>4104430</v>
          </cell>
        </row>
        <row r="623">
          <cell r="A623" t="str">
            <v>1400|447022</v>
          </cell>
          <cell r="B623" t="str">
            <v>1400</v>
          </cell>
          <cell r="C623">
            <v>447022</v>
          </cell>
          <cell r="D623">
            <v>41426</v>
          </cell>
          <cell r="E623">
            <v>751384</v>
          </cell>
          <cell r="F623">
            <v>375692</v>
          </cell>
          <cell r="G623">
            <v>424758</v>
          </cell>
          <cell r="H623">
            <v>62615</v>
          </cell>
          <cell r="I623">
            <v>70650</v>
          </cell>
        </row>
        <row r="624">
          <cell r="A624" t="str">
            <v>1400|447023</v>
          </cell>
          <cell r="B624" t="str">
            <v>1400</v>
          </cell>
          <cell r="C624">
            <v>447023</v>
          </cell>
          <cell r="D624">
            <v>41426</v>
          </cell>
          <cell r="E624">
            <v>10605959</v>
          </cell>
          <cell r="F624">
            <v>5302980</v>
          </cell>
          <cell r="G624">
            <v>2092218</v>
          </cell>
          <cell r="H624">
            <v>883830</v>
          </cell>
          <cell r="I624">
            <v>349100</v>
          </cell>
        </row>
        <row r="625">
          <cell r="A625" t="str">
            <v>1400|448002</v>
          </cell>
          <cell r="B625" t="str">
            <v>1400</v>
          </cell>
          <cell r="C625">
            <v>448002</v>
          </cell>
          <cell r="D625">
            <v>41426</v>
          </cell>
          <cell r="E625">
            <v>35806745</v>
          </cell>
          <cell r="F625">
            <v>17903373</v>
          </cell>
          <cell r="G625">
            <v>17605210</v>
          </cell>
          <cell r="H625">
            <v>2983896</v>
          </cell>
          <cell r="I625">
            <v>2640400</v>
          </cell>
        </row>
        <row r="626">
          <cell r="A626" t="str">
            <v>1400|448003</v>
          </cell>
          <cell r="B626" t="str">
            <v>1400</v>
          </cell>
          <cell r="C626">
            <v>448003</v>
          </cell>
          <cell r="D626">
            <v>41426</v>
          </cell>
          <cell r="E626">
            <v>88029337</v>
          </cell>
          <cell r="F626">
            <v>44014669</v>
          </cell>
          <cell r="G626">
            <v>18671173</v>
          </cell>
          <cell r="H626">
            <v>7335779</v>
          </cell>
          <cell r="I626">
            <v>1716800</v>
          </cell>
        </row>
        <row r="627">
          <cell r="A627" t="str">
            <v>1400|449022</v>
          </cell>
          <cell r="B627" t="str">
            <v>1400</v>
          </cell>
          <cell r="C627">
            <v>449022</v>
          </cell>
          <cell r="D627">
            <v>41426</v>
          </cell>
          <cell r="E627">
            <v>23760000</v>
          </cell>
          <cell r="F627">
            <v>11880000</v>
          </cell>
          <cell r="G627">
            <v>10013000</v>
          </cell>
          <cell r="H627">
            <v>1980000</v>
          </cell>
          <cell r="I627">
            <v>1632000</v>
          </cell>
        </row>
        <row r="628">
          <cell r="A628" t="str">
            <v>1400|449023</v>
          </cell>
          <cell r="B628" t="str">
            <v>1400</v>
          </cell>
          <cell r="C628">
            <v>449023</v>
          </cell>
          <cell r="D628">
            <v>41426</v>
          </cell>
          <cell r="E628">
            <v>74712000</v>
          </cell>
          <cell r="F628">
            <v>37356000</v>
          </cell>
          <cell r="G628">
            <v>44061000</v>
          </cell>
          <cell r="H628">
            <v>6226000</v>
          </cell>
          <cell r="I628">
            <v>7165000</v>
          </cell>
        </row>
        <row r="629">
          <cell r="A629" t="str">
            <v>1400|449032</v>
          </cell>
          <cell r="B629" t="str">
            <v>1400</v>
          </cell>
          <cell r="C629">
            <v>449032</v>
          </cell>
          <cell r="D629">
            <v>41426</v>
          </cell>
          <cell r="E629">
            <v>10401433</v>
          </cell>
          <cell r="F629">
            <v>5200717</v>
          </cell>
          <cell r="G629">
            <v>3836003</v>
          </cell>
          <cell r="H629">
            <v>866787</v>
          </cell>
          <cell r="I629">
            <v>0</v>
          </cell>
        </row>
        <row r="630">
          <cell r="A630" t="str">
            <v>1400|449040</v>
          </cell>
          <cell r="B630" t="str">
            <v>1400</v>
          </cell>
          <cell r="C630">
            <v>449040</v>
          </cell>
          <cell r="D630">
            <v>41426</v>
          </cell>
          <cell r="E630">
            <v>11376157</v>
          </cell>
          <cell r="F630">
            <v>5688079</v>
          </cell>
          <cell r="G630">
            <v>5906100</v>
          </cell>
          <cell r="H630">
            <v>948014</v>
          </cell>
          <cell r="I630">
            <v>0</v>
          </cell>
        </row>
        <row r="631">
          <cell r="A631" t="str">
            <v>1400|449050</v>
          </cell>
          <cell r="B631" t="str">
            <v>1400</v>
          </cell>
          <cell r="C631">
            <v>449050</v>
          </cell>
          <cell r="D631">
            <v>41426</v>
          </cell>
          <cell r="E631">
            <v>105200883</v>
          </cell>
          <cell r="F631">
            <v>52600442</v>
          </cell>
          <cell r="G631">
            <v>29599984</v>
          </cell>
          <cell r="H631">
            <v>8766741</v>
          </cell>
          <cell r="I631">
            <v>4933334</v>
          </cell>
        </row>
        <row r="632">
          <cell r="A632" t="str">
            <v>1400|449061</v>
          </cell>
          <cell r="B632" t="str">
            <v>1400</v>
          </cell>
          <cell r="C632">
            <v>449061</v>
          </cell>
          <cell r="D632">
            <v>41426</v>
          </cell>
          <cell r="E632">
            <v>107845958</v>
          </cell>
          <cell r="F632">
            <v>53922979</v>
          </cell>
          <cell r="G632">
            <v>38129850</v>
          </cell>
          <cell r="H632">
            <v>8987163</v>
          </cell>
          <cell r="I632">
            <v>8387600</v>
          </cell>
        </row>
        <row r="633">
          <cell r="A633" t="str">
            <v>1400|459000</v>
          </cell>
          <cell r="B633" t="str">
            <v>1400</v>
          </cell>
          <cell r="C633">
            <v>459000</v>
          </cell>
          <cell r="D633">
            <v>41426</v>
          </cell>
          <cell r="E633">
            <v>650441</v>
          </cell>
          <cell r="F633">
            <v>325221</v>
          </cell>
          <cell r="G633">
            <v>0</v>
          </cell>
          <cell r="H633">
            <v>54204</v>
          </cell>
          <cell r="I633">
            <v>0</v>
          </cell>
        </row>
        <row r="634">
          <cell r="A634" t="str">
            <v>1400|471000</v>
          </cell>
          <cell r="B634" t="str">
            <v>1400</v>
          </cell>
          <cell r="C634">
            <v>471000</v>
          </cell>
          <cell r="D634">
            <v>41426</v>
          </cell>
          <cell r="E634">
            <v>6002736</v>
          </cell>
          <cell r="F634">
            <v>3001368</v>
          </cell>
          <cell r="G634">
            <v>0</v>
          </cell>
          <cell r="H634">
            <v>500228</v>
          </cell>
          <cell r="I634">
            <v>0</v>
          </cell>
        </row>
        <row r="635">
          <cell r="A635" t="str">
            <v>1400|473000</v>
          </cell>
          <cell r="B635" t="str">
            <v>1400</v>
          </cell>
          <cell r="C635">
            <v>473000</v>
          </cell>
          <cell r="D635">
            <v>41426</v>
          </cell>
          <cell r="E635">
            <v>24348</v>
          </cell>
          <cell r="F635">
            <v>12174</v>
          </cell>
          <cell r="G635">
            <v>24000</v>
          </cell>
          <cell r="H635">
            <v>2029</v>
          </cell>
          <cell r="I635">
            <v>0</v>
          </cell>
        </row>
        <row r="636">
          <cell r="A636" t="str">
            <v>1400|473120</v>
          </cell>
          <cell r="B636" t="str">
            <v>1400</v>
          </cell>
          <cell r="C636">
            <v>473120</v>
          </cell>
          <cell r="D636">
            <v>41426</v>
          </cell>
          <cell r="E636">
            <v>12564644</v>
          </cell>
          <cell r="F636">
            <v>6282322</v>
          </cell>
          <cell r="G636">
            <v>11125400</v>
          </cell>
          <cell r="H636">
            <v>1047054</v>
          </cell>
          <cell r="I636">
            <v>1967203</v>
          </cell>
        </row>
        <row r="637">
          <cell r="A637" t="str">
            <v>1400|474100</v>
          </cell>
          <cell r="B637" t="str">
            <v>1400</v>
          </cell>
          <cell r="C637">
            <v>474100</v>
          </cell>
          <cell r="D637">
            <v>41426</v>
          </cell>
          <cell r="E637">
            <v>20174809</v>
          </cell>
          <cell r="F637">
            <v>10087405</v>
          </cell>
          <cell r="G637">
            <v>25832543</v>
          </cell>
          <cell r="H637">
            <v>1681235</v>
          </cell>
          <cell r="I637">
            <v>0</v>
          </cell>
        </row>
        <row r="638">
          <cell r="A638" t="str">
            <v>1400|475004</v>
          </cell>
          <cell r="B638" t="str">
            <v>1400</v>
          </cell>
          <cell r="C638">
            <v>475004</v>
          </cell>
          <cell r="D638">
            <v>41426</v>
          </cell>
          <cell r="E638">
            <v>43347299</v>
          </cell>
          <cell r="F638">
            <v>21673650</v>
          </cell>
          <cell r="G638">
            <v>18332343</v>
          </cell>
          <cell r="H638">
            <v>3612275</v>
          </cell>
          <cell r="I638">
            <v>0</v>
          </cell>
        </row>
        <row r="639">
          <cell r="A639" t="str">
            <v>1400|475006</v>
          </cell>
          <cell r="B639" t="str">
            <v>1400</v>
          </cell>
          <cell r="C639">
            <v>475006</v>
          </cell>
          <cell r="D639">
            <v>41426</v>
          </cell>
          <cell r="E639">
            <v>11057430</v>
          </cell>
          <cell r="F639">
            <v>5528715</v>
          </cell>
          <cell r="G639">
            <v>7553437</v>
          </cell>
          <cell r="H639">
            <v>921452</v>
          </cell>
          <cell r="I639">
            <v>1360406</v>
          </cell>
        </row>
        <row r="640">
          <cell r="A640" t="str">
            <v>1400|476000</v>
          </cell>
          <cell r="B640" t="str">
            <v>1400</v>
          </cell>
          <cell r="C640">
            <v>476000</v>
          </cell>
          <cell r="D640">
            <v>41426</v>
          </cell>
          <cell r="E640">
            <v>2753910</v>
          </cell>
          <cell r="F640">
            <v>1376955</v>
          </cell>
          <cell r="G640">
            <v>600000</v>
          </cell>
          <cell r="H640">
            <v>229492</v>
          </cell>
          <cell r="I640">
            <v>0</v>
          </cell>
        </row>
        <row r="641">
          <cell r="A641" t="str">
            <v>1400|476001</v>
          </cell>
          <cell r="B641" t="str">
            <v>1400</v>
          </cell>
          <cell r="C641">
            <v>476001</v>
          </cell>
          <cell r="D641">
            <v>41426</v>
          </cell>
          <cell r="E641">
            <v>672604</v>
          </cell>
          <cell r="F641">
            <v>336302</v>
          </cell>
          <cell r="G641">
            <v>258931</v>
          </cell>
          <cell r="H641">
            <v>56050</v>
          </cell>
          <cell r="I641">
            <v>0</v>
          </cell>
        </row>
        <row r="642">
          <cell r="A642" t="str">
            <v>1400|476220</v>
          </cell>
          <cell r="B642" t="str">
            <v>1400</v>
          </cell>
          <cell r="C642">
            <v>476220</v>
          </cell>
          <cell r="D642">
            <v>41426</v>
          </cell>
          <cell r="E642">
            <v>12023010</v>
          </cell>
          <cell r="F642">
            <v>6011505</v>
          </cell>
          <cell r="G642">
            <v>17426991</v>
          </cell>
          <cell r="H642">
            <v>1001917</v>
          </cell>
          <cell r="I642">
            <v>0</v>
          </cell>
        </row>
        <row r="643">
          <cell r="A643" t="str">
            <v>1500|211100</v>
          </cell>
          <cell r="B643" t="str">
            <v>1500</v>
          </cell>
          <cell r="C643">
            <v>211100</v>
          </cell>
          <cell r="D643">
            <v>41426</v>
          </cell>
          <cell r="E643">
            <v>185341089</v>
          </cell>
          <cell r="F643">
            <v>92670545</v>
          </cell>
          <cell r="G643">
            <v>98490372</v>
          </cell>
          <cell r="H643">
            <v>15445091</v>
          </cell>
          <cell r="I643">
            <v>16164610</v>
          </cell>
        </row>
        <row r="644">
          <cell r="A644" t="str">
            <v>1500|420002</v>
          </cell>
          <cell r="B644" t="str">
            <v>1500</v>
          </cell>
          <cell r="C644">
            <v>420002</v>
          </cell>
          <cell r="D644">
            <v>41426</v>
          </cell>
          <cell r="E644">
            <v>79764732</v>
          </cell>
          <cell r="F644">
            <v>39882366</v>
          </cell>
          <cell r="G644">
            <v>82878000</v>
          </cell>
          <cell r="H644">
            <v>6647061</v>
          </cell>
          <cell r="I644">
            <v>13813000</v>
          </cell>
        </row>
        <row r="645">
          <cell r="A645" t="str">
            <v>1500|420003</v>
          </cell>
          <cell r="B645" t="str">
            <v>1500</v>
          </cell>
          <cell r="C645">
            <v>420003</v>
          </cell>
          <cell r="D645">
            <v>41426</v>
          </cell>
          <cell r="E645">
            <v>146906699</v>
          </cell>
          <cell r="F645">
            <v>73453350</v>
          </cell>
          <cell r="G645">
            <v>70788128</v>
          </cell>
          <cell r="H645">
            <v>12242225</v>
          </cell>
          <cell r="I645">
            <v>11929878</v>
          </cell>
        </row>
        <row r="646">
          <cell r="A646" t="str">
            <v>1500|422002</v>
          </cell>
          <cell r="B646" t="str">
            <v>1500</v>
          </cell>
          <cell r="C646">
            <v>422002</v>
          </cell>
          <cell r="D646">
            <v>41426</v>
          </cell>
          <cell r="E646">
            <v>149580</v>
          </cell>
          <cell r="F646">
            <v>74790</v>
          </cell>
          <cell r="G646">
            <v>0</v>
          </cell>
          <cell r="H646">
            <v>12465</v>
          </cell>
          <cell r="I646">
            <v>0</v>
          </cell>
        </row>
        <row r="647">
          <cell r="A647" t="str">
            <v>1500|422003</v>
          </cell>
          <cell r="B647" t="str">
            <v>1500</v>
          </cell>
          <cell r="C647">
            <v>422003</v>
          </cell>
          <cell r="D647">
            <v>41426</v>
          </cell>
          <cell r="E647">
            <v>773280</v>
          </cell>
          <cell r="F647">
            <v>386640</v>
          </cell>
          <cell r="G647">
            <v>458550</v>
          </cell>
          <cell r="H647">
            <v>64440</v>
          </cell>
          <cell r="I647">
            <v>0</v>
          </cell>
        </row>
        <row r="648">
          <cell r="A648" t="str">
            <v>1500|431002</v>
          </cell>
          <cell r="B648" t="str">
            <v>1500</v>
          </cell>
          <cell r="C648">
            <v>431002</v>
          </cell>
          <cell r="D648">
            <v>41426</v>
          </cell>
          <cell r="E648">
            <v>1773906</v>
          </cell>
          <cell r="F648">
            <v>886953</v>
          </cell>
          <cell r="G648">
            <v>7177602</v>
          </cell>
          <cell r="H648">
            <v>147825</v>
          </cell>
          <cell r="I648">
            <v>7177602</v>
          </cell>
        </row>
        <row r="649">
          <cell r="A649" t="str">
            <v>1500|434012</v>
          </cell>
          <cell r="B649" t="str">
            <v>1500</v>
          </cell>
          <cell r="C649">
            <v>434012</v>
          </cell>
          <cell r="D649">
            <v>41426</v>
          </cell>
          <cell r="E649">
            <v>0</v>
          </cell>
          <cell r="F649">
            <v>0</v>
          </cell>
          <cell r="G649">
            <v>987200</v>
          </cell>
          <cell r="H649">
            <v>0</v>
          </cell>
          <cell r="I649">
            <v>166248</v>
          </cell>
        </row>
        <row r="650">
          <cell r="A650" t="str">
            <v>1500|434013</v>
          </cell>
          <cell r="B650" t="str">
            <v>1500</v>
          </cell>
          <cell r="C650">
            <v>434013</v>
          </cell>
          <cell r="D650">
            <v>41426</v>
          </cell>
          <cell r="E650">
            <v>16108191</v>
          </cell>
          <cell r="F650">
            <v>8054096</v>
          </cell>
          <cell r="G650">
            <v>3750402</v>
          </cell>
          <cell r="H650">
            <v>1342350</v>
          </cell>
          <cell r="I650">
            <v>600488</v>
          </cell>
        </row>
        <row r="651">
          <cell r="A651" t="str">
            <v>1500|435002</v>
          </cell>
          <cell r="B651" t="str">
            <v>1500</v>
          </cell>
          <cell r="C651">
            <v>435002</v>
          </cell>
          <cell r="D651">
            <v>41426</v>
          </cell>
          <cell r="E651">
            <v>13626475</v>
          </cell>
          <cell r="F651">
            <v>6813238</v>
          </cell>
          <cell r="G651">
            <v>15146500</v>
          </cell>
          <cell r="H651">
            <v>1135540</v>
          </cell>
          <cell r="I651">
            <v>0</v>
          </cell>
        </row>
        <row r="652">
          <cell r="A652" t="str">
            <v>1500|435003</v>
          </cell>
          <cell r="B652" t="str">
            <v>1500</v>
          </cell>
          <cell r="C652">
            <v>435003</v>
          </cell>
          <cell r="D652">
            <v>41426</v>
          </cell>
          <cell r="E652">
            <v>18363337</v>
          </cell>
          <cell r="F652">
            <v>9181669</v>
          </cell>
          <cell r="G652">
            <v>18704000</v>
          </cell>
          <cell r="H652">
            <v>1530279</v>
          </cell>
          <cell r="I652">
            <v>0</v>
          </cell>
        </row>
        <row r="653">
          <cell r="A653" t="str">
            <v>1500|439003</v>
          </cell>
          <cell r="B653" t="str">
            <v>1500</v>
          </cell>
          <cell r="C653">
            <v>439003</v>
          </cell>
          <cell r="D653">
            <v>41426</v>
          </cell>
          <cell r="E653">
            <v>39449879</v>
          </cell>
          <cell r="F653">
            <v>19724940</v>
          </cell>
          <cell r="G653">
            <v>20073108</v>
          </cell>
          <cell r="H653">
            <v>3287490</v>
          </cell>
          <cell r="I653">
            <v>3222605</v>
          </cell>
        </row>
        <row r="654">
          <cell r="A654" t="str">
            <v>1500|439008</v>
          </cell>
          <cell r="B654" t="str">
            <v>1500</v>
          </cell>
          <cell r="C654">
            <v>439008</v>
          </cell>
          <cell r="D654">
            <v>41426</v>
          </cell>
          <cell r="E654">
            <v>16422063</v>
          </cell>
          <cell r="F654">
            <v>8211032</v>
          </cell>
          <cell r="G654">
            <v>9508951</v>
          </cell>
          <cell r="H654">
            <v>1368506</v>
          </cell>
          <cell r="I654">
            <v>1598254</v>
          </cell>
        </row>
        <row r="655">
          <cell r="A655" t="str">
            <v>1500|440002</v>
          </cell>
          <cell r="B655" t="str">
            <v>1500</v>
          </cell>
          <cell r="C655">
            <v>440002</v>
          </cell>
          <cell r="D655">
            <v>41426</v>
          </cell>
          <cell r="E655">
            <v>6647061</v>
          </cell>
          <cell r="F655">
            <v>3323531</v>
          </cell>
          <cell r="G655">
            <v>3531249</v>
          </cell>
          <cell r="H655">
            <v>553922</v>
          </cell>
          <cell r="I655">
            <v>397619</v>
          </cell>
        </row>
        <row r="656">
          <cell r="A656" t="str">
            <v>1500|440003</v>
          </cell>
          <cell r="B656" t="str">
            <v>1500</v>
          </cell>
          <cell r="C656">
            <v>440003</v>
          </cell>
          <cell r="D656">
            <v>41426</v>
          </cell>
          <cell r="E656">
            <v>12242225</v>
          </cell>
          <cell r="F656">
            <v>6121113</v>
          </cell>
          <cell r="G656">
            <v>6894237</v>
          </cell>
          <cell r="H656">
            <v>1020186</v>
          </cell>
          <cell r="I656">
            <v>1417877</v>
          </cell>
        </row>
        <row r="657">
          <cell r="A657" t="str">
            <v>1500|446002</v>
          </cell>
          <cell r="B657" t="str">
            <v>1500</v>
          </cell>
          <cell r="C657">
            <v>446002</v>
          </cell>
          <cell r="D657">
            <v>41426</v>
          </cell>
          <cell r="E657">
            <v>3323530</v>
          </cell>
          <cell r="F657">
            <v>1661765</v>
          </cell>
          <cell r="G657">
            <v>900000</v>
          </cell>
          <cell r="H657">
            <v>276961</v>
          </cell>
          <cell r="I657">
            <v>150000</v>
          </cell>
        </row>
        <row r="658">
          <cell r="A658" t="str">
            <v>1500|447002</v>
          </cell>
          <cell r="B658" t="str">
            <v>1500</v>
          </cell>
          <cell r="C658">
            <v>447002</v>
          </cell>
          <cell r="D658">
            <v>41426</v>
          </cell>
          <cell r="E658">
            <v>1252306</v>
          </cell>
          <cell r="F658">
            <v>626153</v>
          </cell>
          <cell r="G658">
            <v>447540</v>
          </cell>
          <cell r="H658">
            <v>104359</v>
          </cell>
          <cell r="I658">
            <v>74590</v>
          </cell>
        </row>
        <row r="659">
          <cell r="A659" t="str">
            <v>1500|447003</v>
          </cell>
          <cell r="B659" t="str">
            <v>1500</v>
          </cell>
          <cell r="C659">
            <v>447003</v>
          </cell>
          <cell r="D659">
            <v>41426</v>
          </cell>
          <cell r="E659">
            <v>2306058</v>
          </cell>
          <cell r="F659">
            <v>1153029</v>
          </cell>
          <cell r="G659">
            <v>905640</v>
          </cell>
          <cell r="H659">
            <v>192171</v>
          </cell>
          <cell r="I659">
            <v>150940</v>
          </cell>
        </row>
        <row r="660">
          <cell r="A660" t="str">
            <v>1500|447012</v>
          </cell>
          <cell r="B660" t="str">
            <v>1500</v>
          </cell>
          <cell r="C660">
            <v>447012</v>
          </cell>
          <cell r="D660">
            <v>41426</v>
          </cell>
          <cell r="E660">
            <v>2951295</v>
          </cell>
          <cell r="F660">
            <v>1475648</v>
          </cell>
          <cell r="G660">
            <v>3066486</v>
          </cell>
          <cell r="H660">
            <v>245942</v>
          </cell>
          <cell r="I660">
            <v>511081</v>
          </cell>
        </row>
        <row r="661">
          <cell r="A661" t="str">
            <v>1500|447013</v>
          </cell>
          <cell r="B661" t="str">
            <v>1500</v>
          </cell>
          <cell r="C661">
            <v>447013</v>
          </cell>
          <cell r="D661">
            <v>41426</v>
          </cell>
          <cell r="E661">
            <v>5435548</v>
          </cell>
          <cell r="F661">
            <v>2717774</v>
          </cell>
          <cell r="G661">
            <v>2134308</v>
          </cell>
          <cell r="H661">
            <v>452962</v>
          </cell>
          <cell r="I661">
            <v>355718</v>
          </cell>
        </row>
        <row r="662">
          <cell r="A662" t="str">
            <v>1500|447022</v>
          </cell>
          <cell r="B662" t="str">
            <v>1500</v>
          </cell>
          <cell r="C662">
            <v>447022</v>
          </cell>
          <cell r="D662">
            <v>41426</v>
          </cell>
          <cell r="E662">
            <v>125231</v>
          </cell>
          <cell r="F662">
            <v>62616</v>
          </cell>
          <cell r="G662">
            <v>78938</v>
          </cell>
          <cell r="H662">
            <v>10436</v>
          </cell>
          <cell r="I662">
            <v>13125</v>
          </cell>
        </row>
        <row r="663">
          <cell r="A663" t="str">
            <v>1500|447023</v>
          </cell>
          <cell r="B663" t="str">
            <v>1500</v>
          </cell>
          <cell r="C663">
            <v>447023</v>
          </cell>
          <cell r="D663">
            <v>41426</v>
          </cell>
          <cell r="E663">
            <v>190842</v>
          </cell>
          <cell r="F663">
            <v>95421</v>
          </cell>
          <cell r="G663">
            <v>158450</v>
          </cell>
          <cell r="H663">
            <v>15903</v>
          </cell>
          <cell r="I663">
            <v>26625</v>
          </cell>
        </row>
        <row r="664">
          <cell r="A664" t="str">
            <v>1500|448002</v>
          </cell>
          <cell r="B664" t="str">
            <v>1500</v>
          </cell>
          <cell r="C664">
            <v>448002</v>
          </cell>
          <cell r="D664">
            <v>41426</v>
          </cell>
          <cell r="E664">
            <v>5967791</v>
          </cell>
          <cell r="F664">
            <v>2983896</v>
          </cell>
          <cell r="G664">
            <v>3476000</v>
          </cell>
          <cell r="H664">
            <v>497316</v>
          </cell>
          <cell r="I664">
            <v>2048000</v>
          </cell>
        </row>
        <row r="665">
          <cell r="A665" t="str">
            <v>1500|448003</v>
          </cell>
          <cell r="B665" t="str">
            <v>1500</v>
          </cell>
          <cell r="C665">
            <v>448003</v>
          </cell>
          <cell r="D665">
            <v>41426</v>
          </cell>
          <cell r="E665">
            <v>9322276</v>
          </cell>
          <cell r="F665">
            <v>4661138</v>
          </cell>
          <cell r="G665">
            <v>2597805</v>
          </cell>
          <cell r="H665">
            <v>776856</v>
          </cell>
          <cell r="I665">
            <v>0</v>
          </cell>
        </row>
        <row r="666">
          <cell r="A666" t="str">
            <v>1500|449022</v>
          </cell>
          <cell r="B666" t="str">
            <v>1500</v>
          </cell>
          <cell r="C666">
            <v>449022</v>
          </cell>
          <cell r="D666">
            <v>41426</v>
          </cell>
          <cell r="E666">
            <v>3960000</v>
          </cell>
          <cell r="F666">
            <v>1980000</v>
          </cell>
          <cell r="G666">
            <v>2074000</v>
          </cell>
          <cell r="H666">
            <v>330000</v>
          </cell>
          <cell r="I666">
            <v>323000</v>
          </cell>
        </row>
        <row r="667">
          <cell r="A667" t="str">
            <v>1500|449023</v>
          </cell>
          <cell r="B667" t="str">
            <v>1500</v>
          </cell>
          <cell r="C667">
            <v>449023</v>
          </cell>
          <cell r="D667">
            <v>41426</v>
          </cell>
          <cell r="E667">
            <v>3960000</v>
          </cell>
          <cell r="F667">
            <v>1980000</v>
          </cell>
          <cell r="G667">
            <v>2242000</v>
          </cell>
          <cell r="H667">
            <v>330000</v>
          </cell>
          <cell r="I667">
            <v>361000</v>
          </cell>
        </row>
        <row r="668">
          <cell r="A668" t="str">
            <v>1500|449032</v>
          </cell>
          <cell r="B668" t="str">
            <v>1500</v>
          </cell>
          <cell r="C668">
            <v>449032</v>
          </cell>
          <cell r="D668">
            <v>41426</v>
          </cell>
          <cell r="E668">
            <v>24</v>
          </cell>
          <cell r="F668">
            <v>12</v>
          </cell>
          <cell r="G668">
            <v>0</v>
          </cell>
          <cell r="H668">
            <v>2</v>
          </cell>
          <cell r="I668">
            <v>0</v>
          </cell>
        </row>
        <row r="669">
          <cell r="A669" t="str">
            <v>1500|449040</v>
          </cell>
          <cell r="B669" t="str">
            <v>1500</v>
          </cell>
          <cell r="C669">
            <v>449040</v>
          </cell>
          <cell r="D669">
            <v>41426</v>
          </cell>
          <cell r="E669">
            <v>12630898</v>
          </cell>
          <cell r="F669">
            <v>6315449</v>
          </cell>
          <cell r="G669">
            <v>2415000</v>
          </cell>
          <cell r="H669">
            <v>1052575</v>
          </cell>
          <cell r="I669">
            <v>0</v>
          </cell>
        </row>
        <row r="670">
          <cell r="A670" t="str">
            <v>1500|449061</v>
          </cell>
          <cell r="B670" t="str">
            <v>1500</v>
          </cell>
          <cell r="C670">
            <v>449061</v>
          </cell>
          <cell r="D670">
            <v>41426</v>
          </cell>
          <cell r="E670">
            <v>8933149</v>
          </cell>
          <cell r="F670">
            <v>4466575</v>
          </cell>
          <cell r="G670">
            <v>1160000</v>
          </cell>
          <cell r="H670">
            <v>744430</v>
          </cell>
          <cell r="I670">
            <v>256000</v>
          </cell>
        </row>
        <row r="671">
          <cell r="A671" t="str">
            <v>1500|451000</v>
          </cell>
          <cell r="B671" t="str">
            <v>1500</v>
          </cell>
          <cell r="C671">
            <v>451000</v>
          </cell>
          <cell r="D671">
            <v>41426</v>
          </cell>
          <cell r="E671">
            <v>2265013</v>
          </cell>
          <cell r="F671">
            <v>1132507</v>
          </cell>
          <cell r="G671">
            <v>710000</v>
          </cell>
          <cell r="H671">
            <v>188752</v>
          </cell>
          <cell r="I671">
            <v>710000</v>
          </cell>
        </row>
        <row r="672">
          <cell r="A672" t="str">
            <v>1500|459000</v>
          </cell>
          <cell r="B672" t="str">
            <v>1500</v>
          </cell>
          <cell r="C672">
            <v>459000</v>
          </cell>
          <cell r="D672">
            <v>41426</v>
          </cell>
          <cell r="E672">
            <v>7980406</v>
          </cell>
          <cell r="F672">
            <v>3990203</v>
          </cell>
          <cell r="G672">
            <v>7435000</v>
          </cell>
          <cell r="H672">
            <v>665034</v>
          </cell>
          <cell r="I672">
            <v>3585000</v>
          </cell>
        </row>
        <row r="673">
          <cell r="A673" t="str">
            <v>1500|459004</v>
          </cell>
          <cell r="B673" t="str">
            <v>1500</v>
          </cell>
          <cell r="C673">
            <v>459004</v>
          </cell>
          <cell r="D673">
            <v>41426</v>
          </cell>
          <cell r="E673">
            <v>51496472</v>
          </cell>
          <cell r="F673">
            <v>25748236</v>
          </cell>
          <cell r="G673">
            <v>323949894</v>
          </cell>
          <cell r="H673">
            <v>4291373</v>
          </cell>
          <cell r="I673">
            <v>54077232</v>
          </cell>
        </row>
        <row r="674">
          <cell r="A674" t="str">
            <v>1500|459005</v>
          </cell>
          <cell r="B674" t="str">
            <v>1500</v>
          </cell>
          <cell r="C674">
            <v>459005</v>
          </cell>
          <cell r="D674">
            <v>41426</v>
          </cell>
          <cell r="E674">
            <v>56701366</v>
          </cell>
          <cell r="F674">
            <v>28350683</v>
          </cell>
          <cell r="G674">
            <v>52257253</v>
          </cell>
          <cell r="H674">
            <v>4725114</v>
          </cell>
          <cell r="I674">
            <v>5637300</v>
          </cell>
        </row>
        <row r="675">
          <cell r="A675" t="str">
            <v>1500|470102</v>
          </cell>
          <cell r="B675" t="str">
            <v>1500</v>
          </cell>
          <cell r="C675">
            <v>470102</v>
          </cell>
          <cell r="D675">
            <v>41426</v>
          </cell>
          <cell r="E675">
            <v>3452111</v>
          </cell>
          <cell r="F675">
            <v>1726056</v>
          </cell>
          <cell r="G675">
            <v>2438285</v>
          </cell>
          <cell r="H675">
            <v>287676</v>
          </cell>
          <cell r="I675">
            <v>382500</v>
          </cell>
        </row>
        <row r="676">
          <cell r="A676" t="str">
            <v>1500|471000</v>
          </cell>
          <cell r="B676" t="str">
            <v>1500</v>
          </cell>
          <cell r="C676">
            <v>471000</v>
          </cell>
          <cell r="D676">
            <v>41426</v>
          </cell>
          <cell r="E676">
            <v>3728387</v>
          </cell>
          <cell r="F676">
            <v>1864194</v>
          </cell>
          <cell r="G676">
            <v>0</v>
          </cell>
          <cell r="H676">
            <v>310699</v>
          </cell>
          <cell r="I676">
            <v>0</v>
          </cell>
        </row>
        <row r="677">
          <cell r="A677" t="str">
            <v>1500|473000</v>
          </cell>
          <cell r="B677" t="str">
            <v>1500</v>
          </cell>
          <cell r="C677">
            <v>473000</v>
          </cell>
          <cell r="D677">
            <v>41426</v>
          </cell>
          <cell r="E677">
            <v>1562101</v>
          </cell>
          <cell r="F677">
            <v>781051</v>
          </cell>
          <cell r="G677">
            <v>0</v>
          </cell>
          <cell r="H677">
            <v>130176</v>
          </cell>
          <cell r="I677">
            <v>0</v>
          </cell>
        </row>
        <row r="678">
          <cell r="A678" t="str">
            <v>1500|473120</v>
          </cell>
          <cell r="B678" t="str">
            <v>1500</v>
          </cell>
          <cell r="C678">
            <v>473120</v>
          </cell>
          <cell r="D678">
            <v>41426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162038063</v>
          </cell>
        </row>
        <row r="679">
          <cell r="A679" t="str">
            <v>1500|474100</v>
          </cell>
          <cell r="B679" t="str">
            <v>1500</v>
          </cell>
          <cell r="C679">
            <v>474100</v>
          </cell>
          <cell r="D679">
            <v>41426</v>
          </cell>
          <cell r="E679">
            <v>47</v>
          </cell>
          <cell r="F679">
            <v>24</v>
          </cell>
          <cell r="G679">
            <v>0</v>
          </cell>
          <cell r="H679">
            <v>4</v>
          </cell>
          <cell r="I679">
            <v>0</v>
          </cell>
        </row>
        <row r="680">
          <cell r="A680" t="str">
            <v>1500|475006</v>
          </cell>
          <cell r="B680" t="str">
            <v>1500</v>
          </cell>
          <cell r="C680">
            <v>475006</v>
          </cell>
          <cell r="D680">
            <v>41426</v>
          </cell>
          <cell r="E680">
            <v>0</v>
          </cell>
          <cell r="F680">
            <v>0</v>
          </cell>
          <cell r="G680">
            <v>5094373</v>
          </cell>
          <cell r="H680">
            <v>0</v>
          </cell>
          <cell r="I680">
            <v>950562</v>
          </cell>
        </row>
        <row r="681">
          <cell r="A681" t="str">
            <v>1500|476000</v>
          </cell>
          <cell r="B681" t="str">
            <v>1500</v>
          </cell>
          <cell r="C681">
            <v>476000</v>
          </cell>
          <cell r="D681">
            <v>41426</v>
          </cell>
          <cell r="E681">
            <v>5231564</v>
          </cell>
          <cell r="F681">
            <v>2615782</v>
          </cell>
          <cell r="G681">
            <v>13128122</v>
          </cell>
          <cell r="H681">
            <v>435964</v>
          </cell>
          <cell r="I681">
            <v>1012150</v>
          </cell>
        </row>
        <row r="682">
          <cell r="A682" t="str">
            <v>1500|476001</v>
          </cell>
          <cell r="B682" t="str">
            <v>1500</v>
          </cell>
          <cell r="C682">
            <v>476001</v>
          </cell>
          <cell r="D682">
            <v>41426</v>
          </cell>
          <cell r="E682">
            <v>1849347</v>
          </cell>
          <cell r="F682">
            <v>924674</v>
          </cell>
          <cell r="G682">
            <v>50905</v>
          </cell>
          <cell r="H682">
            <v>154113</v>
          </cell>
          <cell r="I682">
            <v>0</v>
          </cell>
        </row>
        <row r="683">
          <cell r="A683" t="str">
            <v>1500|476220</v>
          </cell>
          <cell r="B683" t="str">
            <v>1500</v>
          </cell>
          <cell r="C683">
            <v>476220</v>
          </cell>
          <cell r="D683">
            <v>41426</v>
          </cell>
          <cell r="E683">
            <v>23603953</v>
          </cell>
          <cell r="F683">
            <v>11801977</v>
          </cell>
          <cell r="G683">
            <v>19785536</v>
          </cell>
          <cell r="H683">
            <v>1966997</v>
          </cell>
          <cell r="I683">
            <v>7969076</v>
          </cell>
        </row>
        <row r="684">
          <cell r="A684" t="str">
            <v>1510|211100</v>
          </cell>
          <cell r="B684" t="str">
            <v>1510</v>
          </cell>
          <cell r="C684">
            <v>211100</v>
          </cell>
          <cell r="D684">
            <v>41426</v>
          </cell>
          <cell r="E684">
            <v>6471410</v>
          </cell>
          <cell r="F684">
            <v>3235705</v>
          </cell>
          <cell r="G684">
            <v>3502075</v>
          </cell>
          <cell r="H684">
            <v>539284</v>
          </cell>
          <cell r="I684">
            <v>583685</v>
          </cell>
        </row>
        <row r="685">
          <cell r="A685" t="str">
            <v>1510|420002</v>
          </cell>
          <cell r="B685" t="str">
            <v>1510</v>
          </cell>
          <cell r="C685">
            <v>420002</v>
          </cell>
          <cell r="D685">
            <v>41426</v>
          </cell>
          <cell r="E685">
            <v>717882586</v>
          </cell>
          <cell r="F685">
            <v>358941293</v>
          </cell>
          <cell r="G685">
            <v>430413630</v>
          </cell>
          <cell r="H685">
            <v>59823549</v>
          </cell>
          <cell r="I685">
            <v>61817315</v>
          </cell>
        </row>
        <row r="686">
          <cell r="A686" t="str">
            <v>1510|420003</v>
          </cell>
          <cell r="B686" t="str">
            <v>1510</v>
          </cell>
          <cell r="C686">
            <v>420003</v>
          </cell>
          <cell r="D686">
            <v>41426</v>
          </cell>
          <cell r="E686">
            <v>969660529</v>
          </cell>
          <cell r="F686">
            <v>484830265</v>
          </cell>
          <cell r="G686">
            <v>470617791</v>
          </cell>
          <cell r="H686">
            <v>80805045</v>
          </cell>
          <cell r="I686">
            <v>79312913</v>
          </cell>
        </row>
        <row r="687">
          <cell r="A687" t="str">
            <v>1510|422002</v>
          </cell>
          <cell r="B687" t="str">
            <v>1510</v>
          </cell>
          <cell r="C687">
            <v>422002</v>
          </cell>
          <cell r="D687">
            <v>41426</v>
          </cell>
          <cell r="E687">
            <v>1913220</v>
          </cell>
          <cell r="F687">
            <v>956610</v>
          </cell>
          <cell r="G687">
            <v>910800</v>
          </cell>
          <cell r="H687">
            <v>159435</v>
          </cell>
          <cell r="I687">
            <v>0</v>
          </cell>
        </row>
        <row r="688">
          <cell r="A688" t="str">
            <v>1510|422003</v>
          </cell>
          <cell r="B688" t="str">
            <v>1510</v>
          </cell>
          <cell r="C688">
            <v>422003</v>
          </cell>
          <cell r="D688">
            <v>41426</v>
          </cell>
          <cell r="E688">
            <v>477360</v>
          </cell>
          <cell r="F688">
            <v>238680</v>
          </cell>
          <cell r="G688">
            <v>1178726</v>
          </cell>
          <cell r="H688">
            <v>39780</v>
          </cell>
          <cell r="I688">
            <v>0</v>
          </cell>
        </row>
        <row r="689">
          <cell r="A689" t="str">
            <v>1510|431002</v>
          </cell>
          <cell r="B689" t="str">
            <v>1510</v>
          </cell>
          <cell r="C689">
            <v>431002</v>
          </cell>
          <cell r="D689">
            <v>41426</v>
          </cell>
          <cell r="E689">
            <v>65877647</v>
          </cell>
          <cell r="F689">
            <v>32938824</v>
          </cell>
          <cell r="G689">
            <v>47573324</v>
          </cell>
          <cell r="H689">
            <v>5489804</v>
          </cell>
          <cell r="I689">
            <v>11068746</v>
          </cell>
        </row>
        <row r="690">
          <cell r="A690" t="str">
            <v>1510|434012</v>
          </cell>
          <cell r="B690" t="str">
            <v>1510</v>
          </cell>
          <cell r="C690">
            <v>434012</v>
          </cell>
          <cell r="D690">
            <v>41426</v>
          </cell>
          <cell r="E690">
            <v>26238399</v>
          </cell>
          <cell r="F690">
            <v>13119200</v>
          </cell>
          <cell r="G690">
            <v>8225334</v>
          </cell>
          <cell r="H690">
            <v>2186534</v>
          </cell>
          <cell r="I690">
            <v>1329985</v>
          </cell>
        </row>
        <row r="691">
          <cell r="A691" t="str">
            <v>1510|434013</v>
          </cell>
          <cell r="B691" t="str">
            <v>1510</v>
          </cell>
          <cell r="C691">
            <v>434013</v>
          </cell>
          <cell r="D691">
            <v>41426</v>
          </cell>
          <cell r="E691">
            <v>0</v>
          </cell>
          <cell r="F691">
            <v>0</v>
          </cell>
          <cell r="G691">
            <v>15001608</v>
          </cell>
          <cell r="H691">
            <v>0</v>
          </cell>
          <cell r="I691">
            <v>2401952</v>
          </cell>
        </row>
        <row r="692">
          <cell r="A692" t="str">
            <v>1510|435002</v>
          </cell>
          <cell r="B692" t="str">
            <v>1510</v>
          </cell>
          <cell r="C692">
            <v>435002</v>
          </cell>
          <cell r="D692">
            <v>41426</v>
          </cell>
          <cell r="E692">
            <v>122638275</v>
          </cell>
          <cell r="F692">
            <v>61319138</v>
          </cell>
          <cell r="G692">
            <v>66161000</v>
          </cell>
          <cell r="H692">
            <v>10219857</v>
          </cell>
          <cell r="I692">
            <v>0</v>
          </cell>
        </row>
        <row r="693">
          <cell r="A693" t="str">
            <v>1510|435003</v>
          </cell>
          <cell r="B693" t="str">
            <v>1510</v>
          </cell>
          <cell r="C693">
            <v>435003</v>
          </cell>
          <cell r="D693">
            <v>41426</v>
          </cell>
          <cell r="E693">
            <v>121207566</v>
          </cell>
          <cell r="F693">
            <v>60603783</v>
          </cell>
          <cell r="G693">
            <v>142744500</v>
          </cell>
          <cell r="H693">
            <v>10100630</v>
          </cell>
          <cell r="I693">
            <v>0</v>
          </cell>
        </row>
        <row r="694">
          <cell r="A694" t="str">
            <v>1510|439003</v>
          </cell>
          <cell r="B694" t="str">
            <v>1510</v>
          </cell>
          <cell r="C694">
            <v>439003</v>
          </cell>
          <cell r="D694">
            <v>41426</v>
          </cell>
          <cell r="E694">
            <v>157799517</v>
          </cell>
          <cell r="F694">
            <v>78899759</v>
          </cell>
          <cell r="G694">
            <v>80292432</v>
          </cell>
          <cell r="H694">
            <v>13149960</v>
          </cell>
          <cell r="I694">
            <v>12890421</v>
          </cell>
        </row>
        <row r="695">
          <cell r="A695" t="str">
            <v>1510|439008</v>
          </cell>
          <cell r="B695" t="str">
            <v>1510</v>
          </cell>
          <cell r="C695">
            <v>439008</v>
          </cell>
          <cell r="D695">
            <v>41426</v>
          </cell>
          <cell r="E695">
            <v>147798563</v>
          </cell>
          <cell r="F695">
            <v>73899282</v>
          </cell>
          <cell r="G695">
            <v>79222287</v>
          </cell>
          <cell r="H695">
            <v>12316547</v>
          </cell>
          <cell r="I695">
            <v>12786034</v>
          </cell>
        </row>
        <row r="696">
          <cell r="A696" t="str">
            <v>1510|439202</v>
          </cell>
          <cell r="B696" t="str">
            <v>1510</v>
          </cell>
          <cell r="C696">
            <v>439202</v>
          </cell>
          <cell r="D696">
            <v>41426</v>
          </cell>
          <cell r="E696">
            <v>17280000</v>
          </cell>
          <cell r="F696">
            <v>8640000</v>
          </cell>
          <cell r="G696">
            <v>10125000</v>
          </cell>
          <cell r="H696">
            <v>1440000</v>
          </cell>
          <cell r="I696">
            <v>1800000</v>
          </cell>
        </row>
        <row r="697">
          <cell r="A697" t="str">
            <v>1510|439203</v>
          </cell>
          <cell r="B697" t="str">
            <v>1510</v>
          </cell>
          <cell r="C697">
            <v>439203</v>
          </cell>
          <cell r="D697">
            <v>41426</v>
          </cell>
          <cell r="E697">
            <v>5760000</v>
          </cell>
          <cell r="F697">
            <v>2880000</v>
          </cell>
          <cell r="G697">
            <v>3500000</v>
          </cell>
          <cell r="H697">
            <v>480000</v>
          </cell>
          <cell r="I697">
            <v>425000</v>
          </cell>
        </row>
        <row r="698">
          <cell r="A698" t="str">
            <v>1510|440002</v>
          </cell>
          <cell r="B698" t="str">
            <v>1510</v>
          </cell>
          <cell r="C698">
            <v>440002</v>
          </cell>
          <cell r="D698">
            <v>41426</v>
          </cell>
          <cell r="E698">
            <v>59823549</v>
          </cell>
          <cell r="F698">
            <v>29911775</v>
          </cell>
          <cell r="G698">
            <v>29202221</v>
          </cell>
          <cell r="H698">
            <v>4985296</v>
          </cell>
          <cell r="I698">
            <v>3180951</v>
          </cell>
        </row>
        <row r="699">
          <cell r="A699" t="str">
            <v>1510|440003</v>
          </cell>
          <cell r="B699" t="str">
            <v>1510</v>
          </cell>
          <cell r="C699">
            <v>440003</v>
          </cell>
          <cell r="D699">
            <v>41426</v>
          </cell>
          <cell r="E699">
            <v>80805044</v>
          </cell>
          <cell r="F699">
            <v>40402522</v>
          </cell>
          <cell r="G699">
            <v>45834673</v>
          </cell>
          <cell r="H699">
            <v>6733754</v>
          </cell>
          <cell r="I699">
            <v>9426414</v>
          </cell>
        </row>
        <row r="700">
          <cell r="A700" t="str">
            <v>1510|446002</v>
          </cell>
          <cell r="B700" t="str">
            <v>1510</v>
          </cell>
          <cell r="C700">
            <v>446002</v>
          </cell>
          <cell r="D700">
            <v>41426</v>
          </cell>
          <cell r="E700">
            <v>51101774</v>
          </cell>
          <cell r="F700">
            <v>25550887</v>
          </cell>
          <cell r="G700">
            <v>3750000</v>
          </cell>
          <cell r="H700">
            <v>4258481</v>
          </cell>
          <cell r="I700">
            <v>500000</v>
          </cell>
        </row>
        <row r="701">
          <cell r="A701" t="str">
            <v>1510|447002</v>
          </cell>
          <cell r="B701" t="str">
            <v>1510</v>
          </cell>
          <cell r="C701">
            <v>447002</v>
          </cell>
          <cell r="D701">
            <v>41426</v>
          </cell>
          <cell r="E701">
            <v>11270757</v>
          </cell>
          <cell r="F701">
            <v>5635379</v>
          </cell>
          <cell r="G701">
            <v>3346022</v>
          </cell>
          <cell r="H701">
            <v>939230</v>
          </cell>
          <cell r="I701">
            <v>505322</v>
          </cell>
        </row>
        <row r="702">
          <cell r="A702" t="str">
            <v>1510|447003</v>
          </cell>
          <cell r="B702" t="str">
            <v>1510</v>
          </cell>
          <cell r="C702">
            <v>447003</v>
          </cell>
          <cell r="D702">
            <v>41426</v>
          </cell>
          <cell r="E702">
            <v>15223828</v>
          </cell>
          <cell r="F702">
            <v>7611914</v>
          </cell>
          <cell r="G702">
            <v>2715648</v>
          </cell>
          <cell r="H702">
            <v>1268652</v>
          </cell>
          <cell r="I702">
            <v>452608</v>
          </cell>
        </row>
        <row r="703">
          <cell r="A703" t="str">
            <v>1510|447012</v>
          </cell>
          <cell r="B703" t="str">
            <v>1510</v>
          </cell>
          <cell r="C703">
            <v>447012</v>
          </cell>
          <cell r="D703">
            <v>41426</v>
          </cell>
          <cell r="E703">
            <v>26561656</v>
          </cell>
          <cell r="F703">
            <v>13280828</v>
          </cell>
          <cell r="G703">
            <v>15950185</v>
          </cell>
          <cell r="H703">
            <v>2213471</v>
          </cell>
          <cell r="I703">
            <v>2299680</v>
          </cell>
        </row>
        <row r="704">
          <cell r="A704" t="str">
            <v>1510|447013</v>
          </cell>
          <cell r="B704" t="str">
            <v>1510</v>
          </cell>
          <cell r="C704">
            <v>447013</v>
          </cell>
          <cell r="D704">
            <v>41426</v>
          </cell>
          <cell r="E704">
            <v>35877440</v>
          </cell>
          <cell r="F704">
            <v>17938720</v>
          </cell>
          <cell r="G704">
            <v>14536230</v>
          </cell>
          <cell r="H704">
            <v>2989787</v>
          </cell>
          <cell r="I704">
            <v>2422705</v>
          </cell>
        </row>
        <row r="705">
          <cell r="A705" t="str">
            <v>1510|447022</v>
          </cell>
          <cell r="B705" t="str">
            <v>1510</v>
          </cell>
          <cell r="C705">
            <v>447022</v>
          </cell>
          <cell r="D705">
            <v>41426</v>
          </cell>
          <cell r="E705">
            <v>1127076</v>
          </cell>
          <cell r="F705">
            <v>563538</v>
          </cell>
          <cell r="G705">
            <v>534941</v>
          </cell>
          <cell r="H705">
            <v>93923</v>
          </cell>
          <cell r="I705">
            <v>83316</v>
          </cell>
        </row>
        <row r="706">
          <cell r="A706" t="str">
            <v>1510|447023</v>
          </cell>
          <cell r="B706" t="str">
            <v>1510</v>
          </cell>
          <cell r="C706">
            <v>447023</v>
          </cell>
          <cell r="D706">
            <v>41426</v>
          </cell>
          <cell r="E706">
            <v>1259875</v>
          </cell>
          <cell r="F706">
            <v>629938</v>
          </cell>
          <cell r="G706">
            <v>623166</v>
          </cell>
          <cell r="H706">
            <v>104990</v>
          </cell>
          <cell r="I706">
            <v>104150</v>
          </cell>
        </row>
        <row r="707">
          <cell r="A707" t="str">
            <v>1510|448002</v>
          </cell>
          <cell r="B707" t="str">
            <v>1510</v>
          </cell>
          <cell r="C707">
            <v>448002</v>
          </cell>
          <cell r="D707">
            <v>41426</v>
          </cell>
          <cell r="E707">
            <v>53710118</v>
          </cell>
          <cell r="F707">
            <v>26855059</v>
          </cell>
          <cell r="G707">
            <v>130485628</v>
          </cell>
          <cell r="H707">
            <v>4475843</v>
          </cell>
          <cell r="I707">
            <v>93525315</v>
          </cell>
        </row>
        <row r="708">
          <cell r="A708" t="str">
            <v>1510|448003</v>
          </cell>
          <cell r="B708" t="str">
            <v>1510</v>
          </cell>
          <cell r="C708">
            <v>448003</v>
          </cell>
          <cell r="D708">
            <v>41426</v>
          </cell>
          <cell r="E708">
            <v>54914354</v>
          </cell>
          <cell r="F708">
            <v>27457177</v>
          </cell>
          <cell r="G708">
            <v>8436371</v>
          </cell>
          <cell r="H708">
            <v>4576196</v>
          </cell>
          <cell r="I708">
            <v>1930000</v>
          </cell>
        </row>
        <row r="709">
          <cell r="A709" t="str">
            <v>1510|449022</v>
          </cell>
          <cell r="B709" t="str">
            <v>1510</v>
          </cell>
          <cell r="C709">
            <v>449022</v>
          </cell>
          <cell r="D709">
            <v>41426</v>
          </cell>
          <cell r="E709">
            <v>35640000</v>
          </cell>
          <cell r="F709">
            <v>17820000</v>
          </cell>
          <cell r="G709">
            <v>16592000</v>
          </cell>
          <cell r="H709">
            <v>2970000</v>
          </cell>
          <cell r="I709">
            <v>2584000</v>
          </cell>
        </row>
        <row r="710">
          <cell r="A710" t="str">
            <v>1510|449023</v>
          </cell>
          <cell r="B710" t="str">
            <v>1510</v>
          </cell>
          <cell r="C710">
            <v>449023</v>
          </cell>
          <cell r="D710">
            <v>41426</v>
          </cell>
          <cell r="E710">
            <v>37356000</v>
          </cell>
          <cell r="F710">
            <v>18678000</v>
          </cell>
          <cell r="G710">
            <v>23412000</v>
          </cell>
          <cell r="H710">
            <v>3113000</v>
          </cell>
          <cell r="I710">
            <v>3812000</v>
          </cell>
        </row>
        <row r="711">
          <cell r="A711" t="str">
            <v>1510|449032</v>
          </cell>
          <cell r="B711" t="str">
            <v>1510</v>
          </cell>
          <cell r="C711">
            <v>449032</v>
          </cell>
          <cell r="D711">
            <v>41426</v>
          </cell>
          <cell r="E711">
            <v>64158489</v>
          </cell>
          <cell r="F711">
            <v>32079245</v>
          </cell>
          <cell r="G711">
            <v>3836003</v>
          </cell>
          <cell r="H711">
            <v>5346541</v>
          </cell>
          <cell r="I711">
            <v>0</v>
          </cell>
        </row>
        <row r="712">
          <cell r="A712" t="str">
            <v>1510|449040</v>
          </cell>
          <cell r="B712" t="str">
            <v>1510</v>
          </cell>
          <cell r="C712">
            <v>449040</v>
          </cell>
          <cell r="D712">
            <v>41426</v>
          </cell>
          <cell r="E712">
            <v>12490347</v>
          </cell>
          <cell r="F712">
            <v>6245174</v>
          </cell>
          <cell r="G712">
            <v>5065600</v>
          </cell>
          <cell r="H712">
            <v>1040863</v>
          </cell>
          <cell r="I712">
            <v>3105000</v>
          </cell>
        </row>
        <row r="713">
          <cell r="A713" t="str">
            <v>1510|449050</v>
          </cell>
          <cell r="B713" t="str">
            <v>1510</v>
          </cell>
          <cell r="C713">
            <v>449050</v>
          </cell>
          <cell r="D713">
            <v>41426</v>
          </cell>
          <cell r="E713">
            <v>17029320</v>
          </cell>
          <cell r="F713">
            <v>8514660</v>
          </cell>
          <cell r="G713">
            <v>14799982</v>
          </cell>
          <cell r="H713">
            <v>1419110</v>
          </cell>
          <cell r="I713">
            <v>2466667</v>
          </cell>
        </row>
        <row r="714">
          <cell r="A714" t="str">
            <v>1510|449061</v>
          </cell>
          <cell r="B714" t="str">
            <v>1510</v>
          </cell>
          <cell r="C714">
            <v>449061</v>
          </cell>
          <cell r="D714">
            <v>41426</v>
          </cell>
          <cell r="E714">
            <v>60530800</v>
          </cell>
          <cell r="F714">
            <v>30265400</v>
          </cell>
          <cell r="G714">
            <v>23841100</v>
          </cell>
          <cell r="H714">
            <v>5044234</v>
          </cell>
          <cell r="I714">
            <v>8334000</v>
          </cell>
        </row>
        <row r="715">
          <cell r="A715" t="str">
            <v>1510|459000</v>
          </cell>
          <cell r="B715" t="str">
            <v>1510</v>
          </cell>
          <cell r="C715">
            <v>459000</v>
          </cell>
          <cell r="D715">
            <v>41426</v>
          </cell>
          <cell r="E715">
            <v>1373600</v>
          </cell>
          <cell r="F715">
            <v>686801</v>
          </cell>
          <cell r="G715">
            <v>1300000</v>
          </cell>
          <cell r="H715">
            <v>114467</v>
          </cell>
          <cell r="I715">
            <v>1300000</v>
          </cell>
        </row>
        <row r="716">
          <cell r="A716" t="str">
            <v>1510|459002</v>
          </cell>
          <cell r="B716" t="str">
            <v>1510</v>
          </cell>
          <cell r="C716">
            <v>459002</v>
          </cell>
          <cell r="D716">
            <v>41426</v>
          </cell>
          <cell r="E716">
            <v>835648800</v>
          </cell>
          <cell r="F716">
            <v>417824400</v>
          </cell>
          <cell r="G716">
            <v>205511971</v>
          </cell>
          <cell r="H716">
            <v>69637400</v>
          </cell>
          <cell r="I716">
            <v>29765909</v>
          </cell>
        </row>
        <row r="717">
          <cell r="A717" t="str">
            <v>1510|459003</v>
          </cell>
          <cell r="B717" t="str">
            <v>1510</v>
          </cell>
          <cell r="C717">
            <v>459003</v>
          </cell>
          <cell r="D717">
            <v>41426</v>
          </cell>
          <cell r="E717">
            <v>658852688</v>
          </cell>
          <cell r="F717">
            <v>329426344</v>
          </cell>
          <cell r="G717">
            <v>148809330</v>
          </cell>
          <cell r="H717">
            <v>54904391</v>
          </cell>
          <cell r="I717">
            <v>25702294</v>
          </cell>
        </row>
        <row r="718">
          <cell r="A718" t="str">
            <v>1510|459004</v>
          </cell>
          <cell r="B718" t="str">
            <v>1510</v>
          </cell>
          <cell r="C718">
            <v>459004</v>
          </cell>
          <cell r="D718">
            <v>41426</v>
          </cell>
          <cell r="E718">
            <v>1697833553</v>
          </cell>
          <cell r="F718">
            <v>848916777</v>
          </cell>
          <cell r="G718">
            <v>1093786230</v>
          </cell>
          <cell r="H718">
            <v>141486130</v>
          </cell>
          <cell r="I718">
            <v>143227243</v>
          </cell>
        </row>
        <row r="719">
          <cell r="A719" t="str">
            <v>1510|459005</v>
          </cell>
          <cell r="B719" t="str">
            <v>1510</v>
          </cell>
          <cell r="C719">
            <v>459005</v>
          </cell>
          <cell r="D719">
            <v>41426</v>
          </cell>
          <cell r="E719">
            <v>911641</v>
          </cell>
          <cell r="F719">
            <v>455821</v>
          </cell>
          <cell r="G719">
            <v>95760</v>
          </cell>
          <cell r="H719">
            <v>75971</v>
          </cell>
          <cell r="I719">
            <v>0</v>
          </cell>
        </row>
        <row r="720">
          <cell r="A720" t="str">
            <v>1510|459006</v>
          </cell>
          <cell r="B720" t="str">
            <v>1510</v>
          </cell>
          <cell r="C720">
            <v>459006</v>
          </cell>
          <cell r="D720">
            <v>41426</v>
          </cell>
          <cell r="E720">
            <v>211866125</v>
          </cell>
          <cell r="F720">
            <v>105933063</v>
          </cell>
          <cell r="G720">
            <v>-24823163</v>
          </cell>
          <cell r="H720">
            <v>17655511</v>
          </cell>
          <cell r="I720">
            <v>0</v>
          </cell>
        </row>
        <row r="721">
          <cell r="A721" t="str">
            <v>1510|470102</v>
          </cell>
          <cell r="B721" t="str">
            <v>1510</v>
          </cell>
          <cell r="C721">
            <v>470102</v>
          </cell>
          <cell r="D721">
            <v>41426</v>
          </cell>
          <cell r="E721">
            <v>264424</v>
          </cell>
          <cell r="F721">
            <v>132212</v>
          </cell>
          <cell r="G721">
            <v>167304</v>
          </cell>
          <cell r="H721">
            <v>22035</v>
          </cell>
          <cell r="I721">
            <v>0</v>
          </cell>
        </row>
        <row r="722">
          <cell r="A722" t="str">
            <v>1510|473000</v>
          </cell>
          <cell r="B722" t="str">
            <v>1510</v>
          </cell>
          <cell r="C722">
            <v>473000</v>
          </cell>
          <cell r="D722">
            <v>41426</v>
          </cell>
          <cell r="E722">
            <v>128108</v>
          </cell>
          <cell r="F722">
            <v>64054</v>
          </cell>
          <cell r="G722">
            <v>126280</v>
          </cell>
          <cell r="H722">
            <v>10676</v>
          </cell>
          <cell r="I722">
            <v>6000</v>
          </cell>
        </row>
        <row r="723">
          <cell r="A723" t="str">
            <v>1510|473120</v>
          </cell>
          <cell r="B723" t="str">
            <v>1510</v>
          </cell>
          <cell r="C723">
            <v>473120</v>
          </cell>
          <cell r="D723">
            <v>41426</v>
          </cell>
          <cell r="E723">
            <v>23078177</v>
          </cell>
          <cell r="F723">
            <v>11539089</v>
          </cell>
          <cell r="G723">
            <v>25411102</v>
          </cell>
          <cell r="H723">
            <v>1923182</v>
          </cell>
          <cell r="I723">
            <v>6557162</v>
          </cell>
        </row>
        <row r="724">
          <cell r="A724" t="str">
            <v>1510|474100</v>
          </cell>
          <cell r="B724" t="str">
            <v>1510</v>
          </cell>
          <cell r="C724">
            <v>474100</v>
          </cell>
          <cell r="D724">
            <v>41426</v>
          </cell>
          <cell r="E724">
            <v>102791100</v>
          </cell>
          <cell r="F724">
            <v>51395551</v>
          </cell>
          <cell r="G724">
            <v>44168301</v>
          </cell>
          <cell r="H724">
            <v>8565926</v>
          </cell>
          <cell r="I724">
            <v>4448684</v>
          </cell>
        </row>
        <row r="725">
          <cell r="A725" t="str">
            <v>1510|474101</v>
          </cell>
          <cell r="B725" t="str">
            <v>1510</v>
          </cell>
          <cell r="C725">
            <v>474101</v>
          </cell>
          <cell r="D725">
            <v>41426</v>
          </cell>
          <cell r="E725">
            <v>2512416</v>
          </cell>
          <cell r="F725">
            <v>1256208</v>
          </cell>
          <cell r="G725">
            <v>1552217</v>
          </cell>
          <cell r="H725">
            <v>209368</v>
          </cell>
          <cell r="I725">
            <v>-472000</v>
          </cell>
        </row>
        <row r="726">
          <cell r="A726" t="str">
            <v>1510|475003</v>
          </cell>
          <cell r="B726" t="str">
            <v>1510</v>
          </cell>
          <cell r="C726">
            <v>475003</v>
          </cell>
          <cell r="D726">
            <v>41426</v>
          </cell>
          <cell r="E726">
            <v>1027829</v>
          </cell>
          <cell r="F726">
            <v>513915</v>
          </cell>
          <cell r="G726">
            <v>290000</v>
          </cell>
          <cell r="H726">
            <v>85653</v>
          </cell>
          <cell r="I726">
            <v>0</v>
          </cell>
        </row>
        <row r="727">
          <cell r="A727" t="str">
            <v>1510|475004</v>
          </cell>
          <cell r="B727" t="str">
            <v>1510</v>
          </cell>
          <cell r="C727">
            <v>475004</v>
          </cell>
          <cell r="D727">
            <v>41426</v>
          </cell>
          <cell r="E727">
            <v>24536646</v>
          </cell>
          <cell r="F727">
            <v>12268323</v>
          </cell>
          <cell r="G727">
            <v>16624989</v>
          </cell>
          <cell r="H727">
            <v>2044720</v>
          </cell>
          <cell r="I727">
            <v>3211000</v>
          </cell>
        </row>
        <row r="728">
          <cell r="A728" t="str">
            <v>1510|475006</v>
          </cell>
          <cell r="B728" t="str">
            <v>1510</v>
          </cell>
          <cell r="C728">
            <v>475006</v>
          </cell>
          <cell r="D728">
            <v>41426</v>
          </cell>
          <cell r="E728">
            <v>5223416</v>
          </cell>
          <cell r="F728">
            <v>2611708</v>
          </cell>
          <cell r="G728">
            <v>1261877</v>
          </cell>
          <cell r="H728">
            <v>435285</v>
          </cell>
          <cell r="I728">
            <v>210313</v>
          </cell>
        </row>
        <row r="729">
          <cell r="A729" t="str">
            <v>1510|476000</v>
          </cell>
          <cell r="B729" t="str">
            <v>1510</v>
          </cell>
          <cell r="C729">
            <v>476000</v>
          </cell>
          <cell r="D729">
            <v>41426</v>
          </cell>
          <cell r="E729">
            <v>23147759</v>
          </cell>
          <cell r="F729">
            <v>11573880</v>
          </cell>
          <cell r="G729">
            <v>7418465</v>
          </cell>
          <cell r="H729">
            <v>1928980</v>
          </cell>
          <cell r="I729">
            <v>6879500</v>
          </cell>
        </row>
        <row r="730">
          <cell r="A730" t="str">
            <v>1510|476001</v>
          </cell>
          <cell r="B730" t="str">
            <v>1510</v>
          </cell>
          <cell r="C730">
            <v>476001</v>
          </cell>
          <cell r="D730">
            <v>41426</v>
          </cell>
          <cell r="E730">
            <v>718118</v>
          </cell>
          <cell r="F730">
            <v>359059</v>
          </cell>
          <cell r="G730">
            <v>0</v>
          </cell>
          <cell r="H730">
            <v>59843</v>
          </cell>
          <cell r="I730">
            <v>0</v>
          </cell>
        </row>
        <row r="731">
          <cell r="A731" t="str">
            <v>1510|476220</v>
          </cell>
          <cell r="B731" t="str">
            <v>1510</v>
          </cell>
          <cell r="C731">
            <v>476220</v>
          </cell>
          <cell r="D731">
            <v>41426</v>
          </cell>
          <cell r="E731">
            <v>1219629</v>
          </cell>
          <cell r="F731">
            <v>609815</v>
          </cell>
          <cell r="G731">
            <v>930659</v>
          </cell>
          <cell r="H731">
            <v>101636</v>
          </cell>
          <cell r="I731">
            <v>0</v>
          </cell>
        </row>
        <row r="732">
          <cell r="A732" t="str">
            <v>1510|476900</v>
          </cell>
          <cell r="B732" t="str">
            <v>1510</v>
          </cell>
          <cell r="C732">
            <v>476900</v>
          </cell>
          <cell r="D732">
            <v>41426</v>
          </cell>
          <cell r="E732">
            <v>7030776</v>
          </cell>
          <cell r="F732">
            <v>3515388</v>
          </cell>
          <cell r="G732">
            <v>824096</v>
          </cell>
          <cell r="H732">
            <v>585898</v>
          </cell>
          <cell r="I732">
            <v>0</v>
          </cell>
        </row>
        <row r="733">
          <cell r="A733" t="str">
            <v>1550|211100</v>
          </cell>
          <cell r="B733" t="str">
            <v>1550</v>
          </cell>
          <cell r="C733">
            <v>211100</v>
          </cell>
          <cell r="D733">
            <v>41426</v>
          </cell>
          <cell r="E733">
            <v>5475353225</v>
          </cell>
          <cell r="F733">
            <v>2737676613</v>
          </cell>
          <cell r="G733">
            <v>2105115520</v>
          </cell>
          <cell r="H733">
            <v>456279436</v>
          </cell>
          <cell r="I733">
            <v>350193644</v>
          </cell>
        </row>
        <row r="734">
          <cell r="A734" t="str">
            <v>1550|246000</v>
          </cell>
          <cell r="B734" t="str">
            <v>1550</v>
          </cell>
          <cell r="C734">
            <v>246000</v>
          </cell>
          <cell r="D734">
            <v>41426</v>
          </cell>
          <cell r="E734">
            <v>0</v>
          </cell>
          <cell r="F734">
            <v>0</v>
          </cell>
          <cell r="G734">
            <v>1320746</v>
          </cell>
          <cell r="H734">
            <v>0</v>
          </cell>
          <cell r="I734">
            <v>0</v>
          </cell>
        </row>
        <row r="735">
          <cell r="A735" t="str">
            <v>1550|400040</v>
          </cell>
          <cell r="B735" t="str">
            <v>1550</v>
          </cell>
          <cell r="C735">
            <v>400040</v>
          </cell>
          <cell r="D735">
            <v>41426</v>
          </cell>
          <cell r="E735">
            <v>0</v>
          </cell>
          <cell r="F735">
            <v>0</v>
          </cell>
          <cell r="G735">
            <v>2574199</v>
          </cell>
          <cell r="H735">
            <v>0</v>
          </cell>
          <cell r="I735">
            <v>0</v>
          </cell>
        </row>
        <row r="736">
          <cell r="A736" t="str">
            <v>1550|420002</v>
          </cell>
          <cell r="B736" t="str">
            <v>1550</v>
          </cell>
          <cell r="C736">
            <v>420002</v>
          </cell>
          <cell r="D736">
            <v>41426</v>
          </cell>
          <cell r="E736">
            <v>398823659</v>
          </cell>
          <cell r="F736">
            <v>199411830</v>
          </cell>
          <cell r="G736">
            <v>232245000</v>
          </cell>
          <cell r="H736">
            <v>33235305</v>
          </cell>
          <cell r="I736">
            <v>38707500</v>
          </cell>
        </row>
        <row r="737">
          <cell r="A737" t="str">
            <v>1550|420003</v>
          </cell>
          <cell r="B737" t="str">
            <v>1550</v>
          </cell>
          <cell r="C737">
            <v>420003</v>
          </cell>
          <cell r="D737">
            <v>41426</v>
          </cell>
          <cell r="E737">
            <v>402427382</v>
          </cell>
          <cell r="F737">
            <v>201213691</v>
          </cell>
          <cell r="G737">
            <v>196967933</v>
          </cell>
          <cell r="H737">
            <v>33535615</v>
          </cell>
          <cell r="I737">
            <v>33194879</v>
          </cell>
        </row>
        <row r="738">
          <cell r="A738" t="str">
            <v>1550|422002</v>
          </cell>
          <cell r="B738" t="str">
            <v>1550</v>
          </cell>
          <cell r="C738">
            <v>422002</v>
          </cell>
          <cell r="D738">
            <v>41426</v>
          </cell>
          <cell r="E738">
            <v>788130</v>
          </cell>
          <cell r="F738">
            <v>394065</v>
          </cell>
          <cell r="G738">
            <v>902100</v>
          </cell>
          <cell r="H738">
            <v>65677</v>
          </cell>
          <cell r="I738">
            <v>0</v>
          </cell>
        </row>
        <row r="739">
          <cell r="A739" t="str">
            <v>1550|422003</v>
          </cell>
          <cell r="B739" t="str">
            <v>1550</v>
          </cell>
          <cell r="C739">
            <v>422003</v>
          </cell>
          <cell r="D739">
            <v>41426</v>
          </cell>
          <cell r="E739">
            <v>574560</v>
          </cell>
          <cell r="F739">
            <v>287280</v>
          </cell>
          <cell r="G739">
            <v>319650</v>
          </cell>
          <cell r="H739">
            <v>47880</v>
          </cell>
          <cell r="I739">
            <v>0</v>
          </cell>
        </row>
        <row r="740">
          <cell r="A740" t="str">
            <v>1550|431002</v>
          </cell>
          <cell r="B740" t="str">
            <v>1550</v>
          </cell>
          <cell r="C740">
            <v>431002</v>
          </cell>
          <cell r="D740">
            <v>41426</v>
          </cell>
          <cell r="E740">
            <v>101432271</v>
          </cell>
          <cell r="F740">
            <v>50716136</v>
          </cell>
          <cell r="G740">
            <v>195368942</v>
          </cell>
          <cell r="H740">
            <v>8452690</v>
          </cell>
          <cell r="I740">
            <v>40472285</v>
          </cell>
        </row>
        <row r="741">
          <cell r="A741" t="str">
            <v>1550|433003</v>
          </cell>
          <cell r="B741" t="str">
            <v>1550</v>
          </cell>
          <cell r="C741">
            <v>433003</v>
          </cell>
          <cell r="D741">
            <v>41426</v>
          </cell>
          <cell r="E741">
            <v>12694318</v>
          </cell>
          <cell r="F741">
            <v>6347159</v>
          </cell>
          <cell r="G741">
            <v>6512400</v>
          </cell>
          <cell r="H741">
            <v>1057860</v>
          </cell>
          <cell r="I741">
            <v>1085400</v>
          </cell>
        </row>
        <row r="742">
          <cell r="A742" t="str">
            <v>1550|434012</v>
          </cell>
          <cell r="B742" t="str">
            <v>1550</v>
          </cell>
          <cell r="C742">
            <v>434012</v>
          </cell>
          <cell r="D742">
            <v>41426</v>
          </cell>
          <cell r="E742">
            <v>0</v>
          </cell>
          <cell r="F742">
            <v>0</v>
          </cell>
          <cell r="G742">
            <v>4936004</v>
          </cell>
          <cell r="H742">
            <v>0</v>
          </cell>
          <cell r="I742">
            <v>831241</v>
          </cell>
        </row>
        <row r="743">
          <cell r="A743" t="str">
            <v>1550|434013</v>
          </cell>
          <cell r="B743" t="str">
            <v>1550</v>
          </cell>
          <cell r="C743">
            <v>434013</v>
          </cell>
          <cell r="D743">
            <v>41426</v>
          </cell>
          <cell r="E743">
            <v>0</v>
          </cell>
          <cell r="F743">
            <v>0</v>
          </cell>
          <cell r="G743">
            <v>7500804</v>
          </cell>
          <cell r="H743">
            <v>0</v>
          </cell>
          <cell r="I743">
            <v>1200976</v>
          </cell>
        </row>
        <row r="744">
          <cell r="A744" t="str">
            <v>1550|435002</v>
          </cell>
          <cell r="B744" t="str">
            <v>1550</v>
          </cell>
          <cell r="C744">
            <v>435002</v>
          </cell>
          <cell r="D744">
            <v>41426</v>
          </cell>
          <cell r="E744">
            <v>68132375</v>
          </cell>
          <cell r="F744">
            <v>34066188</v>
          </cell>
          <cell r="G744">
            <v>36931292</v>
          </cell>
          <cell r="H744">
            <v>5677698</v>
          </cell>
          <cell r="I744">
            <v>0</v>
          </cell>
        </row>
        <row r="745">
          <cell r="A745" t="str">
            <v>1550|435003</v>
          </cell>
          <cell r="B745" t="str">
            <v>1550</v>
          </cell>
          <cell r="C745">
            <v>435003</v>
          </cell>
          <cell r="D745">
            <v>41426</v>
          </cell>
          <cell r="E745">
            <v>50303423</v>
          </cell>
          <cell r="F745">
            <v>25151712</v>
          </cell>
          <cell r="G745">
            <v>79444000</v>
          </cell>
          <cell r="H745">
            <v>4191952</v>
          </cell>
          <cell r="I745">
            <v>0</v>
          </cell>
        </row>
        <row r="746">
          <cell r="A746" t="str">
            <v>1550|439003</v>
          </cell>
          <cell r="B746" t="str">
            <v>1550</v>
          </cell>
          <cell r="C746">
            <v>439003</v>
          </cell>
          <cell r="D746">
            <v>41426</v>
          </cell>
          <cell r="E746">
            <v>78899758</v>
          </cell>
          <cell r="F746">
            <v>39449879</v>
          </cell>
          <cell r="G746">
            <v>40146216</v>
          </cell>
          <cell r="H746">
            <v>6574980</v>
          </cell>
          <cell r="I746">
            <v>6445211</v>
          </cell>
        </row>
        <row r="747">
          <cell r="A747" t="str">
            <v>1550|439008</v>
          </cell>
          <cell r="B747" t="str">
            <v>1550</v>
          </cell>
          <cell r="C747">
            <v>439008</v>
          </cell>
          <cell r="D747">
            <v>41426</v>
          </cell>
          <cell r="E747">
            <v>82110313</v>
          </cell>
          <cell r="F747">
            <v>41055157</v>
          </cell>
          <cell r="G747">
            <v>47544756</v>
          </cell>
          <cell r="H747">
            <v>6842527</v>
          </cell>
          <cell r="I747">
            <v>7991271</v>
          </cell>
        </row>
        <row r="748">
          <cell r="A748" t="str">
            <v>1550|440002</v>
          </cell>
          <cell r="B748" t="str">
            <v>1550</v>
          </cell>
          <cell r="C748">
            <v>440002</v>
          </cell>
          <cell r="D748">
            <v>41426</v>
          </cell>
          <cell r="E748">
            <v>33235305</v>
          </cell>
          <cell r="F748">
            <v>16617653</v>
          </cell>
          <cell r="G748">
            <v>17656243</v>
          </cell>
          <cell r="H748">
            <v>2769609</v>
          </cell>
          <cell r="I748">
            <v>1988095</v>
          </cell>
        </row>
        <row r="749">
          <cell r="A749" t="str">
            <v>1550|440003</v>
          </cell>
          <cell r="B749" t="str">
            <v>1550</v>
          </cell>
          <cell r="C749">
            <v>440003</v>
          </cell>
          <cell r="D749">
            <v>41426</v>
          </cell>
          <cell r="E749">
            <v>33535615</v>
          </cell>
          <cell r="F749">
            <v>16767808</v>
          </cell>
          <cell r="G749">
            <v>19183214</v>
          </cell>
          <cell r="H749">
            <v>2794635</v>
          </cell>
          <cell r="I749">
            <v>3945243</v>
          </cell>
        </row>
        <row r="750">
          <cell r="A750" t="str">
            <v>1550|446002</v>
          </cell>
          <cell r="B750" t="str">
            <v>1550</v>
          </cell>
          <cell r="C750">
            <v>446002</v>
          </cell>
          <cell r="D750">
            <v>41426</v>
          </cell>
          <cell r="E750">
            <v>16617652</v>
          </cell>
          <cell r="F750">
            <v>8308826</v>
          </cell>
          <cell r="G750">
            <v>1200000</v>
          </cell>
          <cell r="H750">
            <v>1384804</v>
          </cell>
          <cell r="I750">
            <v>200000</v>
          </cell>
        </row>
        <row r="751">
          <cell r="A751" t="str">
            <v>1550|447002</v>
          </cell>
          <cell r="B751" t="str">
            <v>1550</v>
          </cell>
          <cell r="C751">
            <v>447002</v>
          </cell>
          <cell r="D751">
            <v>41426</v>
          </cell>
          <cell r="E751">
            <v>6261531</v>
          </cell>
          <cell r="F751">
            <v>3130766</v>
          </cell>
          <cell r="G751">
            <v>2437596</v>
          </cell>
          <cell r="H751">
            <v>521795</v>
          </cell>
          <cell r="I751">
            <v>406266</v>
          </cell>
        </row>
        <row r="752">
          <cell r="A752" t="str">
            <v>1550|447003</v>
          </cell>
          <cell r="B752" t="str">
            <v>1550</v>
          </cell>
          <cell r="C752">
            <v>447003</v>
          </cell>
          <cell r="D752">
            <v>41426</v>
          </cell>
          <cell r="E752">
            <v>6318299</v>
          </cell>
          <cell r="F752">
            <v>3159150</v>
          </cell>
          <cell r="G752">
            <v>1134000</v>
          </cell>
          <cell r="H752">
            <v>526525</v>
          </cell>
          <cell r="I752">
            <v>189000</v>
          </cell>
        </row>
        <row r="753">
          <cell r="A753" t="str">
            <v>1550|447012</v>
          </cell>
          <cell r="B753" t="str">
            <v>1550</v>
          </cell>
          <cell r="C753">
            <v>447012</v>
          </cell>
          <cell r="D753">
            <v>41426</v>
          </cell>
          <cell r="E753">
            <v>14756475</v>
          </cell>
          <cell r="F753">
            <v>7378238</v>
          </cell>
          <cell r="G753">
            <v>8593068</v>
          </cell>
          <cell r="H753">
            <v>1229707</v>
          </cell>
          <cell r="I753">
            <v>1432178</v>
          </cell>
        </row>
        <row r="754">
          <cell r="A754" t="str">
            <v>1550|447013</v>
          </cell>
          <cell r="B754" t="str">
            <v>1550</v>
          </cell>
          <cell r="C754">
            <v>447013</v>
          </cell>
          <cell r="D754">
            <v>41426</v>
          </cell>
          <cell r="E754">
            <v>14889813</v>
          </cell>
          <cell r="F754">
            <v>7444907</v>
          </cell>
          <cell r="G754">
            <v>7770000</v>
          </cell>
          <cell r="H754">
            <v>1240818</v>
          </cell>
          <cell r="I754">
            <v>1295000</v>
          </cell>
        </row>
        <row r="755">
          <cell r="A755" t="str">
            <v>1550|447022</v>
          </cell>
          <cell r="B755" t="str">
            <v>1550</v>
          </cell>
          <cell r="C755">
            <v>447022</v>
          </cell>
          <cell r="D755">
            <v>41426</v>
          </cell>
          <cell r="E755">
            <v>626153</v>
          </cell>
          <cell r="F755">
            <v>313077</v>
          </cell>
          <cell r="G755">
            <v>388801</v>
          </cell>
          <cell r="H755">
            <v>52180</v>
          </cell>
          <cell r="I755">
            <v>70650</v>
          </cell>
        </row>
        <row r="756">
          <cell r="A756" t="str">
            <v>1550|447023</v>
          </cell>
          <cell r="B756" t="str">
            <v>1550</v>
          </cell>
          <cell r="C756">
            <v>447023</v>
          </cell>
          <cell r="D756">
            <v>41426</v>
          </cell>
          <cell r="E756">
            <v>522882</v>
          </cell>
          <cell r="F756">
            <v>261441</v>
          </cell>
          <cell r="G756">
            <v>201107</v>
          </cell>
          <cell r="H756">
            <v>43573</v>
          </cell>
          <cell r="I756">
            <v>33375</v>
          </cell>
        </row>
        <row r="757">
          <cell r="A757" t="str">
            <v>1550|448002</v>
          </cell>
          <cell r="B757" t="str">
            <v>1550</v>
          </cell>
          <cell r="C757">
            <v>448002</v>
          </cell>
          <cell r="D757">
            <v>41426</v>
          </cell>
          <cell r="E757">
            <v>29838954</v>
          </cell>
          <cell r="F757">
            <v>14919477</v>
          </cell>
          <cell r="G757">
            <v>13779124</v>
          </cell>
          <cell r="H757">
            <v>2486579</v>
          </cell>
          <cell r="I757">
            <v>1930100</v>
          </cell>
        </row>
        <row r="758">
          <cell r="A758" t="str">
            <v>1550|448003</v>
          </cell>
          <cell r="B758" t="str">
            <v>1550</v>
          </cell>
          <cell r="C758">
            <v>448003</v>
          </cell>
          <cell r="D758">
            <v>41426</v>
          </cell>
          <cell r="E758">
            <v>23792707</v>
          </cell>
          <cell r="F758">
            <v>11896354</v>
          </cell>
          <cell r="G758">
            <v>6842500</v>
          </cell>
          <cell r="H758">
            <v>1982726</v>
          </cell>
          <cell r="I758">
            <v>475000</v>
          </cell>
        </row>
        <row r="759">
          <cell r="A759" t="str">
            <v>1550|449022</v>
          </cell>
          <cell r="B759" t="str">
            <v>1550</v>
          </cell>
          <cell r="C759">
            <v>449022</v>
          </cell>
          <cell r="D759">
            <v>41426</v>
          </cell>
          <cell r="E759">
            <v>19800000</v>
          </cell>
          <cell r="F759">
            <v>9900000</v>
          </cell>
          <cell r="G759">
            <v>9928000</v>
          </cell>
          <cell r="H759">
            <v>1650000</v>
          </cell>
          <cell r="I759">
            <v>1547000</v>
          </cell>
        </row>
        <row r="760">
          <cell r="A760" t="str">
            <v>1550|449023</v>
          </cell>
          <cell r="B760" t="str">
            <v>1550</v>
          </cell>
          <cell r="C760">
            <v>449023</v>
          </cell>
          <cell r="D760">
            <v>41426</v>
          </cell>
          <cell r="E760">
            <v>33396000</v>
          </cell>
          <cell r="F760">
            <v>16698000</v>
          </cell>
          <cell r="G760">
            <v>21053000</v>
          </cell>
          <cell r="H760">
            <v>2783000</v>
          </cell>
          <cell r="I760">
            <v>3506000</v>
          </cell>
        </row>
        <row r="761">
          <cell r="A761" t="str">
            <v>1550|449032</v>
          </cell>
          <cell r="B761" t="str">
            <v>1550</v>
          </cell>
          <cell r="C761">
            <v>449032</v>
          </cell>
          <cell r="D761">
            <v>41426</v>
          </cell>
          <cell r="E761">
            <v>795673</v>
          </cell>
          <cell r="F761">
            <v>397837</v>
          </cell>
          <cell r="G761">
            <v>0</v>
          </cell>
          <cell r="H761">
            <v>66307</v>
          </cell>
          <cell r="I761">
            <v>0</v>
          </cell>
        </row>
        <row r="762">
          <cell r="A762" t="str">
            <v>1550|449040</v>
          </cell>
          <cell r="B762" t="str">
            <v>1550</v>
          </cell>
          <cell r="C762">
            <v>449040</v>
          </cell>
          <cell r="D762">
            <v>41426</v>
          </cell>
          <cell r="E762">
            <v>1980772</v>
          </cell>
          <cell r="F762">
            <v>990386</v>
          </cell>
          <cell r="G762">
            <v>0</v>
          </cell>
          <cell r="H762">
            <v>165064</v>
          </cell>
          <cell r="I762">
            <v>0</v>
          </cell>
        </row>
        <row r="763">
          <cell r="A763" t="str">
            <v>1550|449050</v>
          </cell>
          <cell r="B763" t="str">
            <v>1550</v>
          </cell>
          <cell r="C763">
            <v>449050</v>
          </cell>
          <cell r="D763">
            <v>41426</v>
          </cell>
          <cell r="E763">
            <v>25898500</v>
          </cell>
          <cell r="F763">
            <v>12949250</v>
          </cell>
          <cell r="G763">
            <v>14799982</v>
          </cell>
          <cell r="H763">
            <v>2158208</v>
          </cell>
          <cell r="I763">
            <v>2466667</v>
          </cell>
        </row>
        <row r="764">
          <cell r="A764" t="str">
            <v>1550|449061</v>
          </cell>
          <cell r="B764" t="str">
            <v>1550</v>
          </cell>
          <cell r="C764">
            <v>449061</v>
          </cell>
          <cell r="D764">
            <v>41426</v>
          </cell>
          <cell r="E764">
            <v>62313228</v>
          </cell>
          <cell r="F764">
            <v>31156614</v>
          </cell>
          <cell r="G764">
            <v>41869500</v>
          </cell>
          <cell r="H764">
            <v>5192769</v>
          </cell>
          <cell r="I764">
            <v>23586500</v>
          </cell>
        </row>
        <row r="765">
          <cell r="A765" t="str">
            <v>1550|451000</v>
          </cell>
          <cell r="B765" t="str">
            <v>1550</v>
          </cell>
          <cell r="C765">
            <v>451000</v>
          </cell>
          <cell r="D765">
            <v>41426</v>
          </cell>
          <cell r="E765">
            <v>19608418</v>
          </cell>
          <cell r="F765">
            <v>9804209</v>
          </cell>
          <cell r="G765">
            <v>5150000</v>
          </cell>
          <cell r="H765">
            <v>1634035</v>
          </cell>
          <cell r="I765">
            <v>0</v>
          </cell>
        </row>
        <row r="766">
          <cell r="A766" t="str">
            <v>1550|455000</v>
          </cell>
          <cell r="B766" t="str">
            <v>1550</v>
          </cell>
          <cell r="C766">
            <v>455000</v>
          </cell>
          <cell r="D766">
            <v>41426</v>
          </cell>
          <cell r="E766">
            <v>0</v>
          </cell>
          <cell r="F766">
            <v>0</v>
          </cell>
          <cell r="G766">
            <v>33718080</v>
          </cell>
          <cell r="H766">
            <v>0</v>
          </cell>
          <cell r="I766">
            <v>0</v>
          </cell>
        </row>
        <row r="767">
          <cell r="A767" t="str">
            <v>1550|459000</v>
          </cell>
          <cell r="B767" t="str">
            <v>1550</v>
          </cell>
          <cell r="C767">
            <v>459000</v>
          </cell>
          <cell r="D767">
            <v>41426</v>
          </cell>
          <cell r="E767">
            <v>43713340</v>
          </cell>
          <cell r="F767">
            <v>21856670</v>
          </cell>
          <cell r="G767">
            <v>22289570</v>
          </cell>
          <cell r="H767">
            <v>3642778</v>
          </cell>
          <cell r="I767">
            <v>0</v>
          </cell>
        </row>
        <row r="768">
          <cell r="A768" t="str">
            <v>1550|459002</v>
          </cell>
          <cell r="B768" t="str">
            <v>1550</v>
          </cell>
          <cell r="C768">
            <v>459002</v>
          </cell>
          <cell r="D768">
            <v>41426</v>
          </cell>
          <cell r="E768">
            <v>269457490</v>
          </cell>
          <cell r="F768">
            <v>134728745</v>
          </cell>
          <cell r="G768">
            <v>112000000</v>
          </cell>
          <cell r="H768">
            <v>22454791</v>
          </cell>
          <cell r="I768">
            <v>0</v>
          </cell>
        </row>
        <row r="769">
          <cell r="A769" t="str">
            <v>1550|459003</v>
          </cell>
          <cell r="B769" t="str">
            <v>1550</v>
          </cell>
          <cell r="C769">
            <v>459003</v>
          </cell>
          <cell r="D769">
            <v>41426</v>
          </cell>
          <cell r="E769">
            <v>1102033925</v>
          </cell>
          <cell r="F769">
            <v>551016963</v>
          </cell>
          <cell r="G769">
            <v>255580929</v>
          </cell>
          <cell r="H769">
            <v>91836161</v>
          </cell>
          <cell r="I769">
            <v>0</v>
          </cell>
        </row>
        <row r="770">
          <cell r="A770" t="str">
            <v>1550|459004</v>
          </cell>
          <cell r="B770" t="str">
            <v>1550</v>
          </cell>
          <cell r="C770">
            <v>459004</v>
          </cell>
          <cell r="D770">
            <v>41426</v>
          </cell>
          <cell r="E770">
            <v>1934494563</v>
          </cell>
          <cell r="F770">
            <v>967247282</v>
          </cell>
          <cell r="G770">
            <v>2012691133</v>
          </cell>
          <cell r="H770">
            <v>161207881</v>
          </cell>
          <cell r="I770">
            <v>486263917</v>
          </cell>
        </row>
        <row r="771">
          <cell r="A771" t="str">
            <v>1550|459005</v>
          </cell>
          <cell r="B771" t="str">
            <v>1550</v>
          </cell>
          <cell r="C771">
            <v>459005</v>
          </cell>
          <cell r="D771">
            <v>41426</v>
          </cell>
          <cell r="E771">
            <v>39507521</v>
          </cell>
          <cell r="F771">
            <v>19753761</v>
          </cell>
          <cell r="G771">
            <v>13826805</v>
          </cell>
          <cell r="H771">
            <v>3292294</v>
          </cell>
          <cell r="I771">
            <v>0</v>
          </cell>
        </row>
        <row r="772">
          <cell r="A772" t="str">
            <v>1550|459006</v>
          </cell>
          <cell r="B772" t="str">
            <v>1550</v>
          </cell>
          <cell r="C772">
            <v>459006</v>
          </cell>
          <cell r="D772">
            <v>41426</v>
          </cell>
          <cell r="E772">
            <v>4251824855</v>
          </cell>
          <cell r="F772">
            <v>2125912428</v>
          </cell>
          <cell r="G772">
            <v>1506598346</v>
          </cell>
          <cell r="H772">
            <v>354318738</v>
          </cell>
          <cell r="I772">
            <v>263986989</v>
          </cell>
        </row>
        <row r="773">
          <cell r="A773" t="str">
            <v>1550|459007</v>
          </cell>
          <cell r="B773" t="str">
            <v>1550</v>
          </cell>
          <cell r="C773">
            <v>459007</v>
          </cell>
          <cell r="D773">
            <v>41426</v>
          </cell>
          <cell r="E773">
            <v>1020518953</v>
          </cell>
          <cell r="F773">
            <v>510259477</v>
          </cell>
          <cell r="G773">
            <v>423417388</v>
          </cell>
          <cell r="H773">
            <v>85043247</v>
          </cell>
          <cell r="I773">
            <v>92544040</v>
          </cell>
        </row>
        <row r="774">
          <cell r="A774" t="str">
            <v>1550|472000</v>
          </cell>
          <cell r="B774" t="str">
            <v>1550</v>
          </cell>
          <cell r="C774">
            <v>472000</v>
          </cell>
          <cell r="D774">
            <v>41426</v>
          </cell>
          <cell r="E774">
            <v>0</v>
          </cell>
          <cell r="F774">
            <v>0</v>
          </cell>
          <cell r="G774">
            <v>404000</v>
          </cell>
          <cell r="H774">
            <v>0</v>
          </cell>
          <cell r="I774">
            <v>0</v>
          </cell>
        </row>
        <row r="775">
          <cell r="A775" t="str">
            <v>1550|473000</v>
          </cell>
          <cell r="B775" t="str">
            <v>1550</v>
          </cell>
          <cell r="C775">
            <v>473000</v>
          </cell>
          <cell r="D775">
            <v>41426</v>
          </cell>
          <cell r="E775">
            <v>243480</v>
          </cell>
          <cell r="F775">
            <v>121740</v>
          </cell>
          <cell r="G775">
            <v>96000</v>
          </cell>
          <cell r="H775">
            <v>20290</v>
          </cell>
          <cell r="I775">
            <v>24000</v>
          </cell>
        </row>
        <row r="776">
          <cell r="A776" t="str">
            <v>1550|473120</v>
          </cell>
          <cell r="B776" t="str">
            <v>1550</v>
          </cell>
          <cell r="C776">
            <v>473120</v>
          </cell>
          <cell r="D776">
            <v>41426</v>
          </cell>
          <cell r="E776">
            <v>572571100</v>
          </cell>
          <cell r="F776">
            <v>286285550</v>
          </cell>
          <cell r="G776">
            <v>449937620</v>
          </cell>
          <cell r="H776">
            <v>47714258</v>
          </cell>
          <cell r="I776">
            <v>-105494042</v>
          </cell>
        </row>
        <row r="777">
          <cell r="A777" t="str">
            <v>1550|474100</v>
          </cell>
          <cell r="B777" t="str">
            <v>1550</v>
          </cell>
          <cell r="C777">
            <v>474100</v>
          </cell>
          <cell r="D777">
            <v>41426</v>
          </cell>
          <cell r="E777">
            <v>33933500</v>
          </cell>
          <cell r="F777">
            <v>16966751</v>
          </cell>
          <cell r="G777">
            <v>11634546</v>
          </cell>
          <cell r="H777">
            <v>2827794</v>
          </cell>
          <cell r="I777">
            <v>11634546</v>
          </cell>
        </row>
        <row r="778">
          <cell r="A778" t="str">
            <v>1550|474101</v>
          </cell>
          <cell r="B778" t="str">
            <v>1550</v>
          </cell>
          <cell r="C778">
            <v>474101</v>
          </cell>
          <cell r="D778">
            <v>41426</v>
          </cell>
          <cell r="E778">
            <v>10465126</v>
          </cell>
          <cell r="F778">
            <v>5232563</v>
          </cell>
          <cell r="G778">
            <v>-4000000</v>
          </cell>
          <cell r="H778">
            <v>872094</v>
          </cell>
          <cell r="I778">
            <v>-4000000</v>
          </cell>
        </row>
        <row r="779">
          <cell r="A779" t="str">
            <v>1550|475000</v>
          </cell>
          <cell r="B779" t="str">
            <v>1550</v>
          </cell>
          <cell r="C779">
            <v>475000</v>
          </cell>
          <cell r="D779">
            <v>41426</v>
          </cell>
          <cell r="E779">
            <v>4245426</v>
          </cell>
          <cell r="F779">
            <v>2122713</v>
          </cell>
          <cell r="G779">
            <v>0</v>
          </cell>
          <cell r="H779">
            <v>353785</v>
          </cell>
          <cell r="I779">
            <v>0</v>
          </cell>
        </row>
        <row r="780">
          <cell r="A780" t="str">
            <v>1550|475001</v>
          </cell>
          <cell r="B780" t="str">
            <v>1550</v>
          </cell>
          <cell r="C780">
            <v>475001</v>
          </cell>
          <cell r="D780">
            <v>41426</v>
          </cell>
          <cell r="E780">
            <v>2234079</v>
          </cell>
          <cell r="F780">
            <v>1117040</v>
          </cell>
          <cell r="G780">
            <v>0</v>
          </cell>
          <cell r="H780">
            <v>186174</v>
          </cell>
          <cell r="I780">
            <v>0</v>
          </cell>
        </row>
        <row r="781">
          <cell r="A781" t="str">
            <v>1550|475004</v>
          </cell>
          <cell r="B781" t="str">
            <v>1550</v>
          </cell>
          <cell r="C781">
            <v>475004</v>
          </cell>
          <cell r="D781">
            <v>41426</v>
          </cell>
          <cell r="E781">
            <v>3144952</v>
          </cell>
          <cell r="F781">
            <v>1572476</v>
          </cell>
          <cell r="G781">
            <v>0</v>
          </cell>
          <cell r="H781">
            <v>262079</v>
          </cell>
          <cell r="I781">
            <v>0</v>
          </cell>
        </row>
        <row r="782">
          <cell r="A782" t="str">
            <v>1550|475006</v>
          </cell>
          <cell r="B782" t="str">
            <v>1550</v>
          </cell>
          <cell r="C782">
            <v>475006</v>
          </cell>
          <cell r="D782">
            <v>41426</v>
          </cell>
          <cell r="E782">
            <v>2246481</v>
          </cell>
          <cell r="F782">
            <v>1123241</v>
          </cell>
          <cell r="G782">
            <v>1261878</v>
          </cell>
          <cell r="H782">
            <v>187207</v>
          </cell>
          <cell r="I782">
            <v>210313</v>
          </cell>
        </row>
        <row r="783">
          <cell r="A783" t="str">
            <v>1550|476000</v>
          </cell>
          <cell r="B783" t="str">
            <v>1550</v>
          </cell>
          <cell r="C783">
            <v>476000</v>
          </cell>
          <cell r="D783">
            <v>41426</v>
          </cell>
          <cell r="E783">
            <v>771021</v>
          </cell>
          <cell r="F783">
            <v>385511</v>
          </cell>
          <cell r="G783">
            <v>0</v>
          </cell>
          <cell r="H783">
            <v>64252</v>
          </cell>
          <cell r="I783">
            <v>0</v>
          </cell>
        </row>
        <row r="784">
          <cell r="A784" t="str">
            <v>1550|476001</v>
          </cell>
          <cell r="B784" t="str">
            <v>1550</v>
          </cell>
          <cell r="C784">
            <v>476001</v>
          </cell>
          <cell r="D784">
            <v>41426</v>
          </cell>
          <cell r="E784">
            <v>355390</v>
          </cell>
          <cell r="F784">
            <v>177695</v>
          </cell>
          <cell r="G784">
            <v>0</v>
          </cell>
          <cell r="H784">
            <v>29616</v>
          </cell>
          <cell r="I784">
            <v>0</v>
          </cell>
        </row>
        <row r="785">
          <cell r="A785" t="str">
            <v>1550|476220</v>
          </cell>
          <cell r="B785" t="str">
            <v>1550</v>
          </cell>
          <cell r="C785">
            <v>476220</v>
          </cell>
          <cell r="D785">
            <v>41426</v>
          </cell>
          <cell r="E785">
            <v>2338392</v>
          </cell>
          <cell r="F785">
            <v>1169196</v>
          </cell>
          <cell r="G785">
            <v>11069016</v>
          </cell>
          <cell r="H785">
            <v>194866</v>
          </cell>
          <cell r="I785">
            <v>6447896</v>
          </cell>
        </row>
        <row r="786">
          <cell r="A786" t="str">
            <v>1600|211100</v>
          </cell>
          <cell r="B786" t="str">
            <v>1600</v>
          </cell>
          <cell r="C786">
            <v>211100</v>
          </cell>
          <cell r="D786">
            <v>41426</v>
          </cell>
          <cell r="E786">
            <v>20260908</v>
          </cell>
          <cell r="F786">
            <v>10130454</v>
          </cell>
          <cell r="G786">
            <v>10997001</v>
          </cell>
          <cell r="H786">
            <v>1688409</v>
          </cell>
          <cell r="I786">
            <v>1821992</v>
          </cell>
        </row>
        <row r="787">
          <cell r="A787" t="str">
            <v>1600|405200</v>
          </cell>
          <cell r="B787" t="str">
            <v>1600</v>
          </cell>
          <cell r="C787">
            <v>405200</v>
          </cell>
          <cell r="D787">
            <v>41426</v>
          </cell>
          <cell r="E787">
            <v>2000000</v>
          </cell>
          <cell r="F787">
            <v>1000000</v>
          </cell>
          <cell r="G787">
            <v>2390000</v>
          </cell>
          <cell r="H787">
            <v>166667</v>
          </cell>
          <cell r="I787">
            <v>0</v>
          </cell>
        </row>
        <row r="788">
          <cell r="A788" t="str">
            <v>1600|420002</v>
          </cell>
          <cell r="B788" t="str">
            <v>1600</v>
          </cell>
          <cell r="C788">
            <v>420002</v>
          </cell>
          <cell r="D788">
            <v>41426</v>
          </cell>
          <cell r="E788">
            <v>159529463</v>
          </cell>
          <cell r="F788">
            <v>79764732</v>
          </cell>
          <cell r="G788">
            <v>91053000</v>
          </cell>
          <cell r="H788">
            <v>13294122</v>
          </cell>
          <cell r="I788">
            <v>15175500</v>
          </cell>
        </row>
        <row r="789">
          <cell r="A789" t="str">
            <v>1600|420003</v>
          </cell>
          <cell r="B789" t="str">
            <v>1600</v>
          </cell>
          <cell r="C789">
            <v>420003</v>
          </cell>
          <cell r="D789">
            <v>41426</v>
          </cell>
          <cell r="E789">
            <v>567233148</v>
          </cell>
          <cell r="F789">
            <v>283616574</v>
          </cell>
          <cell r="G789">
            <v>273649857</v>
          </cell>
          <cell r="H789">
            <v>47269429</v>
          </cell>
          <cell r="I789">
            <v>46118034</v>
          </cell>
        </row>
        <row r="790">
          <cell r="A790" t="str">
            <v>1600|422003</v>
          </cell>
          <cell r="B790" t="str">
            <v>1600</v>
          </cell>
          <cell r="C790">
            <v>422003</v>
          </cell>
          <cell r="D790">
            <v>41426</v>
          </cell>
          <cell r="E790">
            <v>182520</v>
          </cell>
          <cell r="F790">
            <v>91260</v>
          </cell>
          <cell r="G790">
            <v>178350</v>
          </cell>
          <cell r="H790">
            <v>15210</v>
          </cell>
          <cell r="I790">
            <v>0</v>
          </cell>
        </row>
        <row r="791">
          <cell r="A791" t="str">
            <v>1600|431001</v>
          </cell>
          <cell r="B791" t="str">
            <v>1600</v>
          </cell>
          <cell r="C791">
            <v>431001</v>
          </cell>
          <cell r="D791">
            <v>41426</v>
          </cell>
          <cell r="E791">
            <v>0</v>
          </cell>
          <cell r="F791">
            <v>0</v>
          </cell>
          <cell r="G791">
            <v>1830220</v>
          </cell>
          <cell r="H791">
            <v>0</v>
          </cell>
          <cell r="I791">
            <v>0</v>
          </cell>
        </row>
        <row r="792">
          <cell r="A792" t="str">
            <v>1600|434012</v>
          </cell>
          <cell r="B792" t="str">
            <v>1600</v>
          </cell>
          <cell r="C792">
            <v>434012</v>
          </cell>
          <cell r="D792">
            <v>41426</v>
          </cell>
          <cell r="E792">
            <v>17492266</v>
          </cell>
          <cell r="F792">
            <v>8746133</v>
          </cell>
          <cell r="G792">
            <v>1974400</v>
          </cell>
          <cell r="H792">
            <v>1457689</v>
          </cell>
          <cell r="I792">
            <v>332496</v>
          </cell>
        </row>
        <row r="793">
          <cell r="A793" t="str">
            <v>1600|434013</v>
          </cell>
          <cell r="B793" t="str">
            <v>1600</v>
          </cell>
          <cell r="C793">
            <v>434013</v>
          </cell>
          <cell r="D793">
            <v>41426</v>
          </cell>
          <cell r="E793">
            <v>46088426</v>
          </cell>
          <cell r="F793">
            <v>23044213</v>
          </cell>
          <cell r="G793">
            <v>7500804</v>
          </cell>
          <cell r="H793">
            <v>3840702</v>
          </cell>
          <cell r="I793">
            <v>1200976</v>
          </cell>
        </row>
        <row r="794">
          <cell r="A794" t="str">
            <v>1600|435002</v>
          </cell>
          <cell r="B794" t="str">
            <v>1600</v>
          </cell>
          <cell r="C794">
            <v>435002</v>
          </cell>
          <cell r="D794">
            <v>41426</v>
          </cell>
          <cell r="E794">
            <v>27252950</v>
          </cell>
          <cell r="F794">
            <v>13626475</v>
          </cell>
          <cell r="G794">
            <v>16715500</v>
          </cell>
          <cell r="H794">
            <v>2271079</v>
          </cell>
          <cell r="I794">
            <v>0</v>
          </cell>
        </row>
        <row r="795">
          <cell r="A795" t="str">
            <v>1600|435003</v>
          </cell>
          <cell r="B795" t="str">
            <v>1600</v>
          </cell>
          <cell r="C795">
            <v>435003</v>
          </cell>
          <cell r="D795">
            <v>41426</v>
          </cell>
          <cell r="E795">
            <v>70904143</v>
          </cell>
          <cell r="F795">
            <v>35452072</v>
          </cell>
          <cell r="G795">
            <v>115099000</v>
          </cell>
          <cell r="H795">
            <v>5908679</v>
          </cell>
          <cell r="I795">
            <v>0</v>
          </cell>
        </row>
        <row r="796">
          <cell r="A796" t="str">
            <v>1600|439003</v>
          </cell>
          <cell r="B796" t="str">
            <v>1600</v>
          </cell>
          <cell r="C796">
            <v>439003</v>
          </cell>
          <cell r="D796">
            <v>41426</v>
          </cell>
          <cell r="E796">
            <v>78899758</v>
          </cell>
          <cell r="F796">
            <v>39449879</v>
          </cell>
          <cell r="G796">
            <v>40146216</v>
          </cell>
          <cell r="H796">
            <v>6574980</v>
          </cell>
          <cell r="I796">
            <v>6445211</v>
          </cell>
        </row>
        <row r="797">
          <cell r="A797" t="str">
            <v>1600|439008</v>
          </cell>
          <cell r="B797" t="str">
            <v>1600</v>
          </cell>
          <cell r="C797">
            <v>439008</v>
          </cell>
          <cell r="D797">
            <v>41426</v>
          </cell>
          <cell r="E797">
            <v>32844125</v>
          </cell>
          <cell r="F797">
            <v>16422063</v>
          </cell>
          <cell r="G797">
            <v>19017902</v>
          </cell>
          <cell r="H797">
            <v>2737011</v>
          </cell>
          <cell r="I797">
            <v>3196509</v>
          </cell>
        </row>
        <row r="798">
          <cell r="A798" t="str">
            <v>1600|440002</v>
          </cell>
          <cell r="B798" t="str">
            <v>1600</v>
          </cell>
          <cell r="C798">
            <v>440002</v>
          </cell>
          <cell r="D798">
            <v>41426</v>
          </cell>
          <cell r="E798">
            <v>13294122</v>
          </cell>
          <cell r="F798">
            <v>6647061</v>
          </cell>
          <cell r="G798">
            <v>7062497</v>
          </cell>
          <cell r="H798">
            <v>1107843</v>
          </cell>
          <cell r="I798">
            <v>795238</v>
          </cell>
        </row>
        <row r="799">
          <cell r="A799" t="str">
            <v>1600|440003</v>
          </cell>
          <cell r="B799" t="str">
            <v>1600</v>
          </cell>
          <cell r="C799">
            <v>440003</v>
          </cell>
          <cell r="D799">
            <v>41426</v>
          </cell>
          <cell r="E799">
            <v>47269429</v>
          </cell>
          <cell r="F799">
            <v>23634715</v>
          </cell>
          <cell r="G799">
            <v>26651462</v>
          </cell>
          <cell r="H799">
            <v>3939120</v>
          </cell>
          <cell r="I799">
            <v>5481172</v>
          </cell>
        </row>
        <row r="800">
          <cell r="A800" t="str">
            <v>1600|446002</v>
          </cell>
          <cell r="B800" t="str">
            <v>1600</v>
          </cell>
          <cell r="C800">
            <v>446002</v>
          </cell>
          <cell r="D800">
            <v>41426</v>
          </cell>
          <cell r="E800">
            <v>15077061</v>
          </cell>
          <cell r="F800">
            <v>7538531</v>
          </cell>
          <cell r="G800">
            <v>1500000</v>
          </cell>
          <cell r="H800">
            <v>1256422</v>
          </cell>
          <cell r="I800">
            <v>250000</v>
          </cell>
        </row>
        <row r="801">
          <cell r="A801" t="str">
            <v>1600|447002</v>
          </cell>
          <cell r="B801" t="str">
            <v>1600</v>
          </cell>
          <cell r="C801">
            <v>447002</v>
          </cell>
          <cell r="D801">
            <v>41426</v>
          </cell>
          <cell r="E801">
            <v>2504613</v>
          </cell>
          <cell r="F801">
            <v>1252307</v>
          </cell>
          <cell r="G801">
            <v>1429536</v>
          </cell>
          <cell r="H801">
            <v>208718</v>
          </cell>
          <cell r="I801">
            <v>238256</v>
          </cell>
        </row>
        <row r="802">
          <cell r="A802" t="str">
            <v>1600|447003</v>
          </cell>
          <cell r="B802" t="str">
            <v>1600</v>
          </cell>
          <cell r="C802">
            <v>447003</v>
          </cell>
          <cell r="D802">
            <v>41426</v>
          </cell>
          <cell r="E802">
            <v>8905528</v>
          </cell>
          <cell r="F802">
            <v>4452764</v>
          </cell>
          <cell r="G802">
            <v>4332966</v>
          </cell>
          <cell r="H802">
            <v>742127</v>
          </cell>
          <cell r="I802">
            <v>722161</v>
          </cell>
        </row>
        <row r="803">
          <cell r="A803" t="str">
            <v>1600|447012</v>
          </cell>
          <cell r="B803" t="str">
            <v>1600</v>
          </cell>
          <cell r="C803">
            <v>447012</v>
          </cell>
          <cell r="D803">
            <v>41426</v>
          </cell>
          <cell r="E803">
            <v>5902590</v>
          </cell>
          <cell r="F803">
            <v>2951295</v>
          </cell>
          <cell r="G803">
            <v>3368964</v>
          </cell>
          <cell r="H803">
            <v>491882</v>
          </cell>
          <cell r="I803">
            <v>561494</v>
          </cell>
        </row>
        <row r="804">
          <cell r="A804" t="str">
            <v>1600|447013</v>
          </cell>
          <cell r="B804" t="str">
            <v>1600</v>
          </cell>
          <cell r="C804">
            <v>447013</v>
          </cell>
          <cell r="D804">
            <v>41426</v>
          </cell>
          <cell r="E804">
            <v>20987626</v>
          </cell>
          <cell r="F804">
            <v>10493813</v>
          </cell>
          <cell r="G804">
            <v>10211448</v>
          </cell>
          <cell r="H804">
            <v>1748969</v>
          </cell>
          <cell r="I804">
            <v>1701908</v>
          </cell>
        </row>
        <row r="805">
          <cell r="A805" t="str">
            <v>1600|447022</v>
          </cell>
          <cell r="B805" t="str">
            <v>1600</v>
          </cell>
          <cell r="C805">
            <v>447022</v>
          </cell>
          <cell r="D805">
            <v>41426</v>
          </cell>
          <cell r="E805">
            <v>250461</v>
          </cell>
          <cell r="F805">
            <v>125231</v>
          </cell>
          <cell r="G805">
            <v>237386</v>
          </cell>
          <cell r="H805">
            <v>20872</v>
          </cell>
          <cell r="I805">
            <v>39525</v>
          </cell>
        </row>
        <row r="806">
          <cell r="A806" t="str">
            <v>1600|447023</v>
          </cell>
          <cell r="B806" t="str">
            <v>1600</v>
          </cell>
          <cell r="C806">
            <v>447023</v>
          </cell>
          <cell r="D806">
            <v>41426</v>
          </cell>
          <cell r="E806">
            <v>736993</v>
          </cell>
          <cell r="F806">
            <v>368497</v>
          </cell>
          <cell r="G806">
            <v>1257261</v>
          </cell>
          <cell r="H806">
            <v>61417</v>
          </cell>
          <cell r="I806">
            <v>209525</v>
          </cell>
        </row>
        <row r="807">
          <cell r="A807" t="str">
            <v>1600|448002</v>
          </cell>
          <cell r="B807" t="str">
            <v>1600</v>
          </cell>
          <cell r="C807">
            <v>448002</v>
          </cell>
          <cell r="D807">
            <v>41426</v>
          </cell>
          <cell r="E807">
            <v>11935582</v>
          </cell>
          <cell r="F807">
            <v>5967791</v>
          </cell>
          <cell r="G807">
            <v>4193630</v>
          </cell>
          <cell r="H807">
            <v>994632</v>
          </cell>
          <cell r="I807">
            <v>88000</v>
          </cell>
        </row>
        <row r="808">
          <cell r="A808" t="str">
            <v>1600|448003</v>
          </cell>
          <cell r="B808" t="str">
            <v>1600</v>
          </cell>
          <cell r="C808">
            <v>448003</v>
          </cell>
          <cell r="D808">
            <v>41426</v>
          </cell>
          <cell r="E808">
            <v>31121647</v>
          </cell>
          <cell r="F808">
            <v>15560824</v>
          </cell>
          <cell r="G808">
            <v>27269805</v>
          </cell>
          <cell r="H808">
            <v>2593471</v>
          </cell>
          <cell r="I808">
            <v>12366400</v>
          </cell>
        </row>
        <row r="809">
          <cell r="A809" t="str">
            <v>1600|449022</v>
          </cell>
          <cell r="B809" t="str">
            <v>1600</v>
          </cell>
          <cell r="C809">
            <v>449022</v>
          </cell>
          <cell r="D809">
            <v>41426</v>
          </cell>
          <cell r="E809">
            <v>7920000</v>
          </cell>
          <cell r="F809">
            <v>3960000</v>
          </cell>
          <cell r="G809">
            <v>5230000</v>
          </cell>
          <cell r="H809">
            <v>660000</v>
          </cell>
          <cell r="I809">
            <v>815000</v>
          </cell>
        </row>
        <row r="810">
          <cell r="A810" t="str">
            <v>1600|449023</v>
          </cell>
          <cell r="B810" t="str">
            <v>1600</v>
          </cell>
          <cell r="C810">
            <v>449023</v>
          </cell>
          <cell r="D810">
            <v>41426</v>
          </cell>
          <cell r="E810">
            <v>3960000</v>
          </cell>
          <cell r="F810">
            <v>1980000</v>
          </cell>
          <cell r="G810">
            <v>1853000</v>
          </cell>
          <cell r="H810">
            <v>330000</v>
          </cell>
          <cell r="I810">
            <v>306000</v>
          </cell>
        </row>
        <row r="811">
          <cell r="A811" t="str">
            <v>1600|449032</v>
          </cell>
          <cell r="B811" t="str">
            <v>1600</v>
          </cell>
          <cell r="C811">
            <v>449032</v>
          </cell>
          <cell r="D811">
            <v>41426</v>
          </cell>
          <cell r="E811">
            <v>1287001</v>
          </cell>
          <cell r="F811">
            <v>643501</v>
          </cell>
          <cell r="G811">
            <v>0</v>
          </cell>
          <cell r="H811">
            <v>107251</v>
          </cell>
          <cell r="I811">
            <v>0</v>
          </cell>
        </row>
        <row r="812">
          <cell r="A812" t="str">
            <v>1600|449040</v>
          </cell>
          <cell r="B812" t="str">
            <v>1600</v>
          </cell>
          <cell r="C812">
            <v>449040</v>
          </cell>
          <cell r="D812">
            <v>41426</v>
          </cell>
          <cell r="E812">
            <v>1586135</v>
          </cell>
          <cell r="F812">
            <v>793068</v>
          </cell>
          <cell r="G812">
            <v>255000</v>
          </cell>
          <cell r="H812">
            <v>132178</v>
          </cell>
          <cell r="I812">
            <v>0</v>
          </cell>
        </row>
        <row r="813">
          <cell r="A813" t="str">
            <v>1600|449061</v>
          </cell>
          <cell r="B813" t="str">
            <v>1600</v>
          </cell>
          <cell r="C813">
            <v>449061</v>
          </cell>
          <cell r="D813">
            <v>41426</v>
          </cell>
          <cell r="E813">
            <v>8367103</v>
          </cell>
          <cell r="F813">
            <v>4183552</v>
          </cell>
          <cell r="G813">
            <v>3362400</v>
          </cell>
          <cell r="H813">
            <v>697259</v>
          </cell>
          <cell r="I813">
            <v>1043300</v>
          </cell>
        </row>
        <row r="814">
          <cell r="A814" t="str">
            <v>1600|470102</v>
          </cell>
          <cell r="B814" t="str">
            <v>1600</v>
          </cell>
          <cell r="C814">
            <v>470102</v>
          </cell>
          <cell r="D814">
            <v>41426</v>
          </cell>
          <cell r="E814">
            <v>4371408</v>
          </cell>
          <cell r="F814">
            <v>2185704</v>
          </cell>
          <cell r="G814">
            <v>274455</v>
          </cell>
          <cell r="H814">
            <v>364284</v>
          </cell>
          <cell r="I814">
            <v>0</v>
          </cell>
        </row>
        <row r="815">
          <cell r="A815" t="str">
            <v>1600|471000</v>
          </cell>
          <cell r="B815" t="str">
            <v>1600</v>
          </cell>
          <cell r="C815">
            <v>471000</v>
          </cell>
          <cell r="D815">
            <v>41426</v>
          </cell>
          <cell r="E815">
            <v>11046395</v>
          </cell>
          <cell r="F815">
            <v>5523198</v>
          </cell>
          <cell r="G815">
            <v>5970000</v>
          </cell>
          <cell r="H815">
            <v>920533</v>
          </cell>
          <cell r="I815">
            <v>0</v>
          </cell>
        </row>
        <row r="816">
          <cell r="A816" t="str">
            <v>1600|472000</v>
          </cell>
          <cell r="B816" t="str">
            <v>1600</v>
          </cell>
          <cell r="C816">
            <v>472000</v>
          </cell>
          <cell r="D816">
            <v>41426</v>
          </cell>
          <cell r="E816">
            <v>600000</v>
          </cell>
          <cell r="F816">
            <v>300000</v>
          </cell>
          <cell r="G816">
            <v>0</v>
          </cell>
          <cell r="H816">
            <v>50000</v>
          </cell>
          <cell r="I816">
            <v>0</v>
          </cell>
        </row>
        <row r="817">
          <cell r="A817" t="str">
            <v>1600|473000</v>
          </cell>
          <cell r="B817" t="str">
            <v>1600</v>
          </cell>
          <cell r="C817">
            <v>473000</v>
          </cell>
          <cell r="D817">
            <v>41426</v>
          </cell>
          <cell r="E817">
            <v>194730</v>
          </cell>
          <cell r="F817">
            <v>97365</v>
          </cell>
          <cell r="G817">
            <v>15000</v>
          </cell>
          <cell r="H817">
            <v>16227</v>
          </cell>
          <cell r="I817">
            <v>0</v>
          </cell>
        </row>
        <row r="818">
          <cell r="A818" t="str">
            <v>1600|473120</v>
          </cell>
          <cell r="B818" t="str">
            <v>1600</v>
          </cell>
          <cell r="C818">
            <v>473120</v>
          </cell>
          <cell r="D818">
            <v>41426</v>
          </cell>
          <cell r="E818">
            <v>7652111</v>
          </cell>
          <cell r="F818">
            <v>3826056</v>
          </cell>
          <cell r="G818">
            <v>7316614</v>
          </cell>
          <cell r="H818">
            <v>637676</v>
          </cell>
          <cell r="I818">
            <v>2502785</v>
          </cell>
        </row>
        <row r="819">
          <cell r="A819" t="str">
            <v>1600|474100</v>
          </cell>
          <cell r="B819" t="str">
            <v>1600</v>
          </cell>
          <cell r="C819">
            <v>474100</v>
          </cell>
          <cell r="D819">
            <v>41426</v>
          </cell>
          <cell r="E819">
            <v>30028153</v>
          </cell>
          <cell r="F819">
            <v>15014077</v>
          </cell>
          <cell r="G819">
            <v>4904764</v>
          </cell>
          <cell r="H819">
            <v>2502347</v>
          </cell>
          <cell r="I819">
            <v>1178698</v>
          </cell>
        </row>
        <row r="820">
          <cell r="A820" t="str">
            <v>1600|475003</v>
          </cell>
          <cell r="B820" t="str">
            <v>1600</v>
          </cell>
          <cell r="C820">
            <v>475003</v>
          </cell>
          <cell r="D820">
            <v>41426</v>
          </cell>
          <cell r="E820">
            <v>7868204</v>
          </cell>
          <cell r="F820">
            <v>3934102</v>
          </cell>
          <cell r="G820">
            <v>830500</v>
          </cell>
          <cell r="H820">
            <v>655684</v>
          </cell>
          <cell r="I820">
            <v>0</v>
          </cell>
        </row>
        <row r="821">
          <cell r="A821" t="str">
            <v>1600|475004</v>
          </cell>
          <cell r="B821" t="str">
            <v>1600</v>
          </cell>
          <cell r="C821">
            <v>475004</v>
          </cell>
          <cell r="D821">
            <v>41426</v>
          </cell>
          <cell r="E821">
            <v>28864176</v>
          </cell>
          <cell r="F821">
            <v>14432088</v>
          </cell>
          <cell r="G821">
            <v>13678958</v>
          </cell>
          <cell r="H821">
            <v>2405348</v>
          </cell>
          <cell r="I821">
            <v>2830484</v>
          </cell>
        </row>
        <row r="822">
          <cell r="A822" t="str">
            <v>1600|475006</v>
          </cell>
          <cell r="B822" t="str">
            <v>1600</v>
          </cell>
          <cell r="C822">
            <v>475006</v>
          </cell>
          <cell r="D822">
            <v>41426</v>
          </cell>
          <cell r="E822">
            <v>5620405</v>
          </cell>
          <cell r="F822">
            <v>2810203</v>
          </cell>
          <cell r="G822">
            <v>5060623</v>
          </cell>
          <cell r="H822">
            <v>468368</v>
          </cell>
          <cell r="I822">
            <v>944937</v>
          </cell>
        </row>
        <row r="823">
          <cell r="A823" t="str">
            <v>1600|476000</v>
          </cell>
          <cell r="B823" t="str">
            <v>1600</v>
          </cell>
          <cell r="C823">
            <v>476000</v>
          </cell>
          <cell r="D823">
            <v>41426</v>
          </cell>
          <cell r="E823">
            <v>3926492</v>
          </cell>
          <cell r="F823">
            <v>1963246</v>
          </cell>
          <cell r="G823">
            <v>1414300</v>
          </cell>
          <cell r="H823">
            <v>327208</v>
          </cell>
          <cell r="I823">
            <v>814300</v>
          </cell>
        </row>
        <row r="824">
          <cell r="A824" t="str">
            <v>1600|476900</v>
          </cell>
          <cell r="B824" t="str">
            <v>1600</v>
          </cell>
          <cell r="C824">
            <v>476900</v>
          </cell>
          <cell r="D824">
            <v>41426</v>
          </cell>
          <cell r="E824">
            <v>3929810</v>
          </cell>
          <cell r="F824">
            <v>1964905</v>
          </cell>
          <cell r="G824">
            <v>1145840</v>
          </cell>
          <cell r="H824">
            <v>327484</v>
          </cell>
          <cell r="I824">
            <v>0</v>
          </cell>
        </row>
        <row r="825">
          <cell r="A825" t="str">
            <v>1610|211100</v>
          </cell>
          <cell r="B825" t="str">
            <v>1610</v>
          </cell>
          <cell r="C825">
            <v>211100</v>
          </cell>
          <cell r="D825">
            <v>41426</v>
          </cell>
          <cell r="E825">
            <v>13578011</v>
          </cell>
          <cell r="F825">
            <v>6789006</v>
          </cell>
          <cell r="G825">
            <v>405023</v>
          </cell>
          <cell r="H825">
            <v>1131501</v>
          </cell>
          <cell r="I825">
            <v>67504</v>
          </cell>
        </row>
        <row r="826">
          <cell r="A826" t="str">
            <v>1610|400040</v>
          </cell>
          <cell r="B826" t="str">
            <v>1610</v>
          </cell>
          <cell r="C826">
            <v>400040</v>
          </cell>
          <cell r="D826">
            <v>41426</v>
          </cell>
          <cell r="E826">
            <v>2000000</v>
          </cell>
          <cell r="F826">
            <v>1000000</v>
          </cell>
          <cell r="G826">
            <v>0</v>
          </cell>
          <cell r="H826">
            <v>166667</v>
          </cell>
          <cell r="I826">
            <v>0</v>
          </cell>
        </row>
        <row r="827">
          <cell r="A827" t="str">
            <v>1610|420002</v>
          </cell>
          <cell r="B827" t="str">
            <v>1610</v>
          </cell>
          <cell r="C827">
            <v>420002</v>
          </cell>
          <cell r="D827">
            <v>41426</v>
          </cell>
          <cell r="E827">
            <v>159529463</v>
          </cell>
          <cell r="F827">
            <v>79764732</v>
          </cell>
          <cell r="G827">
            <v>103119000</v>
          </cell>
          <cell r="H827">
            <v>13294122</v>
          </cell>
          <cell r="I827">
            <v>17186500</v>
          </cell>
        </row>
        <row r="828">
          <cell r="A828" t="str">
            <v>1610|420003</v>
          </cell>
          <cell r="B828" t="str">
            <v>1610</v>
          </cell>
          <cell r="C828">
            <v>420003</v>
          </cell>
          <cell r="D828">
            <v>41426</v>
          </cell>
          <cell r="E828">
            <v>549334080</v>
          </cell>
          <cell r="F828">
            <v>274667040</v>
          </cell>
          <cell r="G828">
            <v>267756061</v>
          </cell>
          <cell r="H828">
            <v>45777840</v>
          </cell>
          <cell r="I828">
            <v>45124756</v>
          </cell>
        </row>
        <row r="829">
          <cell r="A829" t="str">
            <v>1610|422002</v>
          </cell>
          <cell r="B829" t="str">
            <v>1610</v>
          </cell>
          <cell r="C829">
            <v>422002</v>
          </cell>
          <cell r="D829">
            <v>41426</v>
          </cell>
          <cell r="E829">
            <v>0</v>
          </cell>
          <cell r="F829">
            <v>0</v>
          </cell>
          <cell r="G829">
            <v>250050</v>
          </cell>
          <cell r="H829">
            <v>0</v>
          </cell>
          <cell r="I829">
            <v>0</v>
          </cell>
        </row>
        <row r="830">
          <cell r="A830" t="str">
            <v>1610|431002</v>
          </cell>
          <cell r="B830" t="str">
            <v>1610</v>
          </cell>
          <cell r="C830">
            <v>431002</v>
          </cell>
          <cell r="D830">
            <v>41426</v>
          </cell>
          <cell r="E830">
            <v>317368</v>
          </cell>
          <cell r="F830">
            <v>158684</v>
          </cell>
          <cell r="G830">
            <v>384361</v>
          </cell>
          <cell r="H830">
            <v>26447</v>
          </cell>
          <cell r="I830">
            <v>0</v>
          </cell>
        </row>
        <row r="831">
          <cell r="A831" t="str">
            <v>1610|433002</v>
          </cell>
          <cell r="B831" t="str">
            <v>1610</v>
          </cell>
          <cell r="C831">
            <v>433002</v>
          </cell>
          <cell r="D831">
            <v>41426</v>
          </cell>
          <cell r="E831">
            <v>5405684</v>
          </cell>
          <cell r="F831">
            <v>2702842</v>
          </cell>
          <cell r="G831">
            <v>2711050</v>
          </cell>
          <cell r="H831">
            <v>450474</v>
          </cell>
          <cell r="I831">
            <v>453325</v>
          </cell>
        </row>
        <row r="832">
          <cell r="A832" t="str">
            <v>1610|434012</v>
          </cell>
          <cell r="B832" t="str">
            <v>1610</v>
          </cell>
          <cell r="C832">
            <v>434012</v>
          </cell>
          <cell r="D832">
            <v>41426</v>
          </cell>
          <cell r="E832">
            <v>0</v>
          </cell>
          <cell r="F832">
            <v>0</v>
          </cell>
          <cell r="G832">
            <v>1974400</v>
          </cell>
          <cell r="H832">
            <v>0</v>
          </cell>
          <cell r="I832">
            <v>332496</v>
          </cell>
        </row>
        <row r="833">
          <cell r="A833" t="str">
            <v>1610|434013</v>
          </cell>
          <cell r="B833" t="str">
            <v>1610</v>
          </cell>
          <cell r="C833">
            <v>434013</v>
          </cell>
          <cell r="D833">
            <v>41426</v>
          </cell>
          <cell r="E833">
            <v>0</v>
          </cell>
          <cell r="F833">
            <v>0</v>
          </cell>
          <cell r="G833">
            <v>11251205</v>
          </cell>
          <cell r="H833">
            <v>0</v>
          </cell>
          <cell r="I833">
            <v>1801464</v>
          </cell>
        </row>
        <row r="834">
          <cell r="A834" t="str">
            <v>1610|435002</v>
          </cell>
          <cell r="B834" t="str">
            <v>1610</v>
          </cell>
          <cell r="C834">
            <v>435002</v>
          </cell>
          <cell r="D834">
            <v>41426</v>
          </cell>
          <cell r="E834">
            <v>27252950</v>
          </cell>
          <cell r="F834">
            <v>13626475</v>
          </cell>
          <cell r="G834">
            <v>19172000</v>
          </cell>
          <cell r="H834">
            <v>2271079</v>
          </cell>
          <cell r="I834">
            <v>0</v>
          </cell>
        </row>
        <row r="835">
          <cell r="A835" t="str">
            <v>1610|435003</v>
          </cell>
          <cell r="B835" t="str">
            <v>1610</v>
          </cell>
          <cell r="C835">
            <v>435003</v>
          </cell>
          <cell r="D835">
            <v>41426</v>
          </cell>
          <cell r="E835">
            <v>68666760</v>
          </cell>
          <cell r="F835">
            <v>34333380</v>
          </cell>
          <cell r="G835">
            <v>111346500</v>
          </cell>
          <cell r="H835">
            <v>5722230</v>
          </cell>
          <cell r="I835">
            <v>0</v>
          </cell>
        </row>
        <row r="836">
          <cell r="A836" t="str">
            <v>1610|439003</v>
          </cell>
          <cell r="B836" t="str">
            <v>1610</v>
          </cell>
          <cell r="C836">
            <v>439003</v>
          </cell>
          <cell r="D836">
            <v>41426</v>
          </cell>
          <cell r="E836">
            <v>118349638</v>
          </cell>
          <cell r="F836">
            <v>59174819</v>
          </cell>
          <cell r="G836">
            <v>60219324</v>
          </cell>
          <cell r="H836">
            <v>9862470</v>
          </cell>
          <cell r="I836">
            <v>9667816</v>
          </cell>
        </row>
        <row r="837">
          <cell r="A837" t="str">
            <v>1610|439008</v>
          </cell>
          <cell r="B837" t="str">
            <v>1610</v>
          </cell>
          <cell r="C837">
            <v>439008</v>
          </cell>
          <cell r="D837">
            <v>41426</v>
          </cell>
          <cell r="E837">
            <v>32844125</v>
          </cell>
          <cell r="F837">
            <v>16422063</v>
          </cell>
          <cell r="G837">
            <v>19017902</v>
          </cell>
          <cell r="H837">
            <v>2737011</v>
          </cell>
          <cell r="I837">
            <v>3196509</v>
          </cell>
        </row>
        <row r="838">
          <cell r="A838" t="str">
            <v>1610|440002</v>
          </cell>
          <cell r="B838" t="str">
            <v>1610</v>
          </cell>
          <cell r="C838">
            <v>440002</v>
          </cell>
          <cell r="D838">
            <v>41426</v>
          </cell>
          <cell r="E838">
            <v>13294122</v>
          </cell>
          <cell r="F838">
            <v>6647061</v>
          </cell>
          <cell r="G838">
            <v>7062497</v>
          </cell>
          <cell r="H838">
            <v>1107843</v>
          </cell>
          <cell r="I838">
            <v>795238</v>
          </cell>
        </row>
        <row r="839">
          <cell r="A839" t="str">
            <v>1610|440003</v>
          </cell>
          <cell r="B839" t="str">
            <v>1610</v>
          </cell>
          <cell r="C839">
            <v>440003</v>
          </cell>
          <cell r="D839">
            <v>41426</v>
          </cell>
          <cell r="E839">
            <v>45777840</v>
          </cell>
          <cell r="F839">
            <v>22888920</v>
          </cell>
          <cell r="G839">
            <v>26077451</v>
          </cell>
          <cell r="H839">
            <v>3814820</v>
          </cell>
          <cell r="I839">
            <v>5363120</v>
          </cell>
        </row>
        <row r="840">
          <cell r="A840" t="str">
            <v>1610|446002</v>
          </cell>
          <cell r="B840" t="str">
            <v>1610</v>
          </cell>
          <cell r="C840">
            <v>446002</v>
          </cell>
          <cell r="D840">
            <v>41426</v>
          </cell>
          <cell r="E840">
            <v>13077061</v>
          </cell>
          <cell r="F840">
            <v>6538531</v>
          </cell>
          <cell r="G840">
            <v>2100000</v>
          </cell>
          <cell r="H840">
            <v>1089756</v>
          </cell>
          <cell r="I840">
            <v>350000</v>
          </cell>
        </row>
        <row r="841">
          <cell r="A841" t="str">
            <v>1610|447002</v>
          </cell>
          <cell r="B841" t="str">
            <v>1610</v>
          </cell>
          <cell r="C841">
            <v>447002</v>
          </cell>
          <cell r="D841">
            <v>41426</v>
          </cell>
          <cell r="E841">
            <v>2504613</v>
          </cell>
          <cell r="F841">
            <v>1252307</v>
          </cell>
          <cell r="G841">
            <v>1618974</v>
          </cell>
          <cell r="H841">
            <v>208718</v>
          </cell>
          <cell r="I841">
            <v>269829</v>
          </cell>
        </row>
        <row r="842">
          <cell r="A842" t="str">
            <v>1610|447003</v>
          </cell>
          <cell r="B842" t="str">
            <v>1610</v>
          </cell>
          <cell r="C842">
            <v>447003</v>
          </cell>
          <cell r="D842">
            <v>41426</v>
          </cell>
          <cell r="E842">
            <v>8624358</v>
          </cell>
          <cell r="F842">
            <v>4312179</v>
          </cell>
          <cell r="G842">
            <v>3798120</v>
          </cell>
          <cell r="H842">
            <v>718696</v>
          </cell>
          <cell r="I842">
            <v>633020</v>
          </cell>
        </row>
        <row r="843">
          <cell r="A843" t="str">
            <v>1610|447012</v>
          </cell>
          <cell r="B843" t="str">
            <v>1610</v>
          </cell>
          <cell r="C843">
            <v>447012</v>
          </cell>
          <cell r="D843">
            <v>41426</v>
          </cell>
          <cell r="E843">
            <v>5902590</v>
          </cell>
          <cell r="F843">
            <v>2951295</v>
          </cell>
          <cell r="G843">
            <v>3815406</v>
          </cell>
          <cell r="H843">
            <v>491882</v>
          </cell>
          <cell r="I843">
            <v>635901</v>
          </cell>
        </row>
        <row r="844">
          <cell r="A844" t="str">
            <v>1610|447013</v>
          </cell>
          <cell r="B844" t="str">
            <v>1610</v>
          </cell>
          <cell r="C844">
            <v>447013</v>
          </cell>
          <cell r="D844">
            <v>41426</v>
          </cell>
          <cell r="E844">
            <v>20325361</v>
          </cell>
          <cell r="F844">
            <v>10162681</v>
          </cell>
          <cell r="G844">
            <v>11188800</v>
          </cell>
          <cell r="H844">
            <v>1693781</v>
          </cell>
          <cell r="I844">
            <v>1864800</v>
          </cell>
        </row>
        <row r="845">
          <cell r="A845" t="str">
            <v>1610|447022</v>
          </cell>
          <cell r="B845" t="str">
            <v>1610</v>
          </cell>
          <cell r="C845">
            <v>447022</v>
          </cell>
          <cell r="D845">
            <v>41426</v>
          </cell>
          <cell r="E845">
            <v>250461</v>
          </cell>
          <cell r="F845">
            <v>125231</v>
          </cell>
          <cell r="G845">
            <v>276663</v>
          </cell>
          <cell r="H845">
            <v>20872</v>
          </cell>
          <cell r="I845">
            <v>46350</v>
          </cell>
        </row>
        <row r="846">
          <cell r="A846" t="str">
            <v>1610|447023</v>
          </cell>
          <cell r="B846" t="str">
            <v>1610</v>
          </cell>
          <cell r="C846">
            <v>447023</v>
          </cell>
          <cell r="D846">
            <v>41426</v>
          </cell>
          <cell r="E846">
            <v>713724</v>
          </cell>
          <cell r="F846">
            <v>356862</v>
          </cell>
          <cell r="G846">
            <v>770849</v>
          </cell>
          <cell r="H846">
            <v>59477</v>
          </cell>
          <cell r="I846">
            <v>111675</v>
          </cell>
        </row>
        <row r="847">
          <cell r="A847" t="str">
            <v>1610|448002</v>
          </cell>
          <cell r="B847" t="str">
            <v>1610</v>
          </cell>
          <cell r="C847">
            <v>448002</v>
          </cell>
          <cell r="D847">
            <v>41426</v>
          </cell>
          <cell r="E847">
            <v>11935582</v>
          </cell>
          <cell r="F847">
            <v>5967791</v>
          </cell>
          <cell r="G847">
            <v>21373480</v>
          </cell>
          <cell r="H847">
            <v>994632</v>
          </cell>
          <cell r="I847">
            <v>3281500</v>
          </cell>
        </row>
        <row r="848">
          <cell r="A848" t="str">
            <v>1610|448003</v>
          </cell>
          <cell r="B848" t="str">
            <v>1610</v>
          </cell>
          <cell r="C848">
            <v>448003</v>
          </cell>
          <cell r="D848">
            <v>41426</v>
          </cell>
          <cell r="E848">
            <v>33114983</v>
          </cell>
          <cell r="F848">
            <v>16557492</v>
          </cell>
          <cell r="G848">
            <v>12022967</v>
          </cell>
          <cell r="H848">
            <v>2759582</v>
          </cell>
          <cell r="I848">
            <v>2272400</v>
          </cell>
        </row>
        <row r="849">
          <cell r="A849" t="str">
            <v>1610|449022</v>
          </cell>
          <cell r="B849" t="str">
            <v>1610</v>
          </cell>
          <cell r="C849">
            <v>449022</v>
          </cell>
          <cell r="D849">
            <v>41426</v>
          </cell>
          <cell r="E849">
            <v>7920000</v>
          </cell>
          <cell r="F849">
            <v>3960000</v>
          </cell>
          <cell r="G849">
            <v>4231000</v>
          </cell>
          <cell r="H849">
            <v>660000</v>
          </cell>
          <cell r="I849">
            <v>716000</v>
          </cell>
        </row>
        <row r="850">
          <cell r="A850" t="str">
            <v>1610|449023</v>
          </cell>
          <cell r="B850" t="str">
            <v>1610</v>
          </cell>
          <cell r="C850">
            <v>449023</v>
          </cell>
          <cell r="D850">
            <v>41426</v>
          </cell>
          <cell r="E850">
            <v>37356000</v>
          </cell>
          <cell r="F850">
            <v>18678000</v>
          </cell>
          <cell r="G850">
            <v>23297000</v>
          </cell>
          <cell r="H850">
            <v>3113000</v>
          </cell>
          <cell r="I850">
            <v>3880000</v>
          </cell>
        </row>
        <row r="851">
          <cell r="A851" t="str">
            <v>1610|449032</v>
          </cell>
          <cell r="B851" t="str">
            <v>1610</v>
          </cell>
          <cell r="C851">
            <v>449032</v>
          </cell>
          <cell r="D851">
            <v>41426</v>
          </cell>
          <cell r="E851">
            <v>795673</v>
          </cell>
          <cell r="F851">
            <v>397837</v>
          </cell>
          <cell r="G851">
            <v>36336003</v>
          </cell>
          <cell r="H851">
            <v>66307</v>
          </cell>
          <cell r="I851">
            <v>0</v>
          </cell>
        </row>
        <row r="852">
          <cell r="A852" t="str">
            <v>1610|449050</v>
          </cell>
          <cell r="B852" t="str">
            <v>1610</v>
          </cell>
          <cell r="C852">
            <v>449050</v>
          </cell>
          <cell r="D852">
            <v>41426</v>
          </cell>
          <cell r="E852">
            <v>26907540</v>
          </cell>
          <cell r="F852">
            <v>13453770</v>
          </cell>
          <cell r="G852">
            <v>14799982</v>
          </cell>
          <cell r="H852">
            <v>2242295</v>
          </cell>
          <cell r="I852">
            <v>2466667</v>
          </cell>
        </row>
        <row r="853">
          <cell r="A853" t="str">
            <v>1610|449061</v>
          </cell>
          <cell r="B853" t="str">
            <v>1610</v>
          </cell>
          <cell r="C853">
            <v>449061</v>
          </cell>
          <cell r="D853">
            <v>41426</v>
          </cell>
          <cell r="E853">
            <v>25945424</v>
          </cell>
          <cell r="F853">
            <v>12972712</v>
          </cell>
          <cell r="G853">
            <v>10024700</v>
          </cell>
          <cell r="H853">
            <v>2162119</v>
          </cell>
          <cell r="I853">
            <v>2415900</v>
          </cell>
        </row>
        <row r="854">
          <cell r="A854" t="str">
            <v>1610|470102</v>
          </cell>
          <cell r="B854" t="str">
            <v>1610</v>
          </cell>
          <cell r="C854">
            <v>470102</v>
          </cell>
          <cell r="D854">
            <v>41426</v>
          </cell>
          <cell r="E854">
            <v>6983491</v>
          </cell>
          <cell r="F854">
            <v>3491746</v>
          </cell>
          <cell r="G854">
            <v>1624714</v>
          </cell>
          <cell r="H854">
            <v>581958</v>
          </cell>
          <cell r="I854">
            <v>216499</v>
          </cell>
        </row>
        <row r="855">
          <cell r="A855" t="str">
            <v>1610|471000</v>
          </cell>
          <cell r="B855" t="str">
            <v>1610</v>
          </cell>
          <cell r="C855">
            <v>471000</v>
          </cell>
          <cell r="D855">
            <v>41426</v>
          </cell>
          <cell r="E855">
            <v>14601165</v>
          </cell>
          <cell r="F855">
            <v>7300583</v>
          </cell>
          <cell r="G855">
            <v>1990000</v>
          </cell>
          <cell r="H855">
            <v>1216764</v>
          </cell>
          <cell r="I855">
            <v>0</v>
          </cell>
        </row>
        <row r="856">
          <cell r="A856" t="str">
            <v>1610|472000</v>
          </cell>
          <cell r="B856" t="str">
            <v>1610</v>
          </cell>
          <cell r="C856">
            <v>472000</v>
          </cell>
          <cell r="D856">
            <v>41426</v>
          </cell>
          <cell r="E856">
            <v>600000</v>
          </cell>
          <cell r="F856">
            <v>300000</v>
          </cell>
          <cell r="G856">
            <v>0</v>
          </cell>
          <cell r="H856">
            <v>50000</v>
          </cell>
          <cell r="I856">
            <v>0</v>
          </cell>
        </row>
        <row r="857">
          <cell r="A857" t="str">
            <v>1610|473000</v>
          </cell>
          <cell r="B857" t="str">
            <v>1610</v>
          </cell>
          <cell r="C857">
            <v>473000</v>
          </cell>
          <cell r="D857">
            <v>41426</v>
          </cell>
          <cell r="E857">
            <v>1237908</v>
          </cell>
          <cell r="F857">
            <v>618954</v>
          </cell>
          <cell r="G857">
            <v>0</v>
          </cell>
          <cell r="H857">
            <v>103159</v>
          </cell>
          <cell r="I857">
            <v>0</v>
          </cell>
        </row>
        <row r="858">
          <cell r="A858" t="str">
            <v>1610|473120</v>
          </cell>
          <cell r="B858" t="str">
            <v>1610</v>
          </cell>
          <cell r="C858">
            <v>473120</v>
          </cell>
          <cell r="D858">
            <v>41426</v>
          </cell>
          <cell r="E858">
            <v>9224151</v>
          </cell>
          <cell r="F858">
            <v>4612076</v>
          </cell>
          <cell r="G858">
            <v>4444757</v>
          </cell>
          <cell r="H858">
            <v>768680</v>
          </cell>
          <cell r="I858">
            <v>811530</v>
          </cell>
        </row>
        <row r="859">
          <cell r="A859" t="str">
            <v>1610|475006</v>
          </cell>
          <cell r="B859" t="str">
            <v>1610</v>
          </cell>
          <cell r="C859">
            <v>475006</v>
          </cell>
          <cell r="D859">
            <v>41426</v>
          </cell>
          <cell r="E859">
            <v>2560352</v>
          </cell>
          <cell r="F859">
            <v>1280176</v>
          </cell>
          <cell r="G859">
            <v>1138127</v>
          </cell>
          <cell r="H859">
            <v>213363</v>
          </cell>
          <cell r="I859">
            <v>189688</v>
          </cell>
        </row>
        <row r="860">
          <cell r="A860" t="str">
            <v>1610|476000</v>
          </cell>
          <cell r="B860" t="str">
            <v>1610</v>
          </cell>
          <cell r="C860">
            <v>476000</v>
          </cell>
          <cell r="D860">
            <v>41426</v>
          </cell>
          <cell r="E860">
            <v>3404371</v>
          </cell>
          <cell r="F860">
            <v>1702186</v>
          </cell>
          <cell r="G860">
            <v>1272815</v>
          </cell>
          <cell r="H860">
            <v>283698</v>
          </cell>
          <cell r="I860">
            <v>5</v>
          </cell>
        </row>
        <row r="861">
          <cell r="A861" t="str">
            <v>1610|476001</v>
          </cell>
          <cell r="B861" t="str">
            <v>1610</v>
          </cell>
          <cell r="C861">
            <v>476001</v>
          </cell>
          <cell r="D861">
            <v>41426</v>
          </cell>
          <cell r="E861">
            <v>43901</v>
          </cell>
          <cell r="F861">
            <v>21951</v>
          </cell>
          <cell r="G861">
            <v>0</v>
          </cell>
          <cell r="H861">
            <v>3659</v>
          </cell>
          <cell r="I861">
            <v>0</v>
          </cell>
        </row>
        <row r="862">
          <cell r="A862" t="str">
            <v>1610|476220</v>
          </cell>
          <cell r="B862" t="str">
            <v>1610</v>
          </cell>
          <cell r="C862">
            <v>476220</v>
          </cell>
          <cell r="D862">
            <v>41426</v>
          </cell>
          <cell r="E862">
            <v>203353</v>
          </cell>
          <cell r="F862">
            <v>101677</v>
          </cell>
          <cell r="G862">
            <v>83680</v>
          </cell>
          <cell r="H862">
            <v>16947</v>
          </cell>
          <cell r="I862">
            <v>83680</v>
          </cell>
        </row>
        <row r="863">
          <cell r="A863" t="str">
            <v>1700|211100</v>
          </cell>
          <cell r="B863" t="str">
            <v>1700</v>
          </cell>
          <cell r="C863">
            <v>211100</v>
          </cell>
          <cell r="D863">
            <v>41426</v>
          </cell>
          <cell r="E863">
            <v>389595</v>
          </cell>
          <cell r="F863">
            <v>194798</v>
          </cell>
          <cell r="G863">
            <v>4672757</v>
          </cell>
          <cell r="H863">
            <v>32467</v>
          </cell>
          <cell r="I863">
            <v>778795</v>
          </cell>
        </row>
        <row r="864">
          <cell r="A864" t="str">
            <v>1700|420002</v>
          </cell>
          <cell r="B864" t="str">
            <v>1700</v>
          </cell>
          <cell r="C864">
            <v>420002</v>
          </cell>
          <cell r="D864">
            <v>41426</v>
          </cell>
          <cell r="E864">
            <v>79764732</v>
          </cell>
          <cell r="F864">
            <v>39882366</v>
          </cell>
          <cell r="G864">
            <v>86940267</v>
          </cell>
          <cell r="H864">
            <v>6647061</v>
          </cell>
          <cell r="I864">
            <v>11571500</v>
          </cell>
        </row>
        <row r="865">
          <cell r="A865" t="str">
            <v>1700|420003</v>
          </cell>
          <cell r="B865" t="str">
            <v>1700</v>
          </cell>
          <cell r="C865">
            <v>420003</v>
          </cell>
          <cell r="D865">
            <v>41426</v>
          </cell>
          <cell r="E865">
            <v>887559597</v>
          </cell>
          <cell r="F865">
            <v>443779799</v>
          </cell>
          <cell r="G865">
            <v>273649857</v>
          </cell>
          <cell r="H865">
            <v>73963300</v>
          </cell>
          <cell r="I865">
            <v>46118034</v>
          </cell>
        </row>
        <row r="866">
          <cell r="A866" t="str">
            <v>1700|422002</v>
          </cell>
          <cell r="B866" t="str">
            <v>1700</v>
          </cell>
          <cell r="C866">
            <v>422002</v>
          </cell>
          <cell r="D866">
            <v>41426</v>
          </cell>
          <cell r="E866">
            <v>440640</v>
          </cell>
          <cell r="F866">
            <v>220320</v>
          </cell>
          <cell r="G866">
            <v>61950</v>
          </cell>
          <cell r="H866">
            <v>36720</v>
          </cell>
          <cell r="I866">
            <v>0</v>
          </cell>
        </row>
        <row r="867">
          <cell r="A867" t="str">
            <v>1700|431002</v>
          </cell>
          <cell r="B867" t="str">
            <v>1700</v>
          </cell>
          <cell r="C867">
            <v>431002</v>
          </cell>
          <cell r="D867">
            <v>41426</v>
          </cell>
          <cell r="E867">
            <v>1082158</v>
          </cell>
          <cell r="F867">
            <v>541079</v>
          </cell>
          <cell r="G867">
            <v>540778</v>
          </cell>
          <cell r="H867">
            <v>90180</v>
          </cell>
          <cell r="I867">
            <v>0</v>
          </cell>
        </row>
        <row r="868">
          <cell r="A868" t="str">
            <v>1700|434013</v>
          </cell>
          <cell r="B868" t="str">
            <v>1700</v>
          </cell>
          <cell r="C868">
            <v>434013</v>
          </cell>
          <cell r="D868">
            <v>41426</v>
          </cell>
          <cell r="E868">
            <v>16108191</v>
          </cell>
          <cell r="F868">
            <v>8054096</v>
          </cell>
          <cell r="G868">
            <v>7500804</v>
          </cell>
          <cell r="H868">
            <v>1342350</v>
          </cell>
          <cell r="I868">
            <v>1200976</v>
          </cell>
        </row>
        <row r="869">
          <cell r="A869" t="str">
            <v>1700|435002</v>
          </cell>
          <cell r="B869" t="str">
            <v>1700</v>
          </cell>
          <cell r="C869">
            <v>435002</v>
          </cell>
          <cell r="D869">
            <v>41426</v>
          </cell>
          <cell r="E869">
            <v>13626475</v>
          </cell>
          <cell r="F869">
            <v>6813238</v>
          </cell>
          <cell r="G869">
            <v>3162000</v>
          </cell>
          <cell r="H869">
            <v>1135540</v>
          </cell>
          <cell r="I869">
            <v>0</v>
          </cell>
        </row>
        <row r="870">
          <cell r="A870" t="str">
            <v>1700|435003</v>
          </cell>
          <cell r="B870" t="str">
            <v>1700</v>
          </cell>
          <cell r="C870">
            <v>435003</v>
          </cell>
          <cell r="D870">
            <v>41426</v>
          </cell>
          <cell r="E870">
            <v>123444950</v>
          </cell>
          <cell r="F870">
            <v>61722475</v>
          </cell>
          <cell r="G870">
            <v>102162500</v>
          </cell>
          <cell r="H870">
            <v>10287079</v>
          </cell>
          <cell r="I870">
            <v>0</v>
          </cell>
        </row>
        <row r="871">
          <cell r="A871" t="str">
            <v>1700|439003</v>
          </cell>
          <cell r="B871" t="str">
            <v>1700</v>
          </cell>
          <cell r="C871">
            <v>439003</v>
          </cell>
          <cell r="D871">
            <v>41426</v>
          </cell>
          <cell r="E871">
            <v>118349638</v>
          </cell>
          <cell r="F871">
            <v>59174819</v>
          </cell>
          <cell r="G871">
            <v>40146216</v>
          </cell>
          <cell r="H871">
            <v>9862470</v>
          </cell>
          <cell r="I871">
            <v>6445211</v>
          </cell>
        </row>
        <row r="872">
          <cell r="A872" t="str">
            <v>1700|439008</v>
          </cell>
          <cell r="B872" t="str">
            <v>1700</v>
          </cell>
          <cell r="C872">
            <v>439008</v>
          </cell>
          <cell r="D872">
            <v>41426</v>
          </cell>
          <cell r="E872">
            <v>16422063</v>
          </cell>
          <cell r="F872">
            <v>8211032</v>
          </cell>
          <cell r="G872">
            <v>9508951</v>
          </cell>
          <cell r="H872">
            <v>1368506</v>
          </cell>
          <cell r="I872">
            <v>1598254</v>
          </cell>
        </row>
        <row r="873">
          <cell r="A873" t="str">
            <v>1700|439202</v>
          </cell>
          <cell r="B873" t="str">
            <v>1700</v>
          </cell>
          <cell r="C873">
            <v>439202</v>
          </cell>
          <cell r="D873">
            <v>41426</v>
          </cell>
          <cell r="E873">
            <v>5760000</v>
          </cell>
          <cell r="F873">
            <v>2880000</v>
          </cell>
          <cell r="G873">
            <v>5250000</v>
          </cell>
          <cell r="H873">
            <v>480000</v>
          </cell>
          <cell r="I873">
            <v>500000</v>
          </cell>
        </row>
        <row r="874">
          <cell r="A874" t="str">
            <v>1700|439203</v>
          </cell>
          <cell r="B874" t="str">
            <v>1700</v>
          </cell>
          <cell r="C874">
            <v>439203</v>
          </cell>
          <cell r="D874">
            <v>41426</v>
          </cell>
          <cell r="E874">
            <v>11520000</v>
          </cell>
          <cell r="F874">
            <v>5760000</v>
          </cell>
          <cell r="G874">
            <v>6025000</v>
          </cell>
          <cell r="H874">
            <v>960000</v>
          </cell>
          <cell r="I874">
            <v>1000000</v>
          </cell>
        </row>
        <row r="875">
          <cell r="A875" t="str">
            <v>1700|440002</v>
          </cell>
          <cell r="B875" t="str">
            <v>1700</v>
          </cell>
          <cell r="C875">
            <v>440002</v>
          </cell>
          <cell r="D875">
            <v>41426</v>
          </cell>
          <cell r="E875">
            <v>6647061</v>
          </cell>
          <cell r="F875">
            <v>3323531</v>
          </cell>
          <cell r="G875">
            <v>3531249</v>
          </cell>
          <cell r="H875">
            <v>553922</v>
          </cell>
          <cell r="I875">
            <v>397619</v>
          </cell>
        </row>
        <row r="876">
          <cell r="A876" t="str">
            <v>1700|440003</v>
          </cell>
          <cell r="B876" t="str">
            <v>1700</v>
          </cell>
          <cell r="C876">
            <v>440003</v>
          </cell>
          <cell r="D876">
            <v>41426</v>
          </cell>
          <cell r="E876">
            <v>82296633</v>
          </cell>
          <cell r="F876">
            <v>41148317</v>
          </cell>
          <cell r="G876">
            <v>26651462</v>
          </cell>
          <cell r="H876">
            <v>6858053</v>
          </cell>
          <cell r="I876">
            <v>5481172</v>
          </cell>
        </row>
        <row r="877">
          <cell r="A877" t="str">
            <v>1700|446002</v>
          </cell>
          <cell r="B877" t="str">
            <v>1700</v>
          </cell>
          <cell r="C877">
            <v>446002</v>
          </cell>
          <cell r="D877">
            <v>41426</v>
          </cell>
          <cell r="E877">
            <v>3323530</v>
          </cell>
          <cell r="F877">
            <v>1661765</v>
          </cell>
          <cell r="G877">
            <v>0</v>
          </cell>
          <cell r="H877">
            <v>276961</v>
          </cell>
          <cell r="I877">
            <v>0</v>
          </cell>
        </row>
        <row r="878">
          <cell r="A878" t="str">
            <v>1700|447002</v>
          </cell>
          <cell r="B878" t="str">
            <v>1700</v>
          </cell>
          <cell r="C878">
            <v>447002</v>
          </cell>
          <cell r="D878">
            <v>41426</v>
          </cell>
          <cell r="E878">
            <v>1252306</v>
          </cell>
          <cell r="F878">
            <v>626153</v>
          </cell>
          <cell r="G878">
            <v>1090038</v>
          </cell>
          <cell r="H878">
            <v>104359</v>
          </cell>
          <cell r="I878">
            <v>181673</v>
          </cell>
        </row>
        <row r="879">
          <cell r="A879" t="str">
            <v>1700|447003</v>
          </cell>
          <cell r="B879" t="str">
            <v>1700</v>
          </cell>
          <cell r="C879">
            <v>447003</v>
          </cell>
          <cell r="D879">
            <v>41426</v>
          </cell>
          <cell r="E879">
            <v>15504999</v>
          </cell>
          <cell r="F879">
            <v>7752500</v>
          </cell>
          <cell r="G879">
            <v>3070914</v>
          </cell>
          <cell r="H879">
            <v>1292084</v>
          </cell>
          <cell r="I879">
            <v>511819</v>
          </cell>
        </row>
        <row r="880">
          <cell r="A880" t="str">
            <v>1700|447012</v>
          </cell>
          <cell r="B880" t="str">
            <v>1700</v>
          </cell>
          <cell r="C880">
            <v>447012</v>
          </cell>
          <cell r="D880">
            <v>41426</v>
          </cell>
          <cell r="E880">
            <v>2951295</v>
          </cell>
          <cell r="F880">
            <v>1475648</v>
          </cell>
          <cell r="G880">
            <v>2568876</v>
          </cell>
          <cell r="H880">
            <v>245942</v>
          </cell>
          <cell r="I880">
            <v>428146</v>
          </cell>
        </row>
        <row r="881">
          <cell r="A881" t="str">
            <v>1700|447013</v>
          </cell>
          <cell r="B881" t="str">
            <v>1700</v>
          </cell>
          <cell r="C881">
            <v>447013</v>
          </cell>
          <cell r="D881">
            <v>41426</v>
          </cell>
          <cell r="E881">
            <v>36539705</v>
          </cell>
          <cell r="F881">
            <v>18269853</v>
          </cell>
          <cell r="G881">
            <v>9310572</v>
          </cell>
          <cell r="H881">
            <v>3044976</v>
          </cell>
          <cell r="I881">
            <v>1551762</v>
          </cell>
        </row>
        <row r="882">
          <cell r="A882" t="str">
            <v>1700|447022</v>
          </cell>
          <cell r="B882" t="str">
            <v>1700</v>
          </cell>
          <cell r="C882">
            <v>447022</v>
          </cell>
          <cell r="D882">
            <v>41426</v>
          </cell>
          <cell r="E882">
            <v>125231</v>
          </cell>
          <cell r="F882">
            <v>62616</v>
          </cell>
          <cell r="G882">
            <v>190575</v>
          </cell>
          <cell r="H882">
            <v>10436</v>
          </cell>
          <cell r="I882">
            <v>32025</v>
          </cell>
        </row>
        <row r="883">
          <cell r="A883" t="str">
            <v>1700|447023</v>
          </cell>
          <cell r="B883" t="str">
            <v>1700</v>
          </cell>
          <cell r="C883">
            <v>447023</v>
          </cell>
          <cell r="D883">
            <v>41426</v>
          </cell>
          <cell r="E883">
            <v>1283143</v>
          </cell>
          <cell r="F883">
            <v>641572</v>
          </cell>
          <cell r="G883">
            <v>951366</v>
          </cell>
          <cell r="H883">
            <v>106929</v>
          </cell>
          <cell r="I883">
            <v>158575</v>
          </cell>
        </row>
        <row r="884">
          <cell r="A884" t="str">
            <v>1700|448002</v>
          </cell>
          <cell r="B884" t="str">
            <v>1700</v>
          </cell>
          <cell r="C884">
            <v>448002</v>
          </cell>
          <cell r="D884">
            <v>41426</v>
          </cell>
          <cell r="E884">
            <v>5967791</v>
          </cell>
          <cell r="F884">
            <v>2983896</v>
          </cell>
          <cell r="G884">
            <v>5647403</v>
          </cell>
          <cell r="H884">
            <v>497316</v>
          </cell>
          <cell r="I884">
            <v>2621700</v>
          </cell>
        </row>
        <row r="885">
          <cell r="A885" t="str">
            <v>1700|448003</v>
          </cell>
          <cell r="B885" t="str">
            <v>1700</v>
          </cell>
          <cell r="C885">
            <v>448003</v>
          </cell>
          <cell r="D885">
            <v>41426</v>
          </cell>
          <cell r="E885">
            <v>52921017</v>
          </cell>
          <cell r="F885">
            <v>26460509</v>
          </cell>
          <cell r="G885">
            <v>6216405</v>
          </cell>
          <cell r="H885">
            <v>4410085</v>
          </cell>
          <cell r="I885">
            <v>0</v>
          </cell>
        </row>
        <row r="886">
          <cell r="A886" t="str">
            <v>1700|449022</v>
          </cell>
          <cell r="B886" t="str">
            <v>1700</v>
          </cell>
          <cell r="C886">
            <v>449022</v>
          </cell>
          <cell r="D886">
            <v>41426</v>
          </cell>
          <cell r="E886">
            <v>3960000</v>
          </cell>
          <cell r="F886">
            <v>1980000</v>
          </cell>
          <cell r="G886">
            <v>3783000</v>
          </cell>
          <cell r="H886">
            <v>330000</v>
          </cell>
          <cell r="I886">
            <v>380000</v>
          </cell>
        </row>
        <row r="887">
          <cell r="A887" t="str">
            <v>1700|449023</v>
          </cell>
          <cell r="B887" t="str">
            <v>1700</v>
          </cell>
          <cell r="C887">
            <v>449023</v>
          </cell>
          <cell r="D887">
            <v>41426</v>
          </cell>
          <cell r="E887">
            <v>3960000</v>
          </cell>
          <cell r="F887">
            <v>1980000</v>
          </cell>
          <cell r="G887">
            <v>2023000</v>
          </cell>
          <cell r="H887">
            <v>330000</v>
          </cell>
          <cell r="I887">
            <v>340000</v>
          </cell>
        </row>
        <row r="888">
          <cell r="A888" t="str">
            <v>1700|449040</v>
          </cell>
          <cell r="B888" t="str">
            <v>1700</v>
          </cell>
          <cell r="C888">
            <v>449040</v>
          </cell>
          <cell r="D888">
            <v>41426</v>
          </cell>
          <cell r="E888">
            <v>2216036</v>
          </cell>
          <cell r="F888">
            <v>1108018</v>
          </cell>
          <cell r="G888">
            <v>0</v>
          </cell>
          <cell r="H888">
            <v>184670</v>
          </cell>
          <cell r="I888">
            <v>0</v>
          </cell>
        </row>
        <row r="889">
          <cell r="A889" t="str">
            <v>1700|449061</v>
          </cell>
          <cell r="B889" t="str">
            <v>1700</v>
          </cell>
          <cell r="C889">
            <v>449061</v>
          </cell>
          <cell r="D889">
            <v>41426</v>
          </cell>
          <cell r="E889">
            <v>14288007</v>
          </cell>
          <cell r="F889">
            <v>7144004</v>
          </cell>
          <cell r="G889">
            <v>6800600</v>
          </cell>
          <cell r="H889">
            <v>1190668</v>
          </cell>
          <cell r="I889">
            <v>1489500</v>
          </cell>
        </row>
        <row r="890">
          <cell r="A890" t="str">
            <v>1700|471000</v>
          </cell>
          <cell r="B890" t="str">
            <v>1700</v>
          </cell>
          <cell r="C890">
            <v>471000</v>
          </cell>
          <cell r="D890">
            <v>41426</v>
          </cell>
          <cell r="E890">
            <v>1565882</v>
          </cell>
          <cell r="F890">
            <v>782941</v>
          </cell>
          <cell r="G890">
            <v>0</v>
          </cell>
          <cell r="H890">
            <v>130490</v>
          </cell>
          <cell r="I890">
            <v>0</v>
          </cell>
        </row>
        <row r="891">
          <cell r="A891" t="str">
            <v>1700|472000</v>
          </cell>
          <cell r="B891" t="str">
            <v>1700</v>
          </cell>
          <cell r="C891">
            <v>472000</v>
          </cell>
          <cell r="D891">
            <v>41426</v>
          </cell>
          <cell r="E891">
            <v>0</v>
          </cell>
          <cell r="F891">
            <v>0</v>
          </cell>
          <cell r="G891">
            <v>-4813113</v>
          </cell>
          <cell r="H891">
            <v>0</v>
          </cell>
          <cell r="I891">
            <v>-4874993</v>
          </cell>
        </row>
        <row r="892">
          <cell r="A892" t="str">
            <v>1700|473000</v>
          </cell>
          <cell r="B892" t="str">
            <v>1700</v>
          </cell>
          <cell r="C892">
            <v>473000</v>
          </cell>
          <cell r="D892">
            <v>41426</v>
          </cell>
          <cell r="E892">
            <v>621740</v>
          </cell>
          <cell r="F892">
            <v>310870</v>
          </cell>
          <cell r="G892">
            <v>486000</v>
          </cell>
          <cell r="H892">
            <v>51812</v>
          </cell>
          <cell r="I892">
            <v>366000</v>
          </cell>
        </row>
        <row r="893">
          <cell r="A893" t="str">
            <v>1700|473120</v>
          </cell>
          <cell r="B893" t="str">
            <v>1700</v>
          </cell>
          <cell r="C893">
            <v>473120</v>
          </cell>
          <cell r="D893">
            <v>41426</v>
          </cell>
          <cell r="E893">
            <v>16088449</v>
          </cell>
          <cell r="F893">
            <v>8044225</v>
          </cell>
          <cell r="G893">
            <v>16095836</v>
          </cell>
          <cell r="H893">
            <v>1340705</v>
          </cell>
          <cell r="I893">
            <v>2863259</v>
          </cell>
        </row>
        <row r="894">
          <cell r="A894" t="str">
            <v>1700|474100</v>
          </cell>
          <cell r="B894" t="str">
            <v>1700</v>
          </cell>
          <cell r="C894">
            <v>474100</v>
          </cell>
          <cell r="D894">
            <v>41426</v>
          </cell>
          <cell r="E894">
            <v>93330329</v>
          </cell>
          <cell r="F894">
            <v>46665165</v>
          </cell>
          <cell r="G894">
            <v>-14050603</v>
          </cell>
          <cell r="H894">
            <v>7777528</v>
          </cell>
          <cell r="I894">
            <v>11252388</v>
          </cell>
        </row>
        <row r="895">
          <cell r="A895" t="str">
            <v>1700|475004</v>
          </cell>
          <cell r="B895" t="str">
            <v>1700</v>
          </cell>
          <cell r="C895">
            <v>475004</v>
          </cell>
          <cell r="D895">
            <v>41426</v>
          </cell>
          <cell r="E895">
            <v>24758286</v>
          </cell>
          <cell r="F895">
            <v>12379143</v>
          </cell>
          <cell r="G895">
            <v>15312658</v>
          </cell>
          <cell r="H895">
            <v>2063190</v>
          </cell>
          <cell r="I895">
            <v>1660000</v>
          </cell>
        </row>
        <row r="896">
          <cell r="A896" t="str">
            <v>1700|475006</v>
          </cell>
          <cell r="B896" t="str">
            <v>1700</v>
          </cell>
          <cell r="C896">
            <v>475006</v>
          </cell>
          <cell r="D896">
            <v>41426</v>
          </cell>
          <cell r="E896">
            <v>5223416</v>
          </cell>
          <cell r="F896">
            <v>2611708</v>
          </cell>
          <cell r="G896">
            <v>5026873</v>
          </cell>
          <cell r="H896">
            <v>435285</v>
          </cell>
          <cell r="I896">
            <v>939312</v>
          </cell>
        </row>
        <row r="897">
          <cell r="A897" t="str">
            <v>1700|476000</v>
          </cell>
          <cell r="B897" t="str">
            <v>1700</v>
          </cell>
          <cell r="C897">
            <v>476000</v>
          </cell>
          <cell r="D897">
            <v>41426</v>
          </cell>
          <cell r="E897">
            <v>3445764</v>
          </cell>
          <cell r="F897">
            <v>1722882</v>
          </cell>
          <cell r="G897">
            <v>356750</v>
          </cell>
          <cell r="H897">
            <v>287147</v>
          </cell>
          <cell r="I897">
            <v>47000</v>
          </cell>
        </row>
        <row r="898">
          <cell r="A898" t="str">
            <v>1700|476001</v>
          </cell>
          <cell r="B898" t="str">
            <v>1700</v>
          </cell>
          <cell r="C898">
            <v>476001</v>
          </cell>
          <cell r="D898">
            <v>41426</v>
          </cell>
          <cell r="E898">
            <v>716275</v>
          </cell>
          <cell r="F898">
            <v>358138</v>
          </cell>
          <cell r="G898">
            <v>372621</v>
          </cell>
          <cell r="H898">
            <v>59690</v>
          </cell>
          <cell r="I898">
            <v>0</v>
          </cell>
        </row>
        <row r="899">
          <cell r="A899" t="str">
            <v>1700|476201</v>
          </cell>
          <cell r="B899" t="str">
            <v>1700</v>
          </cell>
          <cell r="C899">
            <v>476201</v>
          </cell>
          <cell r="D899">
            <v>41426</v>
          </cell>
          <cell r="E899">
            <v>20202569</v>
          </cell>
          <cell r="F899">
            <v>10101285</v>
          </cell>
          <cell r="G899">
            <v>-6461155</v>
          </cell>
          <cell r="H899">
            <v>1683548</v>
          </cell>
          <cell r="I899">
            <v>-405629755</v>
          </cell>
        </row>
        <row r="900">
          <cell r="A900" t="str">
            <v>1700|476900</v>
          </cell>
          <cell r="B900" t="str">
            <v>1700</v>
          </cell>
          <cell r="C900">
            <v>476900</v>
          </cell>
          <cell r="D900">
            <v>41426</v>
          </cell>
          <cell r="E900">
            <v>4855895</v>
          </cell>
          <cell r="F900">
            <v>2427948</v>
          </cell>
          <cell r="G900">
            <v>948168</v>
          </cell>
          <cell r="H900">
            <v>404658</v>
          </cell>
          <cell r="I900">
            <v>64500</v>
          </cell>
        </row>
        <row r="901">
          <cell r="A901" t="str">
            <v>2100|211100</v>
          </cell>
          <cell r="B901" t="str">
            <v>2100</v>
          </cell>
          <cell r="C901">
            <v>211100</v>
          </cell>
          <cell r="D901">
            <v>41426</v>
          </cell>
          <cell r="E901">
            <v>42707747</v>
          </cell>
          <cell r="F901">
            <v>21353874</v>
          </cell>
          <cell r="G901">
            <v>41203845</v>
          </cell>
          <cell r="H901">
            <v>3558979</v>
          </cell>
          <cell r="I901">
            <v>6867326</v>
          </cell>
        </row>
        <row r="902">
          <cell r="A902" t="str">
            <v>2100|246000</v>
          </cell>
          <cell r="B902" t="str">
            <v>2100</v>
          </cell>
          <cell r="C902">
            <v>246000</v>
          </cell>
          <cell r="D902">
            <v>41426</v>
          </cell>
          <cell r="E902">
            <v>8000000</v>
          </cell>
          <cell r="F902">
            <v>4000000</v>
          </cell>
          <cell r="G902">
            <v>0</v>
          </cell>
          <cell r="H902">
            <v>666667</v>
          </cell>
          <cell r="I902">
            <v>0</v>
          </cell>
        </row>
        <row r="903">
          <cell r="A903" t="str">
            <v>2100|246006</v>
          </cell>
          <cell r="B903" t="str">
            <v>2100</v>
          </cell>
          <cell r="C903">
            <v>246006</v>
          </cell>
          <cell r="D903">
            <v>41426</v>
          </cell>
          <cell r="E903">
            <v>13543582</v>
          </cell>
          <cell r="F903">
            <v>6771791</v>
          </cell>
          <cell r="G903">
            <v>5850000</v>
          </cell>
          <cell r="H903">
            <v>1128632</v>
          </cell>
          <cell r="I903">
            <v>0</v>
          </cell>
        </row>
        <row r="904">
          <cell r="A904" t="str">
            <v>2100|400040</v>
          </cell>
          <cell r="B904" t="str">
            <v>2100</v>
          </cell>
          <cell r="C904">
            <v>400040</v>
          </cell>
          <cell r="D904">
            <v>41426</v>
          </cell>
          <cell r="E904">
            <v>98800</v>
          </cell>
          <cell r="F904">
            <v>49400</v>
          </cell>
          <cell r="G904">
            <v>0</v>
          </cell>
          <cell r="H904">
            <v>8233</v>
          </cell>
          <cell r="I904">
            <v>0</v>
          </cell>
        </row>
        <row r="905">
          <cell r="A905" t="str">
            <v>2100|420003</v>
          </cell>
          <cell r="B905" t="str">
            <v>2100</v>
          </cell>
          <cell r="C905">
            <v>420003</v>
          </cell>
          <cell r="D905">
            <v>41426</v>
          </cell>
          <cell r="E905">
            <v>567233148</v>
          </cell>
          <cell r="F905">
            <v>283616574</v>
          </cell>
          <cell r="G905">
            <v>112630429</v>
          </cell>
          <cell r="H905">
            <v>47269429</v>
          </cell>
          <cell r="I905">
            <v>33194879</v>
          </cell>
        </row>
        <row r="906">
          <cell r="A906" t="str">
            <v>2100|422003</v>
          </cell>
          <cell r="B906" t="str">
            <v>2100</v>
          </cell>
          <cell r="C906">
            <v>422003</v>
          </cell>
          <cell r="D906">
            <v>41426</v>
          </cell>
          <cell r="E906">
            <v>0</v>
          </cell>
          <cell r="F906">
            <v>0</v>
          </cell>
          <cell r="G906">
            <v>238800</v>
          </cell>
          <cell r="H906">
            <v>0</v>
          </cell>
          <cell r="I906">
            <v>0</v>
          </cell>
        </row>
        <row r="907">
          <cell r="A907" t="str">
            <v>2100|434013</v>
          </cell>
          <cell r="B907" t="str">
            <v>2100</v>
          </cell>
          <cell r="C907">
            <v>434013</v>
          </cell>
          <cell r="D907">
            <v>41426</v>
          </cell>
          <cell r="E907">
            <v>0</v>
          </cell>
          <cell r="F907">
            <v>0</v>
          </cell>
          <cell r="G907">
            <v>8705757</v>
          </cell>
          <cell r="H907">
            <v>0</v>
          </cell>
          <cell r="I907">
            <v>1801464</v>
          </cell>
        </row>
        <row r="908">
          <cell r="A908" t="str">
            <v>2100|435003</v>
          </cell>
          <cell r="B908" t="str">
            <v>2100</v>
          </cell>
          <cell r="C908">
            <v>435003</v>
          </cell>
          <cell r="D908">
            <v>41426</v>
          </cell>
          <cell r="E908">
            <v>70904143</v>
          </cell>
          <cell r="F908">
            <v>35452072</v>
          </cell>
          <cell r="G908">
            <v>157228000</v>
          </cell>
          <cell r="H908">
            <v>5908679</v>
          </cell>
          <cell r="I908">
            <v>0</v>
          </cell>
        </row>
        <row r="909">
          <cell r="A909" t="str">
            <v>2100|439003</v>
          </cell>
          <cell r="B909" t="str">
            <v>2100</v>
          </cell>
          <cell r="C909">
            <v>439003</v>
          </cell>
          <cell r="D909">
            <v>41426</v>
          </cell>
          <cell r="E909">
            <v>84422741</v>
          </cell>
          <cell r="F909">
            <v>42211371</v>
          </cell>
          <cell r="G909">
            <v>46612768</v>
          </cell>
          <cell r="H909">
            <v>7035229</v>
          </cell>
          <cell r="I909">
            <v>9667816</v>
          </cell>
        </row>
        <row r="910">
          <cell r="A910" t="str">
            <v>2100|440003</v>
          </cell>
          <cell r="B910" t="str">
            <v>2100</v>
          </cell>
          <cell r="C910">
            <v>440003</v>
          </cell>
          <cell r="D910">
            <v>41426</v>
          </cell>
          <cell r="E910">
            <v>47269429</v>
          </cell>
          <cell r="F910">
            <v>23634715</v>
          </cell>
          <cell r="G910">
            <v>11635135</v>
          </cell>
          <cell r="H910">
            <v>3939120</v>
          </cell>
          <cell r="I910">
            <v>3945243</v>
          </cell>
        </row>
        <row r="911">
          <cell r="A911" t="str">
            <v>2100|447003</v>
          </cell>
          <cell r="B911" t="str">
            <v>2100</v>
          </cell>
          <cell r="C911">
            <v>447003</v>
          </cell>
          <cell r="D911">
            <v>41426</v>
          </cell>
          <cell r="E911">
            <v>8905528</v>
          </cell>
          <cell r="F911">
            <v>4452764</v>
          </cell>
          <cell r="G911">
            <v>3337070</v>
          </cell>
          <cell r="H911">
            <v>742127</v>
          </cell>
          <cell r="I911">
            <v>817845</v>
          </cell>
        </row>
        <row r="912">
          <cell r="A912" t="str">
            <v>2100|447013</v>
          </cell>
          <cell r="B912" t="str">
            <v>2100</v>
          </cell>
          <cell r="C912">
            <v>447013</v>
          </cell>
          <cell r="D912">
            <v>41426</v>
          </cell>
          <cell r="E912">
            <v>20987626</v>
          </cell>
          <cell r="F912">
            <v>10493813</v>
          </cell>
          <cell r="G912">
            <v>15589358</v>
          </cell>
          <cell r="H912">
            <v>1748969</v>
          </cell>
          <cell r="I912">
            <v>3214893</v>
          </cell>
        </row>
        <row r="913">
          <cell r="A913" t="str">
            <v>2100|447023</v>
          </cell>
          <cell r="B913" t="str">
            <v>2100</v>
          </cell>
          <cell r="C913">
            <v>447023</v>
          </cell>
          <cell r="D913">
            <v>41426</v>
          </cell>
          <cell r="E913">
            <v>736993</v>
          </cell>
          <cell r="F913">
            <v>368497</v>
          </cell>
          <cell r="G913">
            <v>1013294</v>
          </cell>
          <cell r="H913">
            <v>61417</v>
          </cell>
          <cell r="I913">
            <v>214950</v>
          </cell>
        </row>
        <row r="914">
          <cell r="A914" t="str">
            <v>2100|448001</v>
          </cell>
          <cell r="B914" t="str">
            <v>2100</v>
          </cell>
          <cell r="C914">
            <v>448001</v>
          </cell>
          <cell r="D914">
            <v>41426</v>
          </cell>
          <cell r="E914">
            <v>0</v>
          </cell>
          <cell r="F914">
            <v>0</v>
          </cell>
          <cell r="G914">
            <v>37446476</v>
          </cell>
          <cell r="H914">
            <v>0</v>
          </cell>
          <cell r="I914">
            <v>14136942</v>
          </cell>
        </row>
        <row r="915">
          <cell r="A915" t="str">
            <v>2100|448002</v>
          </cell>
          <cell r="B915" t="str">
            <v>2100</v>
          </cell>
          <cell r="C915">
            <v>448002</v>
          </cell>
          <cell r="D915">
            <v>41426</v>
          </cell>
          <cell r="E915">
            <v>5967791</v>
          </cell>
          <cell r="F915">
            <v>2983896</v>
          </cell>
          <cell r="G915">
            <v>33721741</v>
          </cell>
          <cell r="H915">
            <v>497316</v>
          </cell>
          <cell r="I915">
            <v>8562026</v>
          </cell>
        </row>
        <row r="916">
          <cell r="A916" t="str">
            <v>2100|448003</v>
          </cell>
          <cell r="B916" t="str">
            <v>2100</v>
          </cell>
          <cell r="C916">
            <v>448003</v>
          </cell>
          <cell r="D916">
            <v>41426</v>
          </cell>
          <cell r="E916">
            <v>34173559</v>
          </cell>
          <cell r="F916">
            <v>17086780</v>
          </cell>
          <cell r="G916">
            <v>88077880</v>
          </cell>
          <cell r="H916">
            <v>2847797</v>
          </cell>
          <cell r="I916">
            <v>0</v>
          </cell>
        </row>
        <row r="917">
          <cell r="A917" t="str">
            <v>2100|449023</v>
          </cell>
          <cell r="B917" t="str">
            <v>2100</v>
          </cell>
          <cell r="C917">
            <v>449023</v>
          </cell>
          <cell r="D917">
            <v>41426</v>
          </cell>
          <cell r="E917">
            <v>3960000</v>
          </cell>
          <cell r="F917">
            <v>1980000</v>
          </cell>
          <cell r="G917">
            <v>7823000</v>
          </cell>
          <cell r="H917">
            <v>330000</v>
          </cell>
          <cell r="I917">
            <v>3240000</v>
          </cell>
        </row>
        <row r="918">
          <cell r="A918" t="str">
            <v>2100|449040</v>
          </cell>
          <cell r="B918" t="str">
            <v>2100</v>
          </cell>
          <cell r="C918">
            <v>449040</v>
          </cell>
          <cell r="D918">
            <v>41426</v>
          </cell>
          <cell r="E918">
            <v>2713900</v>
          </cell>
          <cell r="F918">
            <v>1356950</v>
          </cell>
          <cell r="G918">
            <v>200000</v>
          </cell>
          <cell r="H918">
            <v>226158</v>
          </cell>
          <cell r="I918">
            <v>200000</v>
          </cell>
        </row>
        <row r="919">
          <cell r="A919" t="str">
            <v>2100|449050</v>
          </cell>
          <cell r="B919" t="str">
            <v>2100</v>
          </cell>
          <cell r="C919">
            <v>449050</v>
          </cell>
          <cell r="D919">
            <v>41426</v>
          </cell>
          <cell r="E919">
            <v>6890542</v>
          </cell>
          <cell r="F919">
            <v>3445271</v>
          </cell>
          <cell r="G919">
            <v>0</v>
          </cell>
          <cell r="H919">
            <v>574212</v>
          </cell>
          <cell r="I919">
            <v>0</v>
          </cell>
        </row>
        <row r="920">
          <cell r="A920" t="str">
            <v>2100|449061</v>
          </cell>
          <cell r="B920" t="str">
            <v>2100</v>
          </cell>
          <cell r="C920">
            <v>449061</v>
          </cell>
          <cell r="D920">
            <v>41426</v>
          </cell>
          <cell r="E920">
            <v>16172863</v>
          </cell>
          <cell r="F920">
            <v>8086432</v>
          </cell>
          <cell r="G920">
            <v>7083350</v>
          </cell>
          <cell r="H920">
            <v>1347739</v>
          </cell>
          <cell r="I920">
            <v>956000</v>
          </cell>
        </row>
        <row r="921">
          <cell r="A921" t="str">
            <v>2100|472000</v>
          </cell>
          <cell r="B921" t="str">
            <v>2100</v>
          </cell>
          <cell r="C921">
            <v>472000</v>
          </cell>
          <cell r="D921">
            <v>41426</v>
          </cell>
          <cell r="E921">
            <v>1050394</v>
          </cell>
          <cell r="F921">
            <v>525197</v>
          </cell>
          <cell r="G921">
            <v>0</v>
          </cell>
          <cell r="H921">
            <v>87533</v>
          </cell>
          <cell r="I921">
            <v>0</v>
          </cell>
        </row>
        <row r="922">
          <cell r="A922" t="str">
            <v>2100|473000</v>
          </cell>
          <cell r="B922" t="str">
            <v>2100</v>
          </cell>
          <cell r="C922">
            <v>473000</v>
          </cell>
          <cell r="D922">
            <v>41426</v>
          </cell>
          <cell r="E922">
            <v>578789</v>
          </cell>
          <cell r="F922">
            <v>289395</v>
          </cell>
          <cell r="G922">
            <v>522000</v>
          </cell>
          <cell r="H922">
            <v>48233</v>
          </cell>
          <cell r="I922">
            <v>6000</v>
          </cell>
        </row>
        <row r="923">
          <cell r="A923" t="str">
            <v>2100|473120</v>
          </cell>
          <cell r="B923" t="str">
            <v>2100</v>
          </cell>
          <cell r="C923">
            <v>473120</v>
          </cell>
          <cell r="D923">
            <v>41426</v>
          </cell>
          <cell r="E923">
            <v>33777660</v>
          </cell>
          <cell r="F923">
            <v>16888830</v>
          </cell>
          <cell r="G923">
            <v>31876531</v>
          </cell>
          <cell r="H923">
            <v>2814805</v>
          </cell>
          <cell r="I923">
            <v>1063833</v>
          </cell>
        </row>
        <row r="924">
          <cell r="A924" t="str">
            <v>2100|474100</v>
          </cell>
          <cell r="B924" t="str">
            <v>2100</v>
          </cell>
          <cell r="C924">
            <v>474100</v>
          </cell>
          <cell r="D924">
            <v>41426</v>
          </cell>
          <cell r="E924">
            <v>49732313</v>
          </cell>
          <cell r="F924">
            <v>24866157</v>
          </cell>
          <cell r="G924">
            <v>14020412</v>
          </cell>
          <cell r="H924">
            <v>4144360</v>
          </cell>
          <cell r="I924">
            <v>0</v>
          </cell>
        </row>
        <row r="925">
          <cell r="A925" t="str">
            <v>2100|475003</v>
          </cell>
          <cell r="B925" t="str">
            <v>2100</v>
          </cell>
          <cell r="C925">
            <v>475003</v>
          </cell>
          <cell r="D925">
            <v>41426</v>
          </cell>
          <cell r="E925">
            <v>832052</v>
          </cell>
          <cell r="F925">
            <v>416026</v>
          </cell>
          <cell r="G925">
            <v>2490393</v>
          </cell>
          <cell r="H925">
            <v>69338</v>
          </cell>
          <cell r="I925">
            <v>1130000</v>
          </cell>
        </row>
        <row r="926">
          <cell r="A926" t="str">
            <v>2100|475004</v>
          </cell>
          <cell r="B926" t="str">
            <v>2100</v>
          </cell>
          <cell r="C926">
            <v>475004</v>
          </cell>
          <cell r="D926">
            <v>41426</v>
          </cell>
          <cell r="E926">
            <v>41763180</v>
          </cell>
          <cell r="F926">
            <v>20881590</v>
          </cell>
          <cell r="G926">
            <v>28950200</v>
          </cell>
          <cell r="H926">
            <v>3480265</v>
          </cell>
          <cell r="I926">
            <v>4174000</v>
          </cell>
        </row>
        <row r="927">
          <cell r="A927" t="str">
            <v>2100|475006</v>
          </cell>
          <cell r="B927" t="str">
            <v>2100</v>
          </cell>
          <cell r="C927">
            <v>475006</v>
          </cell>
          <cell r="D927">
            <v>41426</v>
          </cell>
          <cell r="E927">
            <v>11609586</v>
          </cell>
          <cell r="F927">
            <v>5804793</v>
          </cell>
          <cell r="G927">
            <v>5598464</v>
          </cell>
          <cell r="H927">
            <v>967465</v>
          </cell>
          <cell r="I927">
            <v>933078</v>
          </cell>
        </row>
        <row r="928">
          <cell r="A928" t="str">
            <v>2100|476000</v>
          </cell>
          <cell r="B928" t="str">
            <v>2100</v>
          </cell>
          <cell r="C928">
            <v>476000</v>
          </cell>
          <cell r="D928">
            <v>41426</v>
          </cell>
          <cell r="E928">
            <v>1684795</v>
          </cell>
          <cell r="F928">
            <v>842398</v>
          </cell>
          <cell r="G928">
            <v>782264</v>
          </cell>
          <cell r="H928">
            <v>140400</v>
          </cell>
          <cell r="I928">
            <v>14</v>
          </cell>
        </row>
        <row r="929">
          <cell r="A929" t="str">
            <v>2100|476001</v>
          </cell>
          <cell r="B929" t="str">
            <v>2100</v>
          </cell>
          <cell r="C929">
            <v>476001</v>
          </cell>
          <cell r="D929">
            <v>41426</v>
          </cell>
          <cell r="E929">
            <v>170000</v>
          </cell>
          <cell r="F929">
            <v>170000</v>
          </cell>
          <cell r="G929">
            <v>0</v>
          </cell>
          <cell r="H929">
            <v>170000</v>
          </cell>
          <cell r="I929">
            <v>0</v>
          </cell>
        </row>
        <row r="930">
          <cell r="A930" t="str">
            <v>2100|476201</v>
          </cell>
          <cell r="B930" t="str">
            <v>2100</v>
          </cell>
          <cell r="C930">
            <v>476201</v>
          </cell>
          <cell r="D930">
            <v>41426</v>
          </cell>
          <cell r="E930">
            <v>0</v>
          </cell>
          <cell r="F930">
            <v>0</v>
          </cell>
          <cell r="G930">
            <v>206823837</v>
          </cell>
          <cell r="H930">
            <v>0</v>
          </cell>
          <cell r="I930">
            <v>0</v>
          </cell>
        </row>
        <row r="931">
          <cell r="A931" t="str">
            <v>2100|476220</v>
          </cell>
          <cell r="B931" t="str">
            <v>2100</v>
          </cell>
          <cell r="C931">
            <v>476220</v>
          </cell>
          <cell r="D931">
            <v>41426</v>
          </cell>
          <cell r="E931">
            <v>31905991</v>
          </cell>
          <cell r="F931">
            <v>15952996</v>
          </cell>
          <cell r="G931">
            <v>3189146</v>
          </cell>
          <cell r="H931">
            <v>2658833</v>
          </cell>
          <cell r="I931">
            <v>1338228</v>
          </cell>
        </row>
        <row r="932">
          <cell r="A932" t="str">
            <v>2100|476900</v>
          </cell>
          <cell r="B932" t="str">
            <v>2100</v>
          </cell>
          <cell r="C932">
            <v>476900</v>
          </cell>
          <cell r="D932">
            <v>41426</v>
          </cell>
          <cell r="E932">
            <v>3958496</v>
          </cell>
          <cell r="F932">
            <v>1979248</v>
          </cell>
          <cell r="G932">
            <v>1071528</v>
          </cell>
          <cell r="H932">
            <v>329875</v>
          </cell>
          <cell r="I932">
            <v>599258</v>
          </cell>
        </row>
        <row r="933">
          <cell r="A933" t="str">
            <v>2100|476910</v>
          </cell>
          <cell r="B933" t="str">
            <v>2100</v>
          </cell>
          <cell r="C933">
            <v>476910</v>
          </cell>
          <cell r="D933">
            <v>41426</v>
          </cell>
          <cell r="E933">
            <v>2678281</v>
          </cell>
          <cell r="F933">
            <v>1339141</v>
          </cell>
          <cell r="G933">
            <v>525000</v>
          </cell>
          <cell r="H933">
            <v>223191</v>
          </cell>
          <cell r="I933">
            <v>525000</v>
          </cell>
        </row>
        <row r="934">
          <cell r="A934" t="str">
            <v>2200|211100</v>
          </cell>
          <cell r="B934" t="str">
            <v>2200</v>
          </cell>
          <cell r="C934">
            <v>211100</v>
          </cell>
          <cell r="D934">
            <v>41426</v>
          </cell>
          <cell r="E934">
            <v>168059175</v>
          </cell>
          <cell r="F934">
            <v>84029588</v>
          </cell>
          <cell r="G934">
            <v>58222779</v>
          </cell>
          <cell r="H934">
            <v>14004932</v>
          </cell>
          <cell r="I934">
            <v>9692983</v>
          </cell>
        </row>
        <row r="935">
          <cell r="A935" t="str">
            <v>2200|246000</v>
          </cell>
          <cell r="B935" t="str">
            <v>2200</v>
          </cell>
          <cell r="C935">
            <v>246000</v>
          </cell>
          <cell r="D935">
            <v>41426</v>
          </cell>
          <cell r="E935">
            <v>27000000</v>
          </cell>
          <cell r="F935">
            <v>13500000</v>
          </cell>
          <cell r="G935">
            <v>5000000</v>
          </cell>
          <cell r="H935">
            <v>2250000</v>
          </cell>
          <cell r="I935">
            <v>5000000</v>
          </cell>
        </row>
        <row r="936">
          <cell r="A936" t="str">
            <v>2200|246006</v>
          </cell>
          <cell r="B936" t="str">
            <v>2200</v>
          </cell>
          <cell r="C936">
            <v>246006</v>
          </cell>
          <cell r="D936">
            <v>41426</v>
          </cell>
          <cell r="E936">
            <v>10500000</v>
          </cell>
          <cell r="F936">
            <v>5250000</v>
          </cell>
          <cell r="G936">
            <v>750000</v>
          </cell>
          <cell r="H936">
            <v>875000</v>
          </cell>
          <cell r="I936">
            <v>0</v>
          </cell>
        </row>
        <row r="937">
          <cell r="A937" t="str">
            <v>2200|400040</v>
          </cell>
          <cell r="B937" t="str">
            <v>2200</v>
          </cell>
          <cell r="C937">
            <v>400040</v>
          </cell>
          <cell r="D937">
            <v>41426</v>
          </cell>
          <cell r="E937">
            <v>3000000</v>
          </cell>
          <cell r="F937">
            <v>1500000</v>
          </cell>
          <cell r="G937">
            <v>27170</v>
          </cell>
          <cell r="H937">
            <v>250000</v>
          </cell>
          <cell r="I937">
            <v>0</v>
          </cell>
        </row>
        <row r="938">
          <cell r="A938" t="str">
            <v>2200|405200</v>
          </cell>
          <cell r="B938" t="str">
            <v>2200</v>
          </cell>
          <cell r="C938">
            <v>405200</v>
          </cell>
          <cell r="D938">
            <v>41426</v>
          </cell>
          <cell r="E938">
            <v>9000000</v>
          </cell>
          <cell r="F938">
            <v>4500000</v>
          </cell>
          <cell r="G938">
            <v>0</v>
          </cell>
          <cell r="H938">
            <v>750000</v>
          </cell>
          <cell r="I938">
            <v>0</v>
          </cell>
        </row>
        <row r="939">
          <cell r="A939" t="str">
            <v>2200|420003</v>
          </cell>
          <cell r="B939" t="str">
            <v>2200</v>
          </cell>
          <cell r="C939">
            <v>420003</v>
          </cell>
          <cell r="D939">
            <v>41426</v>
          </cell>
          <cell r="E939">
            <v>146906699</v>
          </cell>
          <cell r="F939">
            <v>73453350</v>
          </cell>
          <cell r="G939">
            <v>70788128</v>
          </cell>
          <cell r="H939">
            <v>12242225</v>
          </cell>
          <cell r="I939">
            <v>11929878</v>
          </cell>
        </row>
        <row r="940">
          <cell r="A940" t="str">
            <v>2200|434013</v>
          </cell>
          <cell r="B940" t="str">
            <v>2200</v>
          </cell>
          <cell r="C940">
            <v>434013</v>
          </cell>
          <cell r="D940">
            <v>41426</v>
          </cell>
          <cell r="E940">
            <v>0</v>
          </cell>
          <cell r="F940">
            <v>0</v>
          </cell>
          <cell r="G940">
            <v>3750402</v>
          </cell>
          <cell r="H940">
            <v>0</v>
          </cell>
          <cell r="I940">
            <v>600488</v>
          </cell>
        </row>
        <row r="941">
          <cell r="A941" t="str">
            <v>2200|435003</v>
          </cell>
          <cell r="B941" t="str">
            <v>2200</v>
          </cell>
          <cell r="C941">
            <v>435003</v>
          </cell>
          <cell r="D941">
            <v>41426</v>
          </cell>
          <cell r="E941">
            <v>18363337</v>
          </cell>
          <cell r="F941">
            <v>9181669</v>
          </cell>
          <cell r="G941">
            <v>30221500</v>
          </cell>
          <cell r="H941">
            <v>1530279</v>
          </cell>
          <cell r="I941">
            <v>0</v>
          </cell>
        </row>
        <row r="942">
          <cell r="A942" t="str">
            <v>2200|439003</v>
          </cell>
          <cell r="B942" t="str">
            <v>2200</v>
          </cell>
          <cell r="C942">
            <v>439003</v>
          </cell>
          <cell r="D942">
            <v>41426</v>
          </cell>
          <cell r="E942">
            <v>39449879</v>
          </cell>
          <cell r="F942">
            <v>19724940</v>
          </cell>
          <cell r="G942">
            <v>20073108</v>
          </cell>
          <cell r="H942">
            <v>3287490</v>
          </cell>
          <cell r="I942">
            <v>3222605</v>
          </cell>
        </row>
        <row r="943">
          <cell r="A943" t="str">
            <v>2200|439102</v>
          </cell>
          <cell r="B943" t="str">
            <v>2200</v>
          </cell>
          <cell r="C943">
            <v>439102</v>
          </cell>
          <cell r="D943">
            <v>41426</v>
          </cell>
          <cell r="E943">
            <v>10000000</v>
          </cell>
          <cell r="F943">
            <v>5000000</v>
          </cell>
          <cell r="G943">
            <v>0</v>
          </cell>
          <cell r="H943">
            <v>833333</v>
          </cell>
          <cell r="I943">
            <v>0</v>
          </cell>
        </row>
        <row r="944">
          <cell r="A944" t="str">
            <v>2200|439103</v>
          </cell>
          <cell r="B944" t="str">
            <v>2200</v>
          </cell>
          <cell r="C944">
            <v>439103</v>
          </cell>
          <cell r="D944">
            <v>41426</v>
          </cell>
          <cell r="E944">
            <v>9700000</v>
          </cell>
          <cell r="F944">
            <v>4850000</v>
          </cell>
          <cell r="G944">
            <v>0</v>
          </cell>
          <cell r="H944">
            <v>808333</v>
          </cell>
          <cell r="I944">
            <v>0</v>
          </cell>
        </row>
        <row r="945">
          <cell r="A945" t="str">
            <v>2200|440003</v>
          </cell>
          <cell r="B945" t="str">
            <v>2200</v>
          </cell>
          <cell r="C945">
            <v>440003</v>
          </cell>
          <cell r="D945">
            <v>41426</v>
          </cell>
          <cell r="E945">
            <v>12242225</v>
          </cell>
          <cell r="F945">
            <v>6121113</v>
          </cell>
          <cell r="G945">
            <v>6894237</v>
          </cell>
          <cell r="H945">
            <v>1020186</v>
          </cell>
          <cell r="I945">
            <v>1417877</v>
          </cell>
        </row>
        <row r="946">
          <cell r="A946" t="str">
            <v>2200|446000</v>
          </cell>
          <cell r="B946" t="str">
            <v>2200</v>
          </cell>
          <cell r="C946">
            <v>446000</v>
          </cell>
          <cell r="D946">
            <v>41426</v>
          </cell>
          <cell r="E946">
            <v>0</v>
          </cell>
          <cell r="F946">
            <v>0</v>
          </cell>
          <cell r="G946">
            <v>-100000</v>
          </cell>
          <cell r="H946">
            <v>0</v>
          </cell>
          <cell r="I946">
            <v>-100000</v>
          </cell>
        </row>
        <row r="947">
          <cell r="A947" t="str">
            <v>2200|446002</v>
          </cell>
          <cell r="B947" t="str">
            <v>2200</v>
          </cell>
          <cell r="C947">
            <v>446002</v>
          </cell>
          <cell r="D947">
            <v>41426</v>
          </cell>
          <cell r="E947">
            <v>6430000</v>
          </cell>
          <cell r="F947">
            <v>3215000</v>
          </cell>
          <cell r="G947">
            <v>0</v>
          </cell>
          <cell r="H947">
            <v>535833</v>
          </cell>
          <cell r="I947">
            <v>0</v>
          </cell>
        </row>
        <row r="948">
          <cell r="A948" t="str">
            <v>2200|446003</v>
          </cell>
          <cell r="B948" t="str">
            <v>2200</v>
          </cell>
          <cell r="C948">
            <v>446003</v>
          </cell>
          <cell r="D948">
            <v>41426</v>
          </cell>
          <cell r="E948">
            <v>0</v>
          </cell>
          <cell r="F948">
            <v>0</v>
          </cell>
          <cell r="G948">
            <v>600000</v>
          </cell>
          <cell r="H948">
            <v>0</v>
          </cell>
          <cell r="I948">
            <v>100000</v>
          </cell>
        </row>
        <row r="949">
          <cell r="A949" t="str">
            <v>2200|447003</v>
          </cell>
          <cell r="B949" t="str">
            <v>2200</v>
          </cell>
          <cell r="C949">
            <v>447003</v>
          </cell>
          <cell r="D949">
            <v>41426</v>
          </cell>
          <cell r="E949">
            <v>2306058</v>
          </cell>
          <cell r="F949">
            <v>1153029</v>
          </cell>
          <cell r="G949">
            <v>1186596</v>
          </cell>
          <cell r="H949">
            <v>192171</v>
          </cell>
          <cell r="I949">
            <v>197766</v>
          </cell>
        </row>
        <row r="950">
          <cell r="A950" t="str">
            <v>2200|447013</v>
          </cell>
          <cell r="B950" t="str">
            <v>2200</v>
          </cell>
          <cell r="C950">
            <v>447013</v>
          </cell>
          <cell r="D950">
            <v>41426</v>
          </cell>
          <cell r="E950">
            <v>5435548</v>
          </cell>
          <cell r="F950">
            <v>2717774</v>
          </cell>
          <cell r="G950">
            <v>2796426</v>
          </cell>
          <cell r="H950">
            <v>452962</v>
          </cell>
          <cell r="I950">
            <v>466071</v>
          </cell>
        </row>
        <row r="951">
          <cell r="A951" t="str">
            <v>2200|447023</v>
          </cell>
          <cell r="B951" t="str">
            <v>2200</v>
          </cell>
          <cell r="C951">
            <v>447023</v>
          </cell>
          <cell r="D951">
            <v>41426</v>
          </cell>
          <cell r="E951">
            <v>190842</v>
          </cell>
          <cell r="F951">
            <v>95421</v>
          </cell>
          <cell r="G951">
            <v>209300</v>
          </cell>
          <cell r="H951">
            <v>15903</v>
          </cell>
          <cell r="I951">
            <v>34875</v>
          </cell>
        </row>
        <row r="952">
          <cell r="A952" t="str">
            <v>2200|448002</v>
          </cell>
          <cell r="B952" t="str">
            <v>2200</v>
          </cell>
          <cell r="C952">
            <v>448002</v>
          </cell>
          <cell r="D952">
            <v>41426</v>
          </cell>
          <cell r="E952">
            <v>535261653</v>
          </cell>
          <cell r="F952">
            <v>267630827</v>
          </cell>
          <cell r="G952">
            <v>358292828</v>
          </cell>
          <cell r="H952">
            <v>44605138</v>
          </cell>
          <cell r="I952">
            <v>59733471</v>
          </cell>
        </row>
        <row r="953">
          <cell r="A953" t="str">
            <v>2200|448003</v>
          </cell>
          <cell r="B953" t="str">
            <v>2200</v>
          </cell>
          <cell r="C953">
            <v>448003</v>
          </cell>
          <cell r="D953">
            <v>41426</v>
          </cell>
          <cell r="E953">
            <v>1238577065</v>
          </cell>
          <cell r="F953">
            <v>619288533</v>
          </cell>
          <cell r="G953">
            <v>714702978</v>
          </cell>
          <cell r="H953">
            <v>103214756</v>
          </cell>
          <cell r="I953">
            <v>118642680</v>
          </cell>
        </row>
        <row r="954">
          <cell r="A954" t="str">
            <v>2200|449004</v>
          </cell>
          <cell r="B954" t="str">
            <v>2200</v>
          </cell>
          <cell r="C954">
            <v>449004</v>
          </cell>
          <cell r="D954">
            <v>41426</v>
          </cell>
          <cell r="E954">
            <v>246000000</v>
          </cell>
          <cell r="F954">
            <v>123000000</v>
          </cell>
          <cell r="G954">
            <v>-2307500</v>
          </cell>
          <cell r="H954">
            <v>20500000</v>
          </cell>
          <cell r="I954">
            <v>-2307500</v>
          </cell>
        </row>
        <row r="955">
          <cell r="A955" t="str">
            <v>2200|449023</v>
          </cell>
          <cell r="B955" t="str">
            <v>2200</v>
          </cell>
          <cell r="C955">
            <v>449023</v>
          </cell>
          <cell r="D955">
            <v>41426</v>
          </cell>
          <cell r="E955">
            <v>3960000</v>
          </cell>
          <cell r="F955">
            <v>1980000</v>
          </cell>
          <cell r="G955">
            <v>2023000</v>
          </cell>
          <cell r="H955">
            <v>330000</v>
          </cell>
          <cell r="I955">
            <v>340000</v>
          </cell>
        </row>
        <row r="956">
          <cell r="A956" t="str">
            <v>2200|449031</v>
          </cell>
          <cell r="B956" t="str">
            <v>2200</v>
          </cell>
          <cell r="C956">
            <v>449031</v>
          </cell>
          <cell r="D956">
            <v>41426</v>
          </cell>
          <cell r="E956">
            <v>538599200</v>
          </cell>
          <cell r="F956">
            <v>269299600</v>
          </cell>
          <cell r="G956">
            <v>7340440</v>
          </cell>
          <cell r="H956">
            <v>44883266</v>
          </cell>
          <cell r="I956">
            <v>0</v>
          </cell>
        </row>
        <row r="957">
          <cell r="A957" t="str">
            <v>2200|449032</v>
          </cell>
          <cell r="B957" t="str">
            <v>2200</v>
          </cell>
          <cell r="C957">
            <v>449032</v>
          </cell>
          <cell r="D957">
            <v>41426</v>
          </cell>
          <cell r="E957">
            <v>16800000</v>
          </cell>
          <cell r="F957">
            <v>8400000</v>
          </cell>
          <cell r="G957">
            <v>16000000</v>
          </cell>
          <cell r="H957">
            <v>1400002</v>
          </cell>
          <cell r="I957">
            <v>0</v>
          </cell>
        </row>
        <row r="958">
          <cell r="A958" t="str">
            <v>2200|449040</v>
          </cell>
          <cell r="B958" t="str">
            <v>2200</v>
          </cell>
          <cell r="C958">
            <v>449040</v>
          </cell>
          <cell r="D958">
            <v>41426</v>
          </cell>
          <cell r="E958">
            <v>1586135</v>
          </cell>
          <cell r="F958">
            <v>793068</v>
          </cell>
          <cell r="G958">
            <v>0</v>
          </cell>
          <cell r="H958">
            <v>132178</v>
          </cell>
          <cell r="I958">
            <v>0</v>
          </cell>
        </row>
        <row r="959">
          <cell r="A959" t="str">
            <v>2200|449060</v>
          </cell>
          <cell r="B959" t="str">
            <v>2200</v>
          </cell>
          <cell r="C959">
            <v>449060</v>
          </cell>
          <cell r="D959">
            <v>41426</v>
          </cell>
          <cell r="E959">
            <v>6000000</v>
          </cell>
          <cell r="F959">
            <v>3000000</v>
          </cell>
          <cell r="G959">
            <v>1020000</v>
          </cell>
          <cell r="H959">
            <v>500000</v>
          </cell>
          <cell r="I959">
            <v>0</v>
          </cell>
        </row>
        <row r="960">
          <cell r="A960" t="str">
            <v>2200|449061</v>
          </cell>
          <cell r="B960" t="str">
            <v>2200</v>
          </cell>
          <cell r="C960">
            <v>449061</v>
          </cell>
          <cell r="D960">
            <v>41426</v>
          </cell>
          <cell r="E960">
            <v>38877500</v>
          </cell>
          <cell r="F960">
            <v>19438750</v>
          </cell>
          <cell r="G960">
            <v>21012550</v>
          </cell>
          <cell r="H960">
            <v>3239792</v>
          </cell>
          <cell r="I960">
            <v>4388000</v>
          </cell>
        </row>
        <row r="961">
          <cell r="A961" t="str">
            <v>2200|451000</v>
          </cell>
          <cell r="B961" t="str">
            <v>2200</v>
          </cell>
          <cell r="C961">
            <v>451000</v>
          </cell>
          <cell r="D961">
            <v>41426</v>
          </cell>
          <cell r="E961">
            <v>2805941</v>
          </cell>
          <cell r="F961">
            <v>1402971</v>
          </cell>
          <cell r="G961">
            <v>0</v>
          </cell>
          <cell r="H961">
            <v>233829</v>
          </cell>
          <cell r="I961">
            <v>0</v>
          </cell>
        </row>
        <row r="962">
          <cell r="A962" t="str">
            <v>2200|455000</v>
          </cell>
          <cell r="B962" t="str">
            <v>2200</v>
          </cell>
          <cell r="C962">
            <v>455000</v>
          </cell>
          <cell r="D962">
            <v>41426</v>
          </cell>
          <cell r="E962">
            <v>40000000</v>
          </cell>
          <cell r="F962">
            <v>20000000</v>
          </cell>
          <cell r="G962">
            <v>12637905</v>
          </cell>
          <cell r="H962">
            <v>3333333</v>
          </cell>
          <cell r="I962">
            <v>657842</v>
          </cell>
        </row>
        <row r="963">
          <cell r="A963" t="str">
            <v>2200|470101</v>
          </cell>
          <cell r="B963" t="str">
            <v>2200</v>
          </cell>
          <cell r="C963">
            <v>470101</v>
          </cell>
          <cell r="D963">
            <v>41426</v>
          </cell>
          <cell r="E963">
            <v>13410195</v>
          </cell>
          <cell r="F963">
            <v>6705098</v>
          </cell>
          <cell r="G963">
            <v>0</v>
          </cell>
          <cell r="H963">
            <v>1117517</v>
          </cell>
          <cell r="I963">
            <v>0</v>
          </cell>
        </row>
        <row r="964">
          <cell r="A964" t="str">
            <v>2200|470102</v>
          </cell>
          <cell r="B964" t="str">
            <v>2200</v>
          </cell>
          <cell r="C964">
            <v>470102</v>
          </cell>
          <cell r="D964">
            <v>41426</v>
          </cell>
          <cell r="E964">
            <v>32916452</v>
          </cell>
          <cell r="F964">
            <v>16458226</v>
          </cell>
          <cell r="G964">
            <v>16091028</v>
          </cell>
          <cell r="H964">
            <v>2743038</v>
          </cell>
          <cell r="I964">
            <v>3248505</v>
          </cell>
        </row>
        <row r="965">
          <cell r="A965" t="str">
            <v>2200|471000</v>
          </cell>
          <cell r="B965" t="str">
            <v>2200</v>
          </cell>
          <cell r="C965">
            <v>471000</v>
          </cell>
          <cell r="D965">
            <v>41426</v>
          </cell>
          <cell r="E965">
            <v>2089703</v>
          </cell>
          <cell r="F965">
            <v>1044852</v>
          </cell>
          <cell r="G965">
            <v>0</v>
          </cell>
          <cell r="H965">
            <v>174142</v>
          </cell>
          <cell r="I965">
            <v>0</v>
          </cell>
        </row>
        <row r="966">
          <cell r="A966" t="str">
            <v>2200|473000</v>
          </cell>
          <cell r="B966" t="str">
            <v>2200</v>
          </cell>
          <cell r="C966">
            <v>473000</v>
          </cell>
          <cell r="D966">
            <v>41426</v>
          </cell>
          <cell r="E966">
            <v>223190</v>
          </cell>
          <cell r="F966">
            <v>111595</v>
          </cell>
          <cell r="G966">
            <v>0</v>
          </cell>
          <cell r="H966">
            <v>18599</v>
          </cell>
          <cell r="I966">
            <v>0</v>
          </cell>
        </row>
        <row r="967">
          <cell r="A967" t="str">
            <v>2200|473120</v>
          </cell>
          <cell r="B967" t="str">
            <v>2200</v>
          </cell>
          <cell r="C967">
            <v>473120</v>
          </cell>
          <cell r="D967">
            <v>41426</v>
          </cell>
          <cell r="E967">
            <v>5979795</v>
          </cell>
          <cell r="F967">
            <v>2989898</v>
          </cell>
          <cell r="G967">
            <v>2913804</v>
          </cell>
          <cell r="H967">
            <v>498317</v>
          </cell>
          <cell r="I967">
            <v>126588</v>
          </cell>
        </row>
        <row r="968">
          <cell r="A968" t="str">
            <v>2200|474100</v>
          </cell>
          <cell r="B968" t="str">
            <v>2200</v>
          </cell>
          <cell r="C968">
            <v>474100</v>
          </cell>
          <cell r="D968">
            <v>41426</v>
          </cell>
          <cell r="E968">
            <v>4197208</v>
          </cell>
          <cell r="F968">
            <v>2098604</v>
          </cell>
          <cell r="G968">
            <v>0</v>
          </cell>
          <cell r="H968">
            <v>349767</v>
          </cell>
          <cell r="I968">
            <v>0</v>
          </cell>
        </row>
        <row r="969">
          <cell r="A969" t="str">
            <v>2200|476000</v>
          </cell>
          <cell r="B969" t="str">
            <v>2200</v>
          </cell>
          <cell r="C969">
            <v>476000</v>
          </cell>
          <cell r="D969">
            <v>41426</v>
          </cell>
          <cell r="E969">
            <v>534087</v>
          </cell>
          <cell r="F969">
            <v>267044</v>
          </cell>
          <cell r="G969">
            <v>0</v>
          </cell>
          <cell r="H969">
            <v>44508</v>
          </cell>
          <cell r="I969">
            <v>0</v>
          </cell>
        </row>
        <row r="970">
          <cell r="A970" t="str">
            <v>2200|476001</v>
          </cell>
          <cell r="B970" t="str">
            <v>2200</v>
          </cell>
          <cell r="C970">
            <v>476001</v>
          </cell>
          <cell r="D970">
            <v>41426</v>
          </cell>
          <cell r="E970">
            <v>5672866</v>
          </cell>
          <cell r="F970">
            <v>2836433</v>
          </cell>
          <cell r="G970">
            <v>8500000</v>
          </cell>
          <cell r="H970">
            <v>472739</v>
          </cell>
          <cell r="I970">
            <v>500000</v>
          </cell>
        </row>
        <row r="971">
          <cell r="A971" t="str">
            <v>2200|476201</v>
          </cell>
          <cell r="B971" t="str">
            <v>2200</v>
          </cell>
          <cell r="C971">
            <v>476201</v>
          </cell>
          <cell r="D971">
            <v>41426</v>
          </cell>
          <cell r="E971">
            <v>1972385</v>
          </cell>
          <cell r="F971">
            <v>986193</v>
          </cell>
          <cell r="G971">
            <v>6270000</v>
          </cell>
          <cell r="H971">
            <v>164366</v>
          </cell>
          <cell r="I971">
            <v>0</v>
          </cell>
        </row>
        <row r="972">
          <cell r="A972" t="str">
            <v>2200|476220</v>
          </cell>
          <cell r="B972" t="str">
            <v>2200</v>
          </cell>
          <cell r="C972">
            <v>476220</v>
          </cell>
          <cell r="D972">
            <v>41426</v>
          </cell>
          <cell r="E972">
            <v>104756098</v>
          </cell>
          <cell r="F972">
            <v>52378049</v>
          </cell>
          <cell r="G972">
            <v>83334781</v>
          </cell>
          <cell r="H972">
            <v>8729675</v>
          </cell>
          <cell r="I972">
            <v>36284732</v>
          </cell>
        </row>
        <row r="973">
          <cell r="A973" t="str">
            <v>2200|476910</v>
          </cell>
          <cell r="B973" t="str">
            <v>2200</v>
          </cell>
          <cell r="C973">
            <v>476910</v>
          </cell>
          <cell r="D973">
            <v>41426</v>
          </cell>
          <cell r="E973">
            <v>93738714</v>
          </cell>
          <cell r="F973">
            <v>46869357</v>
          </cell>
          <cell r="G973">
            <v>5109400</v>
          </cell>
          <cell r="H973">
            <v>7811559</v>
          </cell>
          <cell r="I973">
            <v>0</v>
          </cell>
        </row>
        <row r="974">
          <cell r="A974" t="str">
            <v>2210|211100</v>
          </cell>
          <cell r="B974" t="str">
            <v>2210</v>
          </cell>
          <cell r="C974">
            <v>211100</v>
          </cell>
          <cell r="D974">
            <v>41426</v>
          </cell>
          <cell r="E974">
            <v>0</v>
          </cell>
          <cell r="F974">
            <v>0</v>
          </cell>
          <cell r="G974">
            <v>359280</v>
          </cell>
          <cell r="H974">
            <v>0</v>
          </cell>
          <cell r="I974">
            <v>59880</v>
          </cell>
        </row>
        <row r="975">
          <cell r="A975" t="str">
            <v>2210|211104</v>
          </cell>
          <cell r="B975" t="str">
            <v>2210</v>
          </cell>
          <cell r="C975">
            <v>211104</v>
          </cell>
          <cell r="D975">
            <v>41426</v>
          </cell>
          <cell r="E975">
            <v>28053261</v>
          </cell>
          <cell r="F975">
            <v>14026631</v>
          </cell>
          <cell r="G975">
            <v>15004096</v>
          </cell>
          <cell r="H975">
            <v>2337772</v>
          </cell>
          <cell r="I975">
            <v>2500684</v>
          </cell>
        </row>
        <row r="976">
          <cell r="A976" t="str">
            <v>2210|246000</v>
          </cell>
          <cell r="B976" t="str">
            <v>2210</v>
          </cell>
          <cell r="C976">
            <v>246000</v>
          </cell>
          <cell r="D976">
            <v>41426</v>
          </cell>
          <cell r="E976">
            <v>50000000</v>
          </cell>
          <cell r="F976">
            <v>25000000</v>
          </cell>
          <cell r="G976">
            <v>0</v>
          </cell>
          <cell r="H976">
            <v>4166667</v>
          </cell>
          <cell r="I976">
            <v>0</v>
          </cell>
        </row>
        <row r="977">
          <cell r="A977" t="str">
            <v>2210|420002</v>
          </cell>
          <cell r="B977" t="str">
            <v>2210</v>
          </cell>
          <cell r="C977">
            <v>420002</v>
          </cell>
          <cell r="D977">
            <v>41426</v>
          </cell>
          <cell r="E977">
            <v>79764732</v>
          </cell>
          <cell r="F977">
            <v>39882366</v>
          </cell>
          <cell r="G977">
            <v>45738000</v>
          </cell>
          <cell r="H977">
            <v>6647061</v>
          </cell>
          <cell r="I977">
            <v>7623000</v>
          </cell>
        </row>
        <row r="978">
          <cell r="A978" t="str">
            <v>2210|434012</v>
          </cell>
          <cell r="B978" t="str">
            <v>2210</v>
          </cell>
          <cell r="C978">
            <v>434012</v>
          </cell>
          <cell r="D978">
            <v>41426</v>
          </cell>
          <cell r="E978">
            <v>0</v>
          </cell>
          <cell r="F978">
            <v>0</v>
          </cell>
          <cell r="G978">
            <v>987200</v>
          </cell>
          <cell r="H978">
            <v>0</v>
          </cell>
          <cell r="I978">
            <v>166248</v>
          </cell>
        </row>
        <row r="979">
          <cell r="A979" t="str">
            <v>2210|435002</v>
          </cell>
          <cell r="B979" t="str">
            <v>2210</v>
          </cell>
          <cell r="C979">
            <v>435002</v>
          </cell>
          <cell r="D979">
            <v>41426</v>
          </cell>
          <cell r="E979">
            <v>13626475</v>
          </cell>
          <cell r="F979">
            <v>6813238</v>
          </cell>
          <cell r="G979">
            <v>8540000</v>
          </cell>
          <cell r="H979">
            <v>1135540</v>
          </cell>
          <cell r="I979">
            <v>0</v>
          </cell>
        </row>
        <row r="980">
          <cell r="A980" t="str">
            <v>2210|439008</v>
          </cell>
          <cell r="B980" t="str">
            <v>2210</v>
          </cell>
          <cell r="C980">
            <v>439008</v>
          </cell>
          <cell r="D980">
            <v>41426</v>
          </cell>
          <cell r="E980">
            <v>16422063</v>
          </cell>
          <cell r="F980">
            <v>8211032</v>
          </cell>
          <cell r="G980">
            <v>9508951</v>
          </cell>
          <cell r="H980">
            <v>1368506</v>
          </cell>
          <cell r="I980">
            <v>1598254</v>
          </cell>
        </row>
        <row r="981">
          <cell r="A981" t="str">
            <v>2210|440002</v>
          </cell>
          <cell r="B981" t="str">
            <v>2210</v>
          </cell>
          <cell r="C981">
            <v>440002</v>
          </cell>
          <cell r="D981">
            <v>41426</v>
          </cell>
          <cell r="E981">
            <v>6647061</v>
          </cell>
          <cell r="F981">
            <v>3323531</v>
          </cell>
          <cell r="G981">
            <v>3531249</v>
          </cell>
          <cell r="H981">
            <v>553922</v>
          </cell>
          <cell r="I981">
            <v>397619</v>
          </cell>
        </row>
        <row r="982">
          <cell r="A982" t="str">
            <v>2210|446002</v>
          </cell>
          <cell r="B982" t="str">
            <v>2210</v>
          </cell>
          <cell r="C982">
            <v>446002</v>
          </cell>
          <cell r="D982">
            <v>41426</v>
          </cell>
          <cell r="E982">
            <v>3323530</v>
          </cell>
          <cell r="F982">
            <v>1661765</v>
          </cell>
          <cell r="G982">
            <v>900000</v>
          </cell>
          <cell r="H982">
            <v>276961</v>
          </cell>
          <cell r="I982">
            <v>150000</v>
          </cell>
        </row>
        <row r="983">
          <cell r="A983" t="str">
            <v>2210|447002</v>
          </cell>
          <cell r="B983" t="str">
            <v>2210</v>
          </cell>
          <cell r="C983">
            <v>447002</v>
          </cell>
          <cell r="D983">
            <v>41426</v>
          </cell>
          <cell r="E983">
            <v>1252306</v>
          </cell>
          <cell r="F983">
            <v>626153</v>
          </cell>
          <cell r="G983">
            <v>718086</v>
          </cell>
          <cell r="H983">
            <v>104359</v>
          </cell>
          <cell r="I983">
            <v>119681</v>
          </cell>
        </row>
        <row r="984">
          <cell r="A984" t="str">
            <v>2210|447012</v>
          </cell>
          <cell r="B984" t="str">
            <v>2210</v>
          </cell>
          <cell r="C984">
            <v>447012</v>
          </cell>
          <cell r="D984">
            <v>41426</v>
          </cell>
          <cell r="E984">
            <v>2951295</v>
          </cell>
          <cell r="F984">
            <v>1475648</v>
          </cell>
          <cell r="G984">
            <v>1692306</v>
          </cell>
          <cell r="H984">
            <v>245942</v>
          </cell>
          <cell r="I984">
            <v>282051</v>
          </cell>
        </row>
        <row r="985">
          <cell r="A985" t="str">
            <v>2210|447022</v>
          </cell>
          <cell r="B985" t="str">
            <v>2210</v>
          </cell>
          <cell r="C985">
            <v>447022</v>
          </cell>
          <cell r="D985">
            <v>41426</v>
          </cell>
          <cell r="E985">
            <v>125231</v>
          </cell>
          <cell r="F985">
            <v>62616</v>
          </cell>
          <cell r="G985">
            <v>119375</v>
          </cell>
          <cell r="H985">
            <v>10436</v>
          </cell>
          <cell r="I985">
            <v>19875</v>
          </cell>
        </row>
        <row r="986">
          <cell r="A986" t="str">
            <v>2210|448002</v>
          </cell>
          <cell r="B986" t="str">
            <v>2210</v>
          </cell>
          <cell r="C986">
            <v>448002</v>
          </cell>
          <cell r="D986">
            <v>41426</v>
          </cell>
          <cell r="E986">
            <v>5967791</v>
          </cell>
          <cell r="F986">
            <v>2983896</v>
          </cell>
          <cell r="G986">
            <v>8380000</v>
          </cell>
          <cell r="H986">
            <v>497316</v>
          </cell>
          <cell r="I986">
            <v>400000</v>
          </cell>
        </row>
        <row r="987">
          <cell r="A987" t="str">
            <v>2210|449022</v>
          </cell>
          <cell r="B987" t="str">
            <v>2210</v>
          </cell>
          <cell r="C987">
            <v>449022</v>
          </cell>
          <cell r="D987">
            <v>41426</v>
          </cell>
          <cell r="E987">
            <v>3960000</v>
          </cell>
          <cell r="F987">
            <v>1980000</v>
          </cell>
          <cell r="G987">
            <v>1955000</v>
          </cell>
          <cell r="H987">
            <v>330000</v>
          </cell>
          <cell r="I987">
            <v>323000</v>
          </cell>
        </row>
        <row r="988">
          <cell r="A988" t="str">
            <v>2210|449061</v>
          </cell>
          <cell r="B988" t="str">
            <v>2210</v>
          </cell>
          <cell r="C988">
            <v>449061</v>
          </cell>
          <cell r="D988">
            <v>41426</v>
          </cell>
          <cell r="E988">
            <v>2295500</v>
          </cell>
          <cell r="F988">
            <v>1147750</v>
          </cell>
          <cell r="G988">
            <v>809200</v>
          </cell>
          <cell r="H988">
            <v>191292</v>
          </cell>
          <cell r="I988">
            <v>384000</v>
          </cell>
        </row>
        <row r="989">
          <cell r="A989" t="str">
            <v>2210|473000</v>
          </cell>
          <cell r="B989" t="str">
            <v>2210</v>
          </cell>
          <cell r="C989">
            <v>473000</v>
          </cell>
          <cell r="D989">
            <v>41426</v>
          </cell>
          <cell r="E989">
            <v>24348</v>
          </cell>
          <cell r="F989">
            <v>12174</v>
          </cell>
          <cell r="G989">
            <v>0</v>
          </cell>
          <cell r="H989">
            <v>2029</v>
          </cell>
          <cell r="I989">
            <v>0</v>
          </cell>
        </row>
        <row r="990">
          <cell r="A990" t="str">
            <v>2210|473120</v>
          </cell>
          <cell r="B990" t="str">
            <v>2210</v>
          </cell>
          <cell r="C990">
            <v>473120</v>
          </cell>
          <cell r="D990">
            <v>41426</v>
          </cell>
          <cell r="E990">
            <v>1755590</v>
          </cell>
          <cell r="F990">
            <v>877795</v>
          </cell>
          <cell r="G990">
            <v>335535</v>
          </cell>
          <cell r="H990">
            <v>146299</v>
          </cell>
          <cell r="I990">
            <v>0</v>
          </cell>
        </row>
        <row r="991">
          <cell r="A991" t="str">
            <v>2210|475000</v>
          </cell>
          <cell r="B991" t="str">
            <v>2210</v>
          </cell>
          <cell r="C991">
            <v>475000</v>
          </cell>
          <cell r="D991">
            <v>41426</v>
          </cell>
          <cell r="E991">
            <v>649179</v>
          </cell>
          <cell r="F991">
            <v>324590</v>
          </cell>
          <cell r="G991">
            <v>0</v>
          </cell>
          <cell r="H991">
            <v>54099</v>
          </cell>
          <cell r="I991">
            <v>0</v>
          </cell>
        </row>
        <row r="992">
          <cell r="A992" t="str">
            <v>2210|476220</v>
          </cell>
          <cell r="B992" t="str">
            <v>2210</v>
          </cell>
          <cell r="C992">
            <v>476220</v>
          </cell>
          <cell r="D992">
            <v>41426</v>
          </cell>
          <cell r="E992">
            <v>262131</v>
          </cell>
          <cell r="F992">
            <v>131066</v>
          </cell>
          <cell r="G992">
            <v>47625600</v>
          </cell>
          <cell r="H992">
            <v>21845</v>
          </cell>
          <cell r="I992">
            <v>18951680</v>
          </cell>
        </row>
        <row r="993">
          <cell r="A993" t="str">
            <v>2220|211100</v>
          </cell>
          <cell r="B993" t="str">
            <v>2220</v>
          </cell>
          <cell r="C993">
            <v>211100</v>
          </cell>
          <cell r="D993">
            <v>41426</v>
          </cell>
          <cell r="E993">
            <v>3360432</v>
          </cell>
          <cell r="F993">
            <v>1680216</v>
          </cell>
          <cell r="G993">
            <v>1818533</v>
          </cell>
          <cell r="H993">
            <v>280036</v>
          </cell>
          <cell r="I993">
            <v>303091</v>
          </cell>
        </row>
        <row r="994">
          <cell r="A994" t="str">
            <v>2220|420002</v>
          </cell>
          <cell r="B994" t="str">
            <v>2220</v>
          </cell>
          <cell r="C994">
            <v>420002</v>
          </cell>
          <cell r="D994">
            <v>41426</v>
          </cell>
          <cell r="E994">
            <v>159529463</v>
          </cell>
          <cell r="F994">
            <v>79764732</v>
          </cell>
          <cell r="G994">
            <v>73583915</v>
          </cell>
          <cell r="H994">
            <v>13294122</v>
          </cell>
          <cell r="I994">
            <v>9374500</v>
          </cell>
        </row>
        <row r="995">
          <cell r="A995" t="str">
            <v>2220|431002</v>
          </cell>
          <cell r="B995" t="str">
            <v>2220</v>
          </cell>
          <cell r="C995">
            <v>431002</v>
          </cell>
          <cell r="D995">
            <v>41426</v>
          </cell>
          <cell r="E995">
            <v>3053060</v>
          </cell>
          <cell r="F995">
            <v>1526530</v>
          </cell>
          <cell r="G995">
            <v>3158531</v>
          </cell>
          <cell r="H995">
            <v>254422</v>
          </cell>
          <cell r="I995">
            <v>438880</v>
          </cell>
        </row>
        <row r="996">
          <cell r="A996" t="str">
            <v>2220|434012</v>
          </cell>
          <cell r="B996" t="str">
            <v>2220</v>
          </cell>
          <cell r="C996">
            <v>434012</v>
          </cell>
          <cell r="D996">
            <v>41426</v>
          </cell>
          <cell r="E996">
            <v>0</v>
          </cell>
          <cell r="F996">
            <v>0</v>
          </cell>
          <cell r="G996">
            <v>1153448</v>
          </cell>
          <cell r="H996">
            <v>0</v>
          </cell>
          <cell r="I996">
            <v>332496</v>
          </cell>
        </row>
        <row r="997">
          <cell r="A997" t="str">
            <v>2220|435002</v>
          </cell>
          <cell r="B997" t="str">
            <v>2220</v>
          </cell>
          <cell r="C997">
            <v>435002</v>
          </cell>
          <cell r="D997">
            <v>41426</v>
          </cell>
          <cell r="E997">
            <v>27252950</v>
          </cell>
          <cell r="F997">
            <v>13626475</v>
          </cell>
          <cell r="G997">
            <v>6057500</v>
          </cell>
          <cell r="H997">
            <v>2271079</v>
          </cell>
          <cell r="I997">
            <v>0</v>
          </cell>
        </row>
        <row r="998">
          <cell r="A998" t="str">
            <v>2220|439008</v>
          </cell>
          <cell r="B998" t="str">
            <v>2220</v>
          </cell>
          <cell r="C998">
            <v>439008</v>
          </cell>
          <cell r="D998">
            <v>41426</v>
          </cell>
          <cell r="E998">
            <v>32844125</v>
          </cell>
          <cell r="F998">
            <v>16422063</v>
          </cell>
          <cell r="G998">
            <v>11107206</v>
          </cell>
          <cell r="H998">
            <v>2737011</v>
          </cell>
          <cell r="I998">
            <v>3196509</v>
          </cell>
        </row>
        <row r="999">
          <cell r="A999" t="str">
            <v>2220|440002</v>
          </cell>
          <cell r="B999" t="str">
            <v>2220</v>
          </cell>
          <cell r="C999">
            <v>440002</v>
          </cell>
          <cell r="D999">
            <v>41426</v>
          </cell>
          <cell r="E999">
            <v>13294122</v>
          </cell>
          <cell r="F999">
            <v>6647061</v>
          </cell>
          <cell r="G999">
            <v>3928868</v>
          </cell>
          <cell r="H999">
            <v>1107843</v>
          </cell>
          <cell r="I999">
            <v>795238</v>
          </cell>
        </row>
        <row r="1000">
          <cell r="A1000" t="str">
            <v>2220|446002</v>
          </cell>
          <cell r="B1000" t="str">
            <v>2220</v>
          </cell>
          <cell r="C1000">
            <v>446002</v>
          </cell>
          <cell r="D1000">
            <v>41426</v>
          </cell>
          <cell r="E1000">
            <v>6647061</v>
          </cell>
          <cell r="F1000">
            <v>3323531</v>
          </cell>
          <cell r="G1000">
            <v>900000</v>
          </cell>
          <cell r="H1000">
            <v>553922</v>
          </cell>
          <cell r="I1000">
            <v>150000</v>
          </cell>
        </row>
        <row r="1001">
          <cell r="A1001" t="str">
            <v>2220|447002</v>
          </cell>
          <cell r="B1001" t="str">
            <v>2220</v>
          </cell>
          <cell r="C1001">
            <v>447002</v>
          </cell>
          <cell r="D1001">
            <v>41426</v>
          </cell>
          <cell r="E1001">
            <v>2504613</v>
          </cell>
          <cell r="F1001">
            <v>1252307</v>
          </cell>
          <cell r="G1001">
            <v>564531</v>
          </cell>
          <cell r="H1001">
            <v>208718</v>
          </cell>
          <cell r="I1001">
            <v>147181</v>
          </cell>
        </row>
        <row r="1002">
          <cell r="A1002" t="str">
            <v>2220|447012</v>
          </cell>
          <cell r="B1002" t="str">
            <v>2220</v>
          </cell>
          <cell r="C1002">
            <v>447012</v>
          </cell>
          <cell r="D1002">
            <v>41426</v>
          </cell>
          <cell r="E1002">
            <v>5902590</v>
          </cell>
          <cell r="F1002">
            <v>2951295</v>
          </cell>
          <cell r="G1002">
            <v>1330412</v>
          </cell>
          <cell r="H1002">
            <v>491882</v>
          </cell>
          <cell r="I1002">
            <v>346857</v>
          </cell>
        </row>
        <row r="1003">
          <cell r="A1003" t="str">
            <v>2220|447022</v>
          </cell>
          <cell r="B1003" t="str">
            <v>2220</v>
          </cell>
          <cell r="C1003">
            <v>447022</v>
          </cell>
          <cell r="D1003">
            <v>41426</v>
          </cell>
          <cell r="E1003">
            <v>250461</v>
          </cell>
          <cell r="F1003">
            <v>125231</v>
          </cell>
          <cell r="G1003">
            <v>28145</v>
          </cell>
          <cell r="H1003">
            <v>20872</v>
          </cell>
          <cell r="I1003">
            <v>7325</v>
          </cell>
        </row>
        <row r="1004">
          <cell r="A1004" t="str">
            <v>2220|448002</v>
          </cell>
          <cell r="B1004" t="str">
            <v>2220</v>
          </cell>
          <cell r="C1004">
            <v>448002</v>
          </cell>
          <cell r="D1004">
            <v>41426</v>
          </cell>
          <cell r="E1004">
            <v>11935582</v>
          </cell>
          <cell r="F1004">
            <v>5967791</v>
          </cell>
          <cell r="G1004">
            <v>2577525</v>
          </cell>
          <cell r="H1004">
            <v>994632</v>
          </cell>
          <cell r="I1004">
            <v>226000</v>
          </cell>
        </row>
        <row r="1005">
          <cell r="A1005" t="str">
            <v>2220|449022</v>
          </cell>
          <cell r="B1005" t="str">
            <v>2220</v>
          </cell>
          <cell r="C1005">
            <v>449022</v>
          </cell>
          <cell r="D1005">
            <v>41426</v>
          </cell>
          <cell r="E1005">
            <v>7920000</v>
          </cell>
          <cell r="F1005">
            <v>3960000</v>
          </cell>
          <cell r="G1005">
            <v>4152000</v>
          </cell>
          <cell r="H1005">
            <v>660000</v>
          </cell>
          <cell r="I1005">
            <v>684000</v>
          </cell>
        </row>
        <row r="1006">
          <cell r="A1006" t="str">
            <v>2220|449060</v>
          </cell>
          <cell r="B1006" t="str">
            <v>2220</v>
          </cell>
          <cell r="C1006">
            <v>449060</v>
          </cell>
          <cell r="D1006">
            <v>41426</v>
          </cell>
          <cell r="E1006">
            <v>3374000000</v>
          </cell>
          <cell r="F1006">
            <v>1687000000</v>
          </cell>
          <cell r="G1006">
            <v>1200538400</v>
          </cell>
          <cell r="H1006">
            <v>281166667</v>
          </cell>
          <cell r="I1006">
            <v>184581920</v>
          </cell>
        </row>
        <row r="1007">
          <cell r="A1007" t="str">
            <v>2220|449061</v>
          </cell>
          <cell r="B1007" t="str">
            <v>2220</v>
          </cell>
          <cell r="C1007">
            <v>449061</v>
          </cell>
          <cell r="D1007">
            <v>41426</v>
          </cell>
          <cell r="E1007">
            <v>3878269127</v>
          </cell>
          <cell r="F1007">
            <v>1939134564</v>
          </cell>
          <cell r="G1007">
            <v>2095515050</v>
          </cell>
          <cell r="H1007">
            <v>323189094</v>
          </cell>
          <cell r="I1007">
            <v>305106380</v>
          </cell>
        </row>
        <row r="1008">
          <cell r="A1008" t="str">
            <v>2220|473000</v>
          </cell>
          <cell r="B1008" t="str">
            <v>2220</v>
          </cell>
          <cell r="C1008">
            <v>473000</v>
          </cell>
          <cell r="D1008">
            <v>41426</v>
          </cell>
          <cell r="E1008">
            <v>121740</v>
          </cell>
          <cell r="F1008">
            <v>60870</v>
          </cell>
          <cell r="G1008">
            <v>120000</v>
          </cell>
          <cell r="H1008">
            <v>10145</v>
          </cell>
          <cell r="I1008">
            <v>0</v>
          </cell>
        </row>
        <row r="1009">
          <cell r="A1009" t="str">
            <v>2220|473120</v>
          </cell>
          <cell r="B1009" t="str">
            <v>2220</v>
          </cell>
          <cell r="C1009">
            <v>473120</v>
          </cell>
          <cell r="D1009">
            <v>41426</v>
          </cell>
          <cell r="E1009">
            <v>286440</v>
          </cell>
          <cell r="F1009">
            <v>143220</v>
          </cell>
          <cell r="G1009">
            <v>0</v>
          </cell>
          <cell r="H1009">
            <v>23870</v>
          </cell>
          <cell r="I1009">
            <v>0</v>
          </cell>
        </row>
        <row r="1010">
          <cell r="A1010" t="str">
            <v>2220|476000</v>
          </cell>
          <cell r="B1010" t="str">
            <v>2220</v>
          </cell>
          <cell r="C1010">
            <v>476000</v>
          </cell>
          <cell r="D1010">
            <v>41426</v>
          </cell>
          <cell r="E1010">
            <v>578669</v>
          </cell>
          <cell r="F1010">
            <v>289335</v>
          </cell>
          <cell r="G1010">
            <v>0</v>
          </cell>
          <cell r="H1010">
            <v>48223</v>
          </cell>
          <cell r="I1010">
            <v>0</v>
          </cell>
        </row>
        <row r="1011">
          <cell r="A1011" t="str">
            <v>2220|476220</v>
          </cell>
          <cell r="B1011" t="str">
            <v>2220</v>
          </cell>
          <cell r="C1011">
            <v>476220</v>
          </cell>
          <cell r="D1011">
            <v>41426</v>
          </cell>
          <cell r="E1011">
            <v>15111615</v>
          </cell>
          <cell r="F1011">
            <v>7555808</v>
          </cell>
          <cell r="G1011">
            <v>24666022</v>
          </cell>
          <cell r="H1011">
            <v>1259302</v>
          </cell>
          <cell r="I1011">
            <v>0</v>
          </cell>
        </row>
        <row r="1012">
          <cell r="A1012" t="str">
            <v>2230|211100</v>
          </cell>
          <cell r="B1012" t="str">
            <v>2230</v>
          </cell>
          <cell r="C1012">
            <v>211100</v>
          </cell>
          <cell r="D1012">
            <v>41426</v>
          </cell>
          <cell r="E1012">
            <v>2036294</v>
          </cell>
          <cell r="F1012">
            <v>1018147</v>
          </cell>
          <cell r="G1012">
            <v>372962</v>
          </cell>
          <cell r="H1012">
            <v>169691</v>
          </cell>
          <cell r="I1012">
            <v>62161</v>
          </cell>
        </row>
        <row r="1013">
          <cell r="A1013" t="str">
            <v>2230|211104</v>
          </cell>
          <cell r="B1013" t="str">
            <v>2230</v>
          </cell>
          <cell r="C1013">
            <v>211104</v>
          </cell>
          <cell r="D1013">
            <v>41426</v>
          </cell>
          <cell r="E1013">
            <v>68927056</v>
          </cell>
          <cell r="F1013">
            <v>34463528</v>
          </cell>
          <cell r="G1013">
            <v>20530728</v>
          </cell>
          <cell r="H1013">
            <v>5743921</v>
          </cell>
          <cell r="I1013">
            <v>3421816</v>
          </cell>
        </row>
        <row r="1014">
          <cell r="A1014" t="str">
            <v>2230|449061</v>
          </cell>
          <cell r="B1014" t="str">
            <v>2230</v>
          </cell>
          <cell r="C1014">
            <v>449061</v>
          </cell>
          <cell r="D1014">
            <v>41426</v>
          </cell>
          <cell r="E1014">
            <v>2557820</v>
          </cell>
          <cell r="F1014">
            <v>1278910</v>
          </cell>
          <cell r="G1014">
            <v>276500</v>
          </cell>
          <cell r="H1014">
            <v>213152</v>
          </cell>
          <cell r="I1014">
            <v>64000</v>
          </cell>
        </row>
        <row r="1015">
          <cell r="A1015" t="str">
            <v>2230|451000</v>
          </cell>
          <cell r="B1015" t="str">
            <v>2230</v>
          </cell>
          <cell r="C1015">
            <v>451000</v>
          </cell>
          <cell r="D1015">
            <v>41426</v>
          </cell>
          <cell r="E1015">
            <v>10756406</v>
          </cell>
          <cell r="F1015">
            <v>5378203</v>
          </cell>
          <cell r="G1015">
            <v>2500000</v>
          </cell>
          <cell r="H1015">
            <v>896367</v>
          </cell>
          <cell r="I1015">
            <v>2500000</v>
          </cell>
        </row>
        <row r="1016">
          <cell r="A1016" t="str">
            <v>2230|473120</v>
          </cell>
          <cell r="B1016" t="str">
            <v>2230</v>
          </cell>
          <cell r="C1016">
            <v>473120</v>
          </cell>
          <cell r="D1016">
            <v>41426</v>
          </cell>
          <cell r="E1016">
            <v>2000075</v>
          </cell>
          <cell r="F1016">
            <v>1000038</v>
          </cell>
          <cell r="G1016">
            <v>0</v>
          </cell>
          <cell r="H1016">
            <v>166673</v>
          </cell>
          <cell r="I1016">
            <v>0</v>
          </cell>
        </row>
        <row r="1017">
          <cell r="A1017" t="str">
            <v>2230|475001</v>
          </cell>
          <cell r="B1017" t="str">
            <v>2230</v>
          </cell>
          <cell r="C1017">
            <v>475001</v>
          </cell>
          <cell r="D1017">
            <v>41426</v>
          </cell>
          <cell r="E1017">
            <v>1124122</v>
          </cell>
          <cell r="F1017">
            <v>562061</v>
          </cell>
          <cell r="G1017">
            <v>0</v>
          </cell>
          <cell r="H1017">
            <v>93677</v>
          </cell>
          <cell r="I1017">
            <v>0</v>
          </cell>
        </row>
        <row r="1018">
          <cell r="A1018" t="str">
            <v>2230|476220</v>
          </cell>
          <cell r="B1018" t="str">
            <v>2230</v>
          </cell>
          <cell r="C1018">
            <v>476220</v>
          </cell>
          <cell r="D1018">
            <v>41426</v>
          </cell>
          <cell r="E1018">
            <v>413147760</v>
          </cell>
          <cell r="F1018">
            <v>206573880</v>
          </cell>
          <cell r="G1018">
            <v>317624444</v>
          </cell>
          <cell r="H1018">
            <v>34428980</v>
          </cell>
          <cell r="I1018">
            <v>40736442</v>
          </cell>
        </row>
        <row r="1019">
          <cell r="A1019" t="str">
            <v>2240|211104</v>
          </cell>
          <cell r="B1019" t="str">
            <v>2240</v>
          </cell>
          <cell r="C1019">
            <v>211104</v>
          </cell>
          <cell r="D1019">
            <v>41426</v>
          </cell>
          <cell r="E1019">
            <v>109443400</v>
          </cell>
          <cell r="F1019">
            <v>54721700</v>
          </cell>
          <cell r="G1019">
            <v>39423662</v>
          </cell>
          <cell r="H1019">
            <v>9120283</v>
          </cell>
          <cell r="I1019">
            <v>6546420</v>
          </cell>
        </row>
        <row r="1020">
          <cell r="A1020" t="str">
            <v>2240|449061</v>
          </cell>
          <cell r="B1020" t="str">
            <v>2240</v>
          </cell>
          <cell r="C1020">
            <v>449061</v>
          </cell>
          <cell r="D1020">
            <v>41426</v>
          </cell>
          <cell r="E1020">
            <v>0</v>
          </cell>
          <cell r="F1020">
            <v>0</v>
          </cell>
          <cell r="G1020">
            <v>64000</v>
          </cell>
          <cell r="H1020">
            <v>0</v>
          </cell>
          <cell r="I1020">
            <v>0</v>
          </cell>
        </row>
        <row r="1021">
          <cell r="A1021" t="str">
            <v>2240|451000</v>
          </cell>
          <cell r="B1021" t="str">
            <v>2240</v>
          </cell>
          <cell r="C1021">
            <v>451000</v>
          </cell>
          <cell r="D1021">
            <v>41426</v>
          </cell>
          <cell r="E1021">
            <v>8528957</v>
          </cell>
          <cell r="F1021">
            <v>4264479</v>
          </cell>
          <cell r="G1021">
            <v>2750000</v>
          </cell>
          <cell r="H1021">
            <v>710747</v>
          </cell>
          <cell r="I1021">
            <v>0</v>
          </cell>
        </row>
        <row r="1022">
          <cell r="A1022" t="str">
            <v>2240|452000</v>
          </cell>
          <cell r="B1022" t="str">
            <v>2240</v>
          </cell>
          <cell r="C1022">
            <v>452000</v>
          </cell>
          <cell r="D1022">
            <v>41426</v>
          </cell>
          <cell r="E1022">
            <v>5200000</v>
          </cell>
          <cell r="F1022">
            <v>5200000</v>
          </cell>
          <cell r="G1022">
            <v>0</v>
          </cell>
          <cell r="H1022">
            <v>5200000</v>
          </cell>
          <cell r="I1022">
            <v>0</v>
          </cell>
        </row>
        <row r="1023">
          <cell r="A1023" t="str">
            <v>2240|452001</v>
          </cell>
          <cell r="B1023" t="str">
            <v>2240</v>
          </cell>
          <cell r="C1023">
            <v>452001</v>
          </cell>
          <cell r="D1023">
            <v>41426</v>
          </cell>
          <cell r="E1023">
            <v>2000000</v>
          </cell>
          <cell r="F1023">
            <v>1000000</v>
          </cell>
          <cell r="G1023">
            <v>0</v>
          </cell>
          <cell r="H1023">
            <v>166667</v>
          </cell>
          <cell r="I1023">
            <v>0</v>
          </cell>
        </row>
        <row r="1024">
          <cell r="A1024" t="str">
            <v>2240|455000</v>
          </cell>
          <cell r="B1024" t="str">
            <v>2240</v>
          </cell>
          <cell r="C1024">
            <v>455000</v>
          </cell>
          <cell r="D1024">
            <v>41426</v>
          </cell>
          <cell r="E1024">
            <v>5000000</v>
          </cell>
          <cell r="F1024">
            <v>2500000</v>
          </cell>
          <cell r="G1024">
            <v>0</v>
          </cell>
          <cell r="H1024">
            <v>416667</v>
          </cell>
          <cell r="I1024">
            <v>0</v>
          </cell>
        </row>
        <row r="1025">
          <cell r="A1025" t="str">
            <v>2240|470101</v>
          </cell>
          <cell r="B1025" t="str">
            <v>2240</v>
          </cell>
          <cell r="C1025">
            <v>470101</v>
          </cell>
          <cell r="D1025">
            <v>41426</v>
          </cell>
          <cell r="E1025">
            <v>1371133243</v>
          </cell>
          <cell r="F1025">
            <v>685566622</v>
          </cell>
          <cell r="G1025">
            <v>682699258</v>
          </cell>
          <cell r="H1025">
            <v>114261104</v>
          </cell>
          <cell r="I1025">
            <v>138401901</v>
          </cell>
        </row>
        <row r="1026">
          <cell r="A1026" t="str">
            <v>2240|470102</v>
          </cell>
          <cell r="B1026" t="str">
            <v>2240</v>
          </cell>
          <cell r="C1026">
            <v>470102</v>
          </cell>
          <cell r="D1026">
            <v>41426</v>
          </cell>
          <cell r="E1026">
            <v>849580300</v>
          </cell>
          <cell r="F1026">
            <v>424790150</v>
          </cell>
          <cell r="G1026">
            <v>407492396</v>
          </cell>
          <cell r="H1026">
            <v>70798358</v>
          </cell>
          <cell r="I1026">
            <v>82321100</v>
          </cell>
        </row>
        <row r="1027">
          <cell r="A1027" t="str">
            <v>2240|476000</v>
          </cell>
          <cell r="B1027" t="str">
            <v>2240</v>
          </cell>
          <cell r="C1027">
            <v>476000</v>
          </cell>
          <cell r="D1027">
            <v>41426</v>
          </cell>
          <cell r="E1027">
            <v>704508</v>
          </cell>
          <cell r="F1027">
            <v>352254</v>
          </cell>
          <cell r="G1027">
            <v>0</v>
          </cell>
          <cell r="H1027">
            <v>58709</v>
          </cell>
          <cell r="I1027">
            <v>0</v>
          </cell>
        </row>
        <row r="1028">
          <cell r="A1028" t="str">
            <v>2240|476220</v>
          </cell>
          <cell r="B1028" t="str">
            <v>2240</v>
          </cell>
          <cell r="C1028">
            <v>476220</v>
          </cell>
          <cell r="D1028">
            <v>41426</v>
          </cell>
          <cell r="E1028">
            <v>62585600</v>
          </cell>
          <cell r="F1028">
            <v>31292800</v>
          </cell>
          <cell r="G1028">
            <v>34214218</v>
          </cell>
          <cell r="H1028">
            <v>5215467</v>
          </cell>
          <cell r="I1028">
            <v>431053</v>
          </cell>
        </row>
        <row r="1029">
          <cell r="A1029" t="str">
            <v>2260|211100</v>
          </cell>
          <cell r="B1029" t="str">
            <v>2260</v>
          </cell>
          <cell r="C1029">
            <v>211100</v>
          </cell>
          <cell r="D1029">
            <v>41426</v>
          </cell>
          <cell r="E1029">
            <v>2365589</v>
          </cell>
          <cell r="F1029">
            <v>1182795</v>
          </cell>
          <cell r="G1029">
            <v>378716</v>
          </cell>
          <cell r="H1029">
            <v>197133</v>
          </cell>
          <cell r="I1029">
            <v>63119</v>
          </cell>
        </row>
        <row r="1030">
          <cell r="A1030" t="str">
            <v>2260|400040</v>
          </cell>
          <cell r="B1030" t="str">
            <v>2260</v>
          </cell>
          <cell r="C1030">
            <v>400040</v>
          </cell>
          <cell r="D1030">
            <v>41426</v>
          </cell>
          <cell r="E1030">
            <v>1000000</v>
          </cell>
          <cell r="F1030">
            <v>500000</v>
          </cell>
          <cell r="G1030">
            <v>0</v>
          </cell>
          <cell r="H1030">
            <v>83333</v>
          </cell>
          <cell r="I1030">
            <v>0</v>
          </cell>
        </row>
        <row r="1031">
          <cell r="A1031" t="str">
            <v>2260|416303</v>
          </cell>
          <cell r="B1031" t="str">
            <v>2260</v>
          </cell>
          <cell r="C1031">
            <v>416303</v>
          </cell>
          <cell r="D1031">
            <v>41426</v>
          </cell>
          <cell r="E1031">
            <v>8547761</v>
          </cell>
          <cell r="F1031">
            <v>4273881</v>
          </cell>
          <cell r="G1031">
            <v>2482461</v>
          </cell>
          <cell r="H1031">
            <v>712314</v>
          </cell>
          <cell r="I1031">
            <v>0</v>
          </cell>
        </row>
        <row r="1032">
          <cell r="A1032" t="str">
            <v>2260|449061</v>
          </cell>
          <cell r="B1032" t="str">
            <v>2260</v>
          </cell>
          <cell r="C1032">
            <v>449061</v>
          </cell>
          <cell r="D1032">
            <v>41426</v>
          </cell>
          <cell r="E1032">
            <v>110442582</v>
          </cell>
          <cell r="F1032">
            <v>55221291</v>
          </cell>
          <cell r="G1032">
            <v>0</v>
          </cell>
          <cell r="H1032">
            <v>9203548</v>
          </cell>
          <cell r="I1032">
            <v>0</v>
          </cell>
        </row>
        <row r="1033">
          <cell r="A1033" t="str">
            <v>2260|451000</v>
          </cell>
          <cell r="B1033" t="str">
            <v>2260</v>
          </cell>
          <cell r="C1033">
            <v>451000</v>
          </cell>
          <cell r="D1033">
            <v>41426</v>
          </cell>
          <cell r="E1033">
            <v>95425676</v>
          </cell>
          <cell r="F1033">
            <v>47712838</v>
          </cell>
          <cell r="G1033">
            <v>26495100</v>
          </cell>
          <cell r="H1033">
            <v>7952140</v>
          </cell>
          <cell r="I1033">
            <v>0</v>
          </cell>
        </row>
        <row r="1034">
          <cell r="A1034" t="str">
            <v>2260|455000</v>
          </cell>
          <cell r="B1034" t="str">
            <v>2260</v>
          </cell>
          <cell r="C1034">
            <v>455000</v>
          </cell>
          <cell r="D1034">
            <v>41426</v>
          </cell>
          <cell r="E1034">
            <v>5000000</v>
          </cell>
          <cell r="F1034">
            <v>2500000</v>
          </cell>
          <cell r="G1034">
            <v>0</v>
          </cell>
          <cell r="H1034">
            <v>416667</v>
          </cell>
          <cell r="I1034">
            <v>0</v>
          </cell>
        </row>
        <row r="1035">
          <cell r="A1035" t="str">
            <v>2260|470102</v>
          </cell>
          <cell r="B1035" t="str">
            <v>2260</v>
          </cell>
          <cell r="C1035">
            <v>470102</v>
          </cell>
          <cell r="D1035">
            <v>41426</v>
          </cell>
          <cell r="E1035">
            <v>27535500</v>
          </cell>
          <cell r="F1035">
            <v>13767750</v>
          </cell>
          <cell r="G1035">
            <v>20768255</v>
          </cell>
          <cell r="H1035">
            <v>2294625</v>
          </cell>
          <cell r="I1035">
            <v>3040000</v>
          </cell>
        </row>
        <row r="1036">
          <cell r="A1036" t="str">
            <v>2260|471000</v>
          </cell>
          <cell r="B1036" t="str">
            <v>2260</v>
          </cell>
          <cell r="C1036">
            <v>471000</v>
          </cell>
          <cell r="D1036">
            <v>41426</v>
          </cell>
          <cell r="E1036">
            <v>27515844</v>
          </cell>
          <cell r="F1036">
            <v>13757922</v>
          </cell>
          <cell r="G1036">
            <v>10138501</v>
          </cell>
          <cell r="H1036">
            <v>2292987</v>
          </cell>
          <cell r="I1036">
            <v>-1209</v>
          </cell>
        </row>
        <row r="1037">
          <cell r="A1037" t="str">
            <v>2260|473000</v>
          </cell>
          <cell r="B1037" t="str">
            <v>2260</v>
          </cell>
          <cell r="C1037">
            <v>473000</v>
          </cell>
          <cell r="D1037">
            <v>41426</v>
          </cell>
          <cell r="E1037">
            <v>304350</v>
          </cell>
          <cell r="F1037">
            <v>152175</v>
          </cell>
          <cell r="G1037">
            <v>120000</v>
          </cell>
          <cell r="H1037">
            <v>25362</v>
          </cell>
          <cell r="I1037">
            <v>-120000</v>
          </cell>
        </row>
        <row r="1038">
          <cell r="A1038" t="str">
            <v>2260|473120</v>
          </cell>
          <cell r="B1038" t="str">
            <v>2260</v>
          </cell>
          <cell r="C1038">
            <v>473120</v>
          </cell>
          <cell r="D1038">
            <v>41426</v>
          </cell>
          <cell r="E1038">
            <v>108565</v>
          </cell>
          <cell r="F1038">
            <v>54283</v>
          </cell>
          <cell r="G1038">
            <v>0</v>
          </cell>
          <cell r="H1038">
            <v>9048</v>
          </cell>
          <cell r="I1038">
            <v>0</v>
          </cell>
        </row>
        <row r="1039">
          <cell r="A1039" t="str">
            <v>2260|476220</v>
          </cell>
          <cell r="B1039" t="str">
            <v>2260</v>
          </cell>
          <cell r="C1039">
            <v>476220</v>
          </cell>
          <cell r="D1039">
            <v>41426</v>
          </cell>
          <cell r="E1039">
            <v>195550032</v>
          </cell>
          <cell r="F1039">
            <v>97775016</v>
          </cell>
          <cell r="G1039">
            <v>130163347</v>
          </cell>
          <cell r="H1039">
            <v>16295836</v>
          </cell>
          <cell r="I1039">
            <v>16108211</v>
          </cell>
        </row>
        <row r="1040">
          <cell r="A1040" t="str">
            <v>2270|211100</v>
          </cell>
          <cell r="B1040" t="str">
            <v>2270</v>
          </cell>
          <cell r="C1040">
            <v>211100</v>
          </cell>
          <cell r="D1040">
            <v>41426</v>
          </cell>
          <cell r="E1040">
            <v>525341096</v>
          </cell>
          <cell r="F1040">
            <v>262670548</v>
          </cell>
          <cell r="G1040">
            <v>32164762</v>
          </cell>
          <cell r="H1040">
            <v>43778425</v>
          </cell>
          <cell r="I1040">
            <v>5592295</v>
          </cell>
        </row>
        <row r="1041">
          <cell r="A1041" t="str">
            <v>2270|246000</v>
          </cell>
          <cell r="B1041" t="str">
            <v>2270</v>
          </cell>
          <cell r="C1041">
            <v>246000</v>
          </cell>
          <cell r="D1041">
            <v>41426</v>
          </cell>
          <cell r="E1041">
            <v>9200000</v>
          </cell>
          <cell r="F1041">
            <v>4600000</v>
          </cell>
          <cell r="G1041">
            <v>0</v>
          </cell>
          <cell r="H1041">
            <v>766666</v>
          </cell>
          <cell r="I1041">
            <v>0</v>
          </cell>
        </row>
        <row r="1042">
          <cell r="A1042" t="str">
            <v>2270|420002</v>
          </cell>
          <cell r="B1042" t="str">
            <v>2270</v>
          </cell>
          <cell r="C1042">
            <v>420002</v>
          </cell>
          <cell r="D1042">
            <v>41426</v>
          </cell>
          <cell r="E1042">
            <v>239294195</v>
          </cell>
          <cell r="F1042">
            <v>119647098</v>
          </cell>
          <cell r="G1042">
            <v>87726000</v>
          </cell>
          <cell r="H1042">
            <v>19941183</v>
          </cell>
          <cell r="I1042">
            <v>14621000</v>
          </cell>
        </row>
        <row r="1043">
          <cell r="A1043" t="str">
            <v>2270|420003</v>
          </cell>
          <cell r="B1043" t="str">
            <v>2270</v>
          </cell>
          <cell r="C1043">
            <v>420003</v>
          </cell>
          <cell r="D1043">
            <v>41426</v>
          </cell>
          <cell r="E1043">
            <v>402427382</v>
          </cell>
          <cell r="F1043">
            <v>201213691</v>
          </cell>
          <cell r="G1043">
            <v>196967933</v>
          </cell>
          <cell r="H1043">
            <v>33535615</v>
          </cell>
          <cell r="I1043">
            <v>33194879</v>
          </cell>
        </row>
        <row r="1044">
          <cell r="A1044" t="str">
            <v>2270|422002</v>
          </cell>
          <cell r="B1044" t="str">
            <v>2270</v>
          </cell>
          <cell r="C1044">
            <v>422002</v>
          </cell>
          <cell r="D1044">
            <v>41426</v>
          </cell>
          <cell r="E1044">
            <v>185220</v>
          </cell>
          <cell r="F1044">
            <v>92610</v>
          </cell>
          <cell r="G1044">
            <v>117450</v>
          </cell>
          <cell r="H1044">
            <v>15435</v>
          </cell>
          <cell r="I1044">
            <v>0</v>
          </cell>
        </row>
        <row r="1045">
          <cell r="A1045" t="str">
            <v>2270|431000</v>
          </cell>
          <cell r="B1045" t="str">
            <v>2270</v>
          </cell>
          <cell r="C1045">
            <v>431000</v>
          </cell>
          <cell r="D1045">
            <v>41426</v>
          </cell>
          <cell r="E1045">
            <v>15000000</v>
          </cell>
          <cell r="F1045">
            <v>7500000</v>
          </cell>
          <cell r="G1045">
            <v>0</v>
          </cell>
          <cell r="H1045">
            <v>1250000</v>
          </cell>
          <cell r="I1045">
            <v>0</v>
          </cell>
        </row>
        <row r="1046">
          <cell r="A1046" t="str">
            <v>2270|431002</v>
          </cell>
          <cell r="B1046" t="str">
            <v>2270</v>
          </cell>
          <cell r="C1046">
            <v>431002</v>
          </cell>
          <cell r="D1046">
            <v>41426</v>
          </cell>
          <cell r="E1046">
            <v>29422014</v>
          </cell>
          <cell r="F1046">
            <v>14711007</v>
          </cell>
          <cell r="G1046">
            <v>12016570</v>
          </cell>
          <cell r="H1046">
            <v>2451834</v>
          </cell>
          <cell r="I1046">
            <v>50000</v>
          </cell>
        </row>
        <row r="1047">
          <cell r="A1047" t="str">
            <v>2270|434012</v>
          </cell>
          <cell r="B1047" t="str">
            <v>2270</v>
          </cell>
          <cell r="C1047">
            <v>434012</v>
          </cell>
          <cell r="D1047">
            <v>41426</v>
          </cell>
          <cell r="E1047">
            <v>0</v>
          </cell>
          <cell r="F1047">
            <v>0</v>
          </cell>
          <cell r="G1047">
            <v>2961603</v>
          </cell>
          <cell r="H1047">
            <v>0</v>
          </cell>
          <cell r="I1047">
            <v>498745</v>
          </cell>
        </row>
        <row r="1048">
          <cell r="A1048" t="str">
            <v>2270|434013</v>
          </cell>
          <cell r="B1048" t="str">
            <v>2270</v>
          </cell>
          <cell r="C1048">
            <v>434013</v>
          </cell>
          <cell r="D1048">
            <v>41426</v>
          </cell>
          <cell r="E1048">
            <v>0</v>
          </cell>
          <cell r="F1048">
            <v>0</v>
          </cell>
          <cell r="G1048">
            <v>7500804</v>
          </cell>
          <cell r="H1048">
            <v>0</v>
          </cell>
          <cell r="I1048">
            <v>1200976</v>
          </cell>
        </row>
        <row r="1049">
          <cell r="A1049" t="str">
            <v>2270|435002</v>
          </cell>
          <cell r="B1049" t="str">
            <v>2270</v>
          </cell>
          <cell r="C1049">
            <v>435002</v>
          </cell>
          <cell r="D1049">
            <v>41426</v>
          </cell>
          <cell r="E1049">
            <v>40879425</v>
          </cell>
          <cell r="F1049">
            <v>20439713</v>
          </cell>
          <cell r="G1049">
            <v>15439500</v>
          </cell>
          <cell r="H1049">
            <v>3406619</v>
          </cell>
          <cell r="I1049">
            <v>0</v>
          </cell>
        </row>
        <row r="1050">
          <cell r="A1050" t="str">
            <v>2270|435003</v>
          </cell>
          <cell r="B1050" t="str">
            <v>2270</v>
          </cell>
          <cell r="C1050">
            <v>435003</v>
          </cell>
          <cell r="D1050">
            <v>41426</v>
          </cell>
          <cell r="E1050">
            <v>50303423</v>
          </cell>
          <cell r="F1050">
            <v>25151712</v>
          </cell>
          <cell r="G1050">
            <v>72787000</v>
          </cell>
          <cell r="H1050">
            <v>4191952</v>
          </cell>
          <cell r="I1050">
            <v>0</v>
          </cell>
        </row>
        <row r="1051">
          <cell r="A1051" t="str">
            <v>2270|439003</v>
          </cell>
          <cell r="B1051" t="str">
            <v>2270</v>
          </cell>
          <cell r="C1051">
            <v>439003</v>
          </cell>
          <cell r="D1051">
            <v>41426</v>
          </cell>
          <cell r="E1051">
            <v>78899758</v>
          </cell>
          <cell r="F1051">
            <v>39449879</v>
          </cell>
          <cell r="G1051">
            <v>40146216</v>
          </cell>
          <cell r="H1051">
            <v>6574980</v>
          </cell>
          <cell r="I1051">
            <v>6445211</v>
          </cell>
        </row>
        <row r="1052">
          <cell r="A1052" t="str">
            <v>2270|439008</v>
          </cell>
          <cell r="B1052" t="str">
            <v>2270</v>
          </cell>
          <cell r="C1052">
            <v>439008</v>
          </cell>
          <cell r="D1052">
            <v>41426</v>
          </cell>
          <cell r="E1052">
            <v>49266188</v>
          </cell>
          <cell r="F1052">
            <v>24633094</v>
          </cell>
          <cell r="G1052">
            <v>28526853</v>
          </cell>
          <cell r="H1052">
            <v>4105516</v>
          </cell>
          <cell r="I1052">
            <v>4794763</v>
          </cell>
        </row>
        <row r="1053">
          <cell r="A1053" t="str">
            <v>2270|440002</v>
          </cell>
          <cell r="B1053" t="str">
            <v>2270</v>
          </cell>
          <cell r="C1053">
            <v>440002</v>
          </cell>
          <cell r="D1053">
            <v>41426</v>
          </cell>
          <cell r="E1053">
            <v>19941183</v>
          </cell>
          <cell r="F1053">
            <v>9970592</v>
          </cell>
          <cell r="G1053">
            <v>10593746</v>
          </cell>
          <cell r="H1053">
            <v>1661766</v>
          </cell>
          <cell r="I1053">
            <v>1192857</v>
          </cell>
        </row>
        <row r="1054">
          <cell r="A1054" t="str">
            <v>2270|440003</v>
          </cell>
          <cell r="B1054" t="str">
            <v>2270</v>
          </cell>
          <cell r="C1054">
            <v>440003</v>
          </cell>
          <cell r="D1054">
            <v>41426</v>
          </cell>
          <cell r="E1054">
            <v>33535615</v>
          </cell>
          <cell r="F1054">
            <v>16767808</v>
          </cell>
          <cell r="G1054">
            <v>19183214</v>
          </cell>
          <cell r="H1054">
            <v>2794635</v>
          </cell>
          <cell r="I1054">
            <v>3945243</v>
          </cell>
        </row>
        <row r="1055">
          <cell r="A1055" t="str">
            <v>2270|446002</v>
          </cell>
          <cell r="B1055" t="str">
            <v>2270</v>
          </cell>
          <cell r="C1055">
            <v>446002</v>
          </cell>
          <cell r="D1055">
            <v>41426</v>
          </cell>
          <cell r="E1055">
            <v>9970591</v>
          </cell>
          <cell r="F1055">
            <v>4985296</v>
          </cell>
          <cell r="G1055">
            <v>2700000</v>
          </cell>
          <cell r="H1055">
            <v>830883</v>
          </cell>
          <cell r="I1055">
            <v>450000</v>
          </cell>
        </row>
        <row r="1056">
          <cell r="A1056" t="str">
            <v>2270|447002</v>
          </cell>
          <cell r="B1056" t="str">
            <v>2270</v>
          </cell>
          <cell r="C1056">
            <v>447002</v>
          </cell>
          <cell r="D1056">
            <v>41426</v>
          </cell>
          <cell r="E1056">
            <v>3756919</v>
          </cell>
          <cell r="F1056">
            <v>1878460</v>
          </cell>
          <cell r="G1056">
            <v>1377300</v>
          </cell>
          <cell r="H1056">
            <v>313077</v>
          </cell>
          <cell r="I1056">
            <v>229550</v>
          </cell>
        </row>
        <row r="1057">
          <cell r="A1057" t="str">
            <v>2270|447003</v>
          </cell>
          <cell r="B1057" t="str">
            <v>2270</v>
          </cell>
          <cell r="C1057">
            <v>447003</v>
          </cell>
          <cell r="D1057">
            <v>41426</v>
          </cell>
          <cell r="E1057">
            <v>6318299</v>
          </cell>
          <cell r="F1057">
            <v>3159150</v>
          </cell>
          <cell r="G1057">
            <v>2173158</v>
          </cell>
          <cell r="H1057">
            <v>526525</v>
          </cell>
          <cell r="I1057">
            <v>362193</v>
          </cell>
        </row>
        <row r="1058">
          <cell r="A1058" t="str">
            <v>2270|447012</v>
          </cell>
          <cell r="B1058" t="str">
            <v>2270</v>
          </cell>
          <cell r="C1058">
            <v>447012</v>
          </cell>
          <cell r="D1058">
            <v>41426</v>
          </cell>
          <cell r="E1058">
            <v>8853885</v>
          </cell>
          <cell r="F1058">
            <v>4426943</v>
          </cell>
          <cell r="G1058">
            <v>3245862</v>
          </cell>
          <cell r="H1058">
            <v>737824</v>
          </cell>
          <cell r="I1058">
            <v>540977</v>
          </cell>
        </row>
        <row r="1059">
          <cell r="A1059" t="str">
            <v>2270|447013</v>
          </cell>
          <cell r="B1059" t="str">
            <v>2270</v>
          </cell>
          <cell r="C1059">
            <v>447013</v>
          </cell>
          <cell r="D1059">
            <v>41426</v>
          </cell>
          <cell r="E1059">
            <v>14889813</v>
          </cell>
          <cell r="F1059">
            <v>7444907</v>
          </cell>
          <cell r="G1059">
            <v>7161834</v>
          </cell>
          <cell r="H1059">
            <v>1240818</v>
          </cell>
          <cell r="I1059">
            <v>1193639</v>
          </cell>
        </row>
        <row r="1060">
          <cell r="A1060" t="str">
            <v>2270|447022</v>
          </cell>
          <cell r="B1060" t="str">
            <v>2270</v>
          </cell>
          <cell r="C1060">
            <v>447022</v>
          </cell>
          <cell r="D1060">
            <v>41426</v>
          </cell>
          <cell r="E1060">
            <v>375692</v>
          </cell>
          <cell r="F1060">
            <v>187846</v>
          </cell>
          <cell r="G1060">
            <v>139782</v>
          </cell>
          <cell r="H1060">
            <v>31308</v>
          </cell>
          <cell r="I1060">
            <v>22050</v>
          </cell>
        </row>
        <row r="1061">
          <cell r="A1061" t="str">
            <v>2270|447023</v>
          </cell>
          <cell r="B1061" t="str">
            <v>2270</v>
          </cell>
          <cell r="C1061">
            <v>447023</v>
          </cell>
          <cell r="D1061">
            <v>41426</v>
          </cell>
          <cell r="E1061">
            <v>522882</v>
          </cell>
          <cell r="F1061">
            <v>261441</v>
          </cell>
          <cell r="G1061">
            <v>383575</v>
          </cell>
          <cell r="H1061">
            <v>43573</v>
          </cell>
          <cell r="I1061">
            <v>63975</v>
          </cell>
        </row>
        <row r="1062">
          <cell r="A1062" t="str">
            <v>2270|448002</v>
          </cell>
          <cell r="B1062" t="str">
            <v>2270</v>
          </cell>
          <cell r="C1062">
            <v>448002</v>
          </cell>
          <cell r="D1062">
            <v>41426</v>
          </cell>
          <cell r="E1062">
            <v>17903373</v>
          </cell>
          <cell r="F1062">
            <v>8951687</v>
          </cell>
          <cell r="G1062">
            <v>12053185</v>
          </cell>
          <cell r="H1062">
            <v>1491948</v>
          </cell>
          <cell r="I1062">
            <v>3413300</v>
          </cell>
        </row>
        <row r="1063">
          <cell r="A1063" t="str">
            <v>2270|448003</v>
          </cell>
          <cell r="B1063" t="str">
            <v>2270</v>
          </cell>
          <cell r="C1063">
            <v>448003</v>
          </cell>
          <cell r="D1063">
            <v>41426</v>
          </cell>
          <cell r="E1063">
            <v>23792707</v>
          </cell>
          <cell r="F1063">
            <v>11896354</v>
          </cell>
          <cell r="G1063">
            <v>8276096</v>
          </cell>
          <cell r="H1063">
            <v>1982726</v>
          </cell>
          <cell r="I1063">
            <v>1221646</v>
          </cell>
        </row>
        <row r="1064">
          <cell r="A1064" t="str">
            <v>2270|449022</v>
          </cell>
          <cell r="B1064" t="str">
            <v>2270</v>
          </cell>
          <cell r="C1064">
            <v>449022</v>
          </cell>
          <cell r="D1064">
            <v>41426</v>
          </cell>
          <cell r="E1064">
            <v>11880000</v>
          </cell>
          <cell r="F1064">
            <v>5940000</v>
          </cell>
          <cell r="G1064">
            <v>5916000</v>
          </cell>
          <cell r="H1064">
            <v>990000</v>
          </cell>
          <cell r="I1064">
            <v>935000</v>
          </cell>
        </row>
        <row r="1065">
          <cell r="A1065" t="str">
            <v>2270|449023</v>
          </cell>
          <cell r="B1065" t="str">
            <v>2270</v>
          </cell>
          <cell r="C1065">
            <v>449023</v>
          </cell>
          <cell r="D1065">
            <v>41426</v>
          </cell>
          <cell r="E1065">
            <v>33396000</v>
          </cell>
          <cell r="F1065">
            <v>16698000</v>
          </cell>
          <cell r="G1065">
            <v>21499000</v>
          </cell>
          <cell r="H1065">
            <v>2783000</v>
          </cell>
          <cell r="I1065">
            <v>3542000</v>
          </cell>
        </row>
        <row r="1066">
          <cell r="A1066" t="str">
            <v>2270|449032</v>
          </cell>
          <cell r="B1066" t="str">
            <v>2270</v>
          </cell>
          <cell r="C1066">
            <v>449032</v>
          </cell>
          <cell r="D1066">
            <v>41426</v>
          </cell>
          <cell r="E1066">
            <v>4270774</v>
          </cell>
          <cell r="F1066">
            <v>2135387</v>
          </cell>
          <cell r="G1066">
            <v>0</v>
          </cell>
          <cell r="H1066">
            <v>355898</v>
          </cell>
          <cell r="I1066">
            <v>0</v>
          </cell>
        </row>
        <row r="1067">
          <cell r="A1067" t="str">
            <v>2270|449050</v>
          </cell>
          <cell r="B1067" t="str">
            <v>2270</v>
          </cell>
          <cell r="C1067">
            <v>449050</v>
          </cell>
          <cell r="D1067">
            <v>41426</v>
          </cell>
          <cell r="E1067">
            <v>26907540</v>
          </cell>
          <cell r="F1067">
            <v>13453770</v>
          </cell>
          <cell r="G1067">
            <v>14800002</v>
          </cell>
          <cell r="H1067">
            <v>2242295</v>
          </cell>
          <cell r="I1067">
            <v>2466667</v>
          </cell>
        </row>
        <row r="1068">
          <cell r="A1068" t="str">
            <v>2270|449061</v>
          </cell>
          <cell r="B1068" t="str">
            <v>2270</v>
          </cell>
          <cell r="C1068">
            <v>449061</v>
          </cell>
          <cell r="D1068">
            <v>41426</v>
          </cell>
          <cell r="E1068">
            <v>28065900</v>
          </cell>
          <cell r="F1068">
            <v>14032950</v>
          </cell>
          <cell r="G1068">
            <v>6111400</v>
          </cell>
          <cell r="H1068">
            <v>2338825</v>
          </cell>
          <cell r="I1068">
            <v>1676700</v>
          </cell>
        </row>
        <row r="1069">
          <cell r="A1069" t="str">
            <v>2270|451000</v>
          </cell>
          <cell r="B1069" t="str">
            <v>2270</v>
          </cell>
          <cell r="C1069">
            <v>451000</v>
          </cell>
          <cell r="D1069">
            <v>41426</v>
          </cell>
          <cell r="E1069">
            <v>13497975</v>
          </cell>
          <cell r="F1069">
            <v>6748988</v>
          </cell>
          <cell r="G1069">
            <v>0</v>
          </cell>
          <cell r="H1069">
            <v>1124832</v>
          </cell>
          <cell r="I1069">
            <v>0</v>
          </cell>
        </row>
        <row r="1070">
          <cell r="A1070" t="str">
            <v>2270|455000</v>
          </cell>
          <cell r="B1070" t="str">
            <v>2270</v>
          </cell>
          <cell r="C1070">
            <v>455000</v>
          </cell>
          <cell r="D1070">
            <v>41426</v>
          </cell>
          <cell r="E1070">
            <v>5000000</v>
          </cell>
          <cell r="F1070">
            <v>2500000</v>
          </cell>
          <cell r="G1070">
            <v>0</v>
          </cell>
          <cell r="H1070">
            <v>416667</v>
          </cell>
          <cell r="I1070">
            <v>0</v>
          </cell>
        </row>
        <row r="1071">
          <cell r="A1071" t="str">
            <v>2270|459000</v>
          </cell>
          <cell r="B1071" t="str">
            <v>2270</v>
          </cell>
          <cell r="C1071">
            <v>459000</v>
          </cell>
          <cell r="D1071">
            <v>41426</v>
          </cell>
          <cell r="E1071">
            <v>16408615</v>
          </cell>
          <cell r="F1071">
            <v>8204308</v>
          </cell>
          <cell r="G1071">
            <v>15947790</v>
          </cell>
          <cell r="H1071">
            <v>1367385</v>
          </cell>
          <cell r="I1071">
            <v>2215350</v>
          </cell>
        </row>
        <row r="1072">
          <cell r="A1072" t="str">
            <v>2270|471000</v>
          </cell>
          <cell r="B1072" t="str">
            <v>2270</v>
          </cell>
          <cell r="C1072">
            <v>471000</v>
          </cell>
          <cell r="D1072">
            <v>41426</v>
          </cell>
          <cell r="E1072">
            <v>47514628</v>
          </cell>
          <cell r="F1072">
            <v>23757314</v>
          </cell>
          <cell r="G1072">
            <v>11471577</v>
          </cell>
          <cell r="H1072">
            <v>3959552</v>
          </cell>
          <cell r="I1072">
            <v>0</v>
          </cell>
        </row>
        <row r="1073">
          <cell r="A1073" t="str">
            <v>2270|473000</v>
          </cell>
          <cell r="B1073" t="str">
            <v>2270</v>
          </cell>
          <cell r="C1073">
            <v>473000</v>
          </cell>
          <cell r="D1073">
            <v>41426</v>
          </cell>
          <cell r="E1073">
            <v>395655</v>
          </cell>
          <cell r="F1073">
            <v>197828</v>
          </cell>
          <cell r="G1073">
            <v>30000</v>
          </cell>
          <cell r="H1073">
            <v>32972</v>
          </cell>
          <cell r="I1073">
            <v>0</v>
          </cell>
        </row>
        <row r="1074">
          <cell r="A1074" t="str">
            <v>2270|473120</v>
          </cell>
          <cell r="B1074" t="str">
            <v>2270</v>
          </cell>
          <cell r="C1074">
            <v>473120</v>
          </cell>
          <cell r="D1074">
            <v>41426</v>
          </cell>
          <cell r="E1074">
            <v>22197722</v>
          </cell>
          <cell r="F1074">
            <v>11098861</v>
          </cell>
          <cell r="G1074">
            <v>13088554</v>
          </cell>
          <cell r="H1074">
            <v>1849810</v>
          </cell>
          <cell r="I1074">
            <v>3318804</v>
          </cell>
        </row>
        <row r="1075">
          <cell r="A1075" t="str">
            <v>2270|475001</v>
          </cell>
          <cell r="B1075" t="str">
            <v>2270</v>
          </cell>
          <cell r="C1075">
            <v>475001</v>
          </cell>
          <cell r="D1075">
            <v>41426</v>
          </cell>
          <cell r="E1075">
            <v>1781858</v>
          </cell>
          <cell r="F1075">
            <v>890929</v>
          </cell>
          <cell r="G1075">
            <v>0</v>
          </cell>
          <cell r="H1075">
            <v>148488</v>
          </cell>
          <cell r="I1075">
            <v>0</v>
          </cell>
        </row>
        <row r="1076">
          <cell r="A1076" t="str">
            <v>2270|475002</v>
          </cell>
          <cell r="B1076" t="str">
            <v>2270</v>
          </cell>
          <cell r="C1076">
            <v>475002</v>
          </cell>
          <cell r="D1076">
            <v>41426</v>
          </cell>
          <cell r="E1076">
            <v>0</v>
          </cell>
          <cell r="F1076">
            <v>0</v>
          </cell>
          <cell r="G1076">
            <v>159688</v>
          </cell>
          <cell r="H1076">
            <v>0</v>
          </cell>
          <cell r="I1076">
            <v>0</v>
          </cell>
        </row>
        <row r="1077">
          <cell r="A1077" t="str">
            <v>2270|475006</v>
          </cell>
          <cell r="B1077" t="str">
            <v>2270</v>
          </cell>
          <cell r="C1077">
            <v>475006</v>
          </cell>
          <cell r="D1077">
            <v>41426</v>
          </cell>
          <cell r="E1077">
            <v>2560352</v>
          </cell>
          <cell r="F1077">
            <v>1280176</v>
          </cell>
          <cell r="G1077">
            <v>1261877</v>
          </cell>
          <cell r="H1077">
            <v>213363</v>
          </cell>
          <cell r="I1077">
            <v>210313</v>
          </cell>
        </row>
        <row r="1078">
          <cell r="A1078" t="str">
            <v>2270|476000</v>
          </cell>
          <cell r="B1078" t="str">
            <v>2270</v>
          </cell>
          <cell r="C1078">
            <v>476000</v>
          </cell>
          <cell r="D1078">
            <v>41426</v>
          </cell>
          <cell r="E1078">
            <v>18266432</v>
          </cell>
          <cell r="F1078">
            <v>9133216</v>
          </cell>
          <cell r="G1078">
            <v>8811368</v>
          </cell>
          <cell r="H1078">
            <v>1522203</v>
          </cell>
          <cell r="I1078">
            <v>5225000</v>
          </cell>
        </row>
        <row r="1079">
          <cell r="A1079" t="str">
            <v>2270|476001</v>
          </cell>
          <cell r="B1079" t="str">
            <v>2270</v>
          </cell>
          <cell r="C1079">
            <v>476001</v>
          </cell>
          <cell r="D1079">
            <v>41426</v>
          </cell>
          <cell r="E1079">
            <v>0</v>
          </cell>
          <cell r="F1079">
            <v>0</v>
          </cell>
          <cell r="G1079">
            <v>-589589</v>
          </cell>
          <cell r="H1079">
            <v>0</v>
          </cell>
          <cell r="I1079">
            <v>-84227</v>
          </cell>
        </row>
        <row r="1080">
          <cell r="A1080" t="str">
            <v>2270|476220</v>
          </cell>
          <cell r="B1080" t="str">
            <v>2270</v>
          </cell>
          <cell r="C1080">
            <v>476220</v>
          </cell>
          <cell r="D1080">
            <v>41426</v>
          </cell>
          <cell r="E1080">
            <v>46637140</v>
          </cell>
          <cell r="F1080">
            <v>23318570</v>
          </cell>
          <cell r="G1080">
            <v>47935103</v>
          </cell>
          <cell r="H1080">
            <v>3886428</v>
          </cell>
          <cell r="I1080">
            <v>7296537</v>
          </cell>
        </row>
        <row r="1081">
          <cell r="A1081" t="str">
            <v>2300|211100</v>
          </cell>
          <cell r="B1081" t="str">
            <v>2300</v>
          </cell>
          <cell r="C1081">
            <v>211100</v>
          </cell>
          <cell r="D1081">
            <v>41426</v>
          </cell>
          <cell r="E1081">
            <v>45928076</v>
          </cell>
          <cell r="F1081">
            <v>22964038</v>
          </cell>
          <cell r="G1081">
            <v>17077393</v>
          </cell>
          <cell r="H1081">
            <v>3827340</v>
          </cell>
          <cell r="I1081">
            <v>2846251</v>
          </cell>
        </row>
        <row r="1082">
          <cell r="A1082" t="str">
            <v>2300|246000</v>
          </cell>
          <cell r="B1082" t="str">
            <v>2300</v>
          </cell>
          <cell r="C1082">
            <v>246000</v>
          </cell>
          <cell r="D1082">
            <v>41426</v>
          </cell>
          <cell r="E1082">
            <v>1000000</v>
          </cell>
          <cell r="F1082">
            <v>500000</v>
          </cell>
          <cell r="G1082">
            <v>0</v>
          </cell>
          <cell r="H1082">
            <v>83333</v>
          </cell>
          <cell r="I1082">
            <v>0</v>
          </cell>
        </row>
        <row r="1083">
          <cell r="A1083" t="str">
            <v>2300|420002</v>
          </cell>
          <cell r="B1083" t="str">
            <v>2300</v>
          </cell>
          <cell r="C1083">
            <v>420002</v>
          </cell>
          <cell r="D1083">
            <v>41426</v>
          </cell>
          <cell r="E1083">
            <v>159529463</v>
          </cell>
          <cell r="F1083">
            <v>79764732</v>
          </cell>
          <cell r="G1083">
            <v>78958600</v>
          </cell>
          <cell r="H1083">
            <v>13294122</v>
          </cell>
          <cell r="I1083">
            <v>8677300</v>
          </cell>
        </row>
        <row r="1084">
          <cell r="A1084" t="str">
            <v>2300|420003</v>
          </cell>
          <cell r="B1084" t="str">
            <v>2300</v>
          </cell>
          <cell r="C1084">
            <v>420003</v>
          </cell>
          <cell r="D1084">
            <v>41426</v>
          </cell>
          <cell r="E1084">
            <v>255520683</v>
          </cell>
          <cell r="F1084">
            <v>127760342</v>
          </cell>
          <cell r="G1084">
            <v>126179805</v>
          </cell>
          <cell r="H1084">
            <v>21293391</v>
          </cell>
          <cell r="I1084">
            <v>21265001</v>
          </cell>
        </row>
        <row r="1085">
          <cell r="A1085" t="str">
            <v>2300|422003</v>
          </cell>
          <cell r="B1085" t="str">
            <v>2300</v>
          </cell>
          <cell r="C1085">
            <v>422003</v>
          </cell>
          <cell r="D1085">
            <v>41426</v>
          </cell>
          <cell r="E1085">
            <v>0</v>
          </cell>
          <cell r="F1085">
            <v>0</v>
          </cell>
          <cell r="G1085">
            <v>498450</v>
          </cell>
          <cell r="H1085">
            <v>0</v>
          </cell>
          <cell r="I1085">
            <v>0</v>
          </cell>
        </row>
        <row r="1086">
          <cell r="A1086" t="str">
            <v>2300|431002</v>
          </cell>
          <cell r="B1086" t="str">
            <v>2300</v>
          </cell>
          <cell r="C1086">
            <v>431002</v>
          </cell>
          <cell r="D1086">
            <v>41426</v>
          </cell>
          <cell r="E1086">
            <v>756929</v>
          </cell>
          <cell r="F1086">
            <v>378465</v>
          </cell>
          <cell r="G1086">
            <v>0</v>
          </cell>
          <cell r="H1086">
            <v>63078</v>
          </cell>
          <cell r="I1086">
            <v>0</v>
          </cell>
        </row>
        <row r="1087">
          <cell r="A1087" t="str">
            <v>2300|434012</v>
          </cell>
          <cell r="B1087" t="str">
            <v>2300</v>
          </cell>
          <cell r="C1087">
            <v>434012</v>
          </cell>
          <cell r="D1087">
            <v>41426</v>
          </cell>
          <cell r="E1087">
            <v>0</v>
          </cell>
          <cell r="F1087">
            <v>0</v>
          </cell>
          <cell r="G1087">
            <v>1974400</v>
          </cell>
          <cell r="H1087">
            <v>0</v>
          </cell>
          <cell r="I1087">
            <v>332496</v>
          </cell>
        </row>
        <row r="1088">
          <cell r="A1088" t="str">
            <v>2300|434013</v>
          </cell>
          <cell r="B1088" t="str">
            <v>2300</v>
          </cell>
          <cell r="C1088">
            <v>434013</v>
          </cell>
          <cell r="D1088">
            <v>41426</v>
          </cell>
          <cell r="E1088">
            <v>0</v>
          </cell>
          <cell r="F1088">
            <v>0</v>
          </cell>
          <cell r="G1088">
            <v>3750402</v>
          </cell>
          <cell r="H1088">
            <v>0</v>
          </cell>
          <cell r="I1088">
            <v>600488</v>
          </cell>
        </row>
        <row r="1089">
          <cell r="A1089" t="str">
            <v>2300|435002</v>
          </cell>
          <cell r="B1089" t="str">
            <v>2300</v>
          </cell>
          <cell r="C1089">
            <v>435002</v>
          </cell>
          <cell r="D1089">
            <v>41426</v>
          </cell>
          <cell r="E1089">
            <v>27252950</v>
          </cell>
          <cell r="F1089">
            <v>13626475</v>
          </cell>
          <cell r="G1089">
            <v>15028000</v>
          </cell>
          <cell r="H1089">
            <v>2271079</v>
          </cell>
          <cell r="I1089">
            <v>0</v>
          </cell>
        </row>
        <row r="1090">
          <cell r="A1090" t="str">
            <v>2300|435003</v>
          </cell>
          <cell r="B1090" t="str">
            <v>2300</v>
          </cell>
          <cell r="C1090">
            <v>435003</v>
          </cell>
          <cell r="D1090">
            <v>41426</v>
          </cell>
          <cell r="E1090">
            <v>31940085</v>
          </cell>
          <cell r="F1090">
            <v>15970043</v>
          </cell>
          <cell r="G1090">
            <v>42634000</v>
          </cell>
          <cell r="H1090">
            <v>2661674</v>
          </cell>
          <cell r="I1090">
            <v>0</v>
          </cell>
        </row>
        <row r="1091">
          <cell r="A1091" t="str">
            <v>2300|439003</v>
          </cell>
          <cell r="B1091" t="str">
            <v>2300</v>
          </cell>
          <cell r="C1091">
            <v>439003</v>
          </cell>
          <cell r="D1091">
            <v>41426</v>
          </cell>
          <cell r="E1091">
            <v>39449879</v>
          </cell>
          <cell r="F1091">
            <v>19724940</v>
          </cell>
          <cell r="G1091">
            <v>20073108</v>
          </cell>
          <cell r="H1091">
            <v>3287490</v>
          </cell>
          <cell r="I1091">
            <v>3222605</v>
          </cell>
        </row>
        <row r="1092">
          <cell r="A1092" t="str">
            <v>2300|439008</v>
          </cell>
          <cell r="B1092" t="str">
            <v>2300</v>
          </cell>
          <cell r="C1092">
            <v>439008</v>
          </cell>
          <cell r="D1092">
            <v>41426</v>
          </cell>
          <cell r="E1092">
            <v>32844125</v>
          </cell>
          <cell r="F1092">
            <v>16422063</v>
          </cell>
          <cell r="G1092">
            <v>19017902</v>
          </cell>
          <cell r="H1092">
            <v>2737011</v>
          </cell>
          <cell r="I1092">
            <v>3196509</v>
          </cell>
        </row>
        <row r="1093">
          <cell r="A1093" t="str">
            <v>2300|440002</v>
          </cell>
          <cell r="B1093" t="str">
            <v>2300</v>
          </cell>
          <cell r="C1093">
            <v>440002</v>
          </cell>
          <cell r="D1093">
            <v>41426</v>
          </cell>
          <cell r="E1093">
            <v>13294122</v>
          </cell>
          <cell r="F1093">
            <v>6647061</v>
          </cell>
          <cell r="G1093">
            <v>7062497</v>
          </cell>
          <cell r="H1093">
            <v>1107843</v>
          </cell>
          <cell r="I1093">
            <v>795238</v>
          </cell>
        </row>
        <row r="1094">
          <cell r="A1094" t="str">
            <v>2300|440003</v>
          </cell>
          <cell r="B1094" t="str">
            <v>2300</v>
          </cell>
          <cell r="C1094">
            <v>440003</v>
          </cell>
          <cell r="D1094">
            <v>41426</v>
          </cell>
          <cell r="E1094">
            <v>21293390</v>
          </cell>
          <cell r="F1094">
            <v>10646695</v>
          </cell>
          <cell r="G1094">
            <v>12288976</v>
          </cell>
          <cell r="H1094">
            <v>1774449</v>
          </cell>
          <cell r="I1094">
            <v>2527365</v>
          </cell>
        </row>
        <row r="1095">
          <cell r="A1095" t="str">
            <v>2300|446002</v>
          </cell>
          <cell r="B1095" t="str">
            <v>2300</v>
          </cell>
          <cell r="C1095">
            <v>446002</v>
          </cell>
          <cell r="D1095">
            <v>41426</v>
          </cell>
          <cell r="E1095">
            <v>6647061</v>
          </cell>
          <cell r="F1095">
            <v>3323531</v>
          </cell>
          <cell r="G1095">
            <v>0</v>
          </cell>
          <cell r="H1095">
            <v>553922</v>
          </cell>
          <cell r="I1095">
            <v>0</v>
          </cell>
        </row>
        <row r="1096">
          <cell r="A1096" t="str">
            <v>2300|447002</v>
          </cell>
          <cell r="B1096" t="str">
            <v>2300</v>
          </cell>
          <cell r="C1096">
            <v>447002</v>
          </cell>
          <cell r="D1096">
            <v>41426</v>
          </cell>
          <cell r="E1096">
            <v>2504613</v>
          </cell>
          <cell r="F1096">
            <v>1252307</v>
          </cell>
          <cell r="G1096">
            <v>1450776</v>
          </cell>
          <cell r="H1096">
            <v>208718</v>
          </cell>
          <cell r="I1096">
            <v>241796</v>
          </cell>
        </row>
        <row r="1097">
          <cell r="A1097" t="str">
            <v>2300|447003</v>
          </cell>
          <cell r="B1097" t="str">
            <v>2300</v>
          </cell>
          <cell r="C1097">
            <v>447003</v>
          </cell>
          <cell r="D1097">
            <v>41426</v>
          </cell>
          <cell r="E1097">
            <v>4012241</v>
          </cell>
          <cell r="F1097">
            <v>2006121</v>
          </cell>
          <cell r="G1097">
            <v>1783632</v>
          </cell>
          <cell r="H1097">
            <v>334354</v>
          </cell>
          <cell r="I1097">
            <v>297272</v>
          </cell>
        </row>
        <row r="1098">
          <cell r="A1098" t="str">
            <v>2300|447012</v>
          </cell>
          <cell r="B1098" t="str">
            <v>2300</v>
          </cell>
          <cell r="C1098">
            <v>447012</v>
          </cell>
          <cell r="D1098">
            <v>41426</v>
          </cell>
          <cell r="E1098">
            <v>5902590</v>
          </cell>
          <cell r="F1098">
            <v>2951295</v>
          </cell>
          <cell r="G1098">
            <v>3419022</v>
          </cell>
          <cell r="H1098">
            <v>491882</v>
          </cell>
          <cell r="I1098">
            <v>569837</v>
          </cell>
        </row>
        <row r="1099">
          <cell r="A1099" t="str">
            <v>2300|447013</v>
          </cell>
          <cell r="B1099" t="str">
            <v>2300</v>
          </cell>
          <cell r="C1099">
            <v>447013</v>
          </cell>
          <cell r="D1099">
            <v>41426</v>
          </cell>
          <cell r="E1099">
            <v>9454265</v>
          </cell>
          <cell r="F1099">
            <v>4727133</v>
          </cell>
          <cell r="G1099">
            <v>4203462</v>
          </cell>
          <cell r="H1099">
            <v>787856</v>
          </cell>
          <cell r="I1099">
            <v>700577</v>
          </cell>
        </row>
        <row r="1100">
          <cell r="A1100" t="str">
            <v>2300|447022</v>
          </cell>
          <cell r="B1100" t="str">
            <v>2300</v>
          </cell>
          <cell r="C1100">
            <v>447022</v>
          </cell>
          <cell r="D1100">
            <v>41426</v>
          </cell>
          <cell r="E1100">
            <v>250461</v>
          </cell>
          <cell r="F1100">
            <v>125231</v>
          </cell>
          <cell r="G1100">
            <v>193488</v>
          </cell>
          <cell r="H1100">
            <v>20872</v>
          </cell>
          <cell r="I1100">
            <v>21150</v>
          </cell>
        </row>
        <row r="1101">
          <cell r="A1101" t="str">
            <v>2300|447023</v>
          </cell>
          <cell r="B1101" t="str">
            <v>2300</v>
          </cell>
          <cell r="C1101">
            <v>447023</v>
          </cell>
          <cell r="D1101">
            <v>41426</v>
          </cell>
          <cell r="E1101">
            <v>332040</v>
          </cell>
          <cell r="F1101">
            <v>166020</v>
          </cell>
          <cell r="G1101">
            <v>314875</v>
          </cell>
          <cell r="H1101">
            <v>27670</v>
          </cell>
          <cell r="I1101">
            <v>52500</v>
          </cell>
        </row>
        <row r="1102">
          <cell r="A1102" t="str">
            <v>2300|448002</v>
          </cell>
          <cell r="B1102" t="str">
            <v>2300</v>
          </cell>
          <cell r="C1102">
            <v>448002</v>
          </cell>
          <cell r="D1102">
            <v>41426</v>
          </cell>
          <cell r="E1102">
            <v>11935582</v>
          </cell>
          <cell r="F1102">
            <v>5967791</v>
          </cell>
          <cell r="G1102">
            <v>3764400</v>
          </cell>
          <cell r="H1102">
            <v>994632</v>
          </cell>
          <cell r="I1102">
            <v>0</v>
          </cell>
        </row>
        <row r="1103">
          <cell r="A1103" t="str">
            <v>2300|448003</v>
          </cell>
          <cell r="B1103" t="str">
            <v>2300</v>
          </cell>
          <cell r="C1103">
            <v>448003</v>
          </cell>
          <cell r="D1103">
            <v>41426</v>
          </cell>
          <cell r="E1103">
            <v>14470431</v>
          </cell>
          <cell r="F1103">
            <v>7235216</v>
          </cell>
          <cell r="G1103">
            <v>3885430</v>
          </cell>
          <cell r="H1103">
            <v>1205870</v>
          </cell>
          <cell r="I1103">
            <v>244700</v>
          </cell>
        </row>
        <row r="1104">
          <cell r="A1104" t="str">
            <v>2300|449022</v>
          </cell>
          <cell r="B1104" t="str">
            <v>2300</v>
          </cell>
          <cell r="C1104">
            <v>449022</v>
          </cell>
          <cell r="D1104">
            <v>41426</v>
          </cell>
          <cell r="E1104">
            <v>7920000</v>
          </cell>
          <cell r="F1104">
            <v>3960000</v>
          </cell>
          <cell r="G1104">
            <v>3536000</v>
          </cell>
          <cell r="H1104">
            <v>660000</v>
          </cell>
          <cell r="I1104">
            <v>272000</v>
          </cell>
        </row>
        <row r="1105">
          <cell r="A1105" t="str">
            <v>2300|449023</v>
          </cell>
          <cell r="B1105" t="str">
            <v>2300</v>
          </cell>
          <cell r="C1105">
            <v>449023</v>
          </cell>
          <cell r="D1105">
            <v>41426</v>
          </cell>
          <cell r="E1105">
            <v>29436000</v>
          </cell>
          <cell r="F1105">
            <v>14718000</v>
          </cell>
          <cell r="G1105">
            <v>23000000</v>
          </cell>
          <cell r="H1105">
            <v>2453000</v>
          </cell>
          <cell r="I1105">
            <v>3200000</v>
          </cell>
        </row>
        <row r="1106">
          <cell r="A1106" t="str">
            <v>2300|449032</v>
          </cell>
          <cell r="B1106" t="str">
            <v>2300</v>
          </cell>
          <cell r="C1106">
            <v>449032</v>
          </cell>
          <cell r="D1106">
            <v>41426</v>
          </cell>
          <cell r="E1106">
            <v>21454223</v>
          </cell>
          <cell r="F1106">
            <v>10727112</v>
          </cell>
          <cell r="G1106">
            <v>72656814</v>
          </cell>
          <cell r="H1106">
            <v>1787852</v>
          </cell>
          <cell r="I1106">
            <v>70681820</v>
          </cell>
        </row>
        <row r="1107">
          <cell r="A1107" t="str">
            <v>2300|449050</v>
          </cell>
          <cell r="B1107" t="str">
            <v>2300</v>
          </cell>
          <cell r="C1107">
            <v>449050</v>
          </cell>
          <cell r="D1107">
            <v>41426</v>
          </cell>
          <cell r="E1107">
            <v>17430626</v>
          </cell>
          <cell r="F1107">
            <v>8715313</v>
          </cell>
          <cell r="G1107">
            <v>15333315</v>
          </cell>
          <cell r="H1107">
            <v>1452552</v>
          </cell>
          <cell r="I1107">
            <v>3066667</v>
          </cell>
        </row>
        <row r="1108">
          <cell r="A1108" t="str">
            <v>2300|449060</v>
          </cell>
          <cell r="B1108" t="str">
            <v>2300</v>
          </cell>
          <cell r="C1108">
            <v>449060</v>
          </cell>
          <cell r="D1108">
            <v>41426</v>
          </cell>
          <cell r="E1108">
            <v>0</v>
          </cell>
          <cell r="F1108">
            <v>0</v>
          </cell>
          <cell r="G1108">
            <v>250000</v>
          </cell>
          <cell r="H1108">
            <v>0</v>
          </cell>
          <cell r="I1108">
            <v>0</v>
          </cell>
        </row>
        <row r="1109">
          <cell r="A1109" t="str">
            <v>2300|449061</v>
          </cell>
          <cell r="B1109" t="str">
            <v>2300</v>
          </cell>
          <cell r="C1109">
            <v>449061</v>
          </cell>
          <cell r="D1109">
            <v>41426</v>
          </cell>
          <cell r="E1109">
            <v>12065323</v>
          </cell>
          <cell r="F1109">
            <v>6032662</v>
          </cell>
          <cell r="G1109">
            <v>7636450</v>
          </cell>
          <cell r="H1109">
            <v>1005444</v>
          </cell>
          <cell r="I1109">
            <v>2548550</v>
          </cell>
        </row>
        <row r="1110">
          <cell r="A1110" t="str">
            <v>2300|455000</v>
          </cell>
          <cell r="B1110" t="str">
            <v>2300</v>
          </cell>
          <cell r="C1110">
            <v>455000</v>
          </cell>
          <cell r="D1110">
            <v>41426</v>
          </cell>
          <cell r="E1110">
            <v>9500000</v>
          </cell>
          <cell r="F1110">
            <v>4750000</v>
          </cell>
          <cell r="G1110">
            <v>0</v>
          </cell>
          <cell r="H1110">
            <v>791667</v>
          </cell>
          <cell r="I1110">
            <v>0</v>
          </cell>
        </row>
        <row r="1111">
          <cell r="A1111" t="str">
            <v>2300|459000</v>
          </cell>
          <cell r="B1111" t="str">
            <v>2300</v>
          </cell>
          <cell r="C1111">
            <v>459000</v>
          </cell>
          <cell r="D1111">
            <v>41426</v>
          </cell>
          <cell r="E1111">
            <v>0</v>
          </cell>
          <cell r="F1111">
            <v>0</v>
          </cell>
          <cell r="G1111">
            <v>2050000</v>
          </cell>
          <cell r="H1111">
            <v>0</v>
          </cell>
          <cell r="I1111">
            <v>0</v>
          </cell>
        </row>
        <row r="1112">
          <cell r="A1112" t="str">
            <v>2300|470102</v>
          </cell>
          <cell r="B1112" t="str">
            <v>2300</v>
          </cell>
          <cell r="C1112">
            <v>470102</v>
          </cell>
          <cell r="D1112">
            <v>41426</v>
          </cell>
          <cell r="E1112">
            <v>506400</v>
          </cell>
          <cell r="F1112">
            <v>253200</v>
          </cell>
          <cell r="G1112">
            <v>240000</v>
          </cell>
          <cell r="H1112">
            <v>42200</v>
          </cell>
          <cell r="I1112">
            <v>40000</v>
          </cell>
        </row>
        <row r="1113">
          <cell r="A1113" t="str">
            <v>2300|472000</v>
          </cell>
          <cell r="B1113" t="str">
            <v>2300</v>
          </cell>
          <cell r="C1113">
            <v>472000</v>
          </cell>
          <cell r="D1113">
            <v>41426</v>
          </cell>
          <cell r="E1113">
            <v>850000</v>
          </cell>
          <cell r="F1113">
            <v>425000</v>
          </cell>
          <cell r="G1113">
            <v>0</v>
          </cell>
          <cell r="H1113">
            <v>70833</v>
          </cell>
          <cell r="I1113">
            <v>0</v>
          </cell>
        </row>
        <row r="1114">
          <cell r="A1114" t="str">
            <v>2300|473000</v>
          </cell>
          <cell r="B1114" t="str">
            <v>2300</v>
          </cell>
          <cell r="C1114">
            <v>473000</v>
          </cell>
          <cell r="D1114">
            <v>41426</v>
          </cell>
          <cell r="E1114">
            <v>762845</v>
          </cell>
          <cell r="F1114">
            <v>381423</v>
          </cell>
          <cell r="G1114">
            <v>442722</v>
          </cell>
          <cell r="H1114">
            <v>63571</v>
          </cell>
          <cell r="I1114">
            <v>0</v>
          </cell>
        </row>
        <row r="1115">
          <cell r="A1115" t="str">
            <v>2300|473120</v>
          </cell>
          <cell r="B1115" t="str">
            <v>2300</v>
          </cell>
          <cell r="C1115">
            <v>473120</v>
          </cell>
          <cell r="D1115">
            <v>41426</v>
          </cell>
          <cell r="E1115">
            <v>1800452</v>
          </cell>
          <cell r="F1115">
            <v>900226</v>
          </cell>
          <cell r="G1115">
            <v>2817807</v>
          </cell>
          <cell r="H1115">
            <v>150038</v>
          </cell>
          <cell r="I1115">
            <v>261158</v>
          </cell>
        </row>
        <row r="1116">
          <cell r="A1116" t="str">
            <v>2300|474100</v>
          </cell>
          <cell r="B1116" t="str">
            <v>2300</v>
          </cell>
          <cell r="C1116">
            <v>474100</v>
          </cell>
          <cell r="D1116">
            <v>41426</v>
          </cell>
          <cell r="E1116">
            <v>10276805</v>
          </cell>
          <cell r="F1116">
            <v>5138403</v>
          </cell>
          <cell r="G1116">
            <v>-150000</v>
          </cell>
          <cell r="H1116">
            <v>856401</v>
          </cell>
          <cell r="I1116">
            <v>-150000</v>
          </cell>
        </row>
        <row r="1117">
          <cell r="A1117" t="str">
            <v>2300|474101</v>
          </cell>
          <cell r="B1117" t="str">
            <v>2300</v>
          </cell>
          <cell r="C1117">
            <v>474101</v>
          </cell>
          <cell r="D1117">
            <v>41426</v>
          </cell>
          <cell r="E1117">
            <v>89430</v>
          </cell>
          <cell r="F1117">
            <v>44715</v>
          </cell>
          <cell r="G1117">
            <v>0</v>
          </cell>
          <cell r="H1117">
            <v>7452</v>
          </cell>
          <cell r="I1117">
            <v>0</v>
          </cell>
        </row>
        <row r="1118">
          <cell r="A1118" t="str">
            <v>2300|475006</v>
          </cell>
          <cell r="B1118" t="str">
            <v>2300</v>
          </cell>
          <cell r="C1118">
            <v>475006</v>
          </cell>
          <cell r="D1118">
            <v>41426</v>
          </cell>
          <cell r="E1118">
            <v>2314960</v>
          </cell>
          <cell r="F1118">
            <v>1157480</v>
          </cell>
          <cell r="G1118">
            <v>2581657</v>
          </cell>
          <cell r="H1118">
            <v>192913</v>
          </cell>
          <cell r="I1118">
            <v>0</v>
          </cell>
        </row>
        <row r="1119">
          <cell r="A1119" t="str">
            <v>2300|476000</v>
          </cell>
          <cell r="B1119" t="str">
            <v>2300</v>
          </cell>
          <cell r="C1119">
            <v>476000</v>
          </cell>
          <cell r="D1119">
            <v>41426</v>
          </cell>
          <cell r="E1119">
            <v>9169600</v>
          </cell>
          <cell r="F1119">
            <v>4584800</v>
          </cell>
          <cell r="G1119">
            <v>654150</v>
          </cell>
          <cell r="H1119">
            <v>764134</v>
          </cell>
          <cell r="I1119">
            <v>0</v>
          </cell>
        </row>
        <row r="1120">
          <cell r="A1120" t="str">
            <v>2300|476001</v>
          </cell>
          <cell r="B1120" t="str">
            <v>2300</v>
          </cell>
          <cell r="C1120">
            <v>476001</v>
          </cell>
          <cell r="D1120">
            <v>41426</v>
          </cell>
          <cell r="E1120">
            <v>2388600</v>
          </cell>
          <cell r="F1120">
            <v>1194313</v>
          </cell>
          <cell r="G1120">
            <v>1600000</v>
          </cell>
          <cell r="H1120">
            <v>199061</v>
          </cell>
          <cell r="I1120">
            <v>0</v>
          </cell>
        </row>
        <row r="1121">
          <cell r="A1121" t="str">
            <v>2300|476201</v>
          </cell>
          <cell r="B1121" t="str">
            <v>2300</v>
          </cell>
          <cell r="C1121">
            <v>476201</v>
          </cell>
          <cell r="D1121">
            <v>41426</v>
          </cell>
          <cell r="E1121">
            <v>11106729</v>
          </cell>
          <cell r="F1121">
            <v>5553365</v>
          </cell>
          <cell r="G1121">
            <v>0</v>
          </cell>
          <cell r="H1121">
            <v>925561</v>
          </cell>
          <cell r="I1121">
            <v>0</v>
          </cell>
        </row>
        <row r="1122">
          <cell r="A1122" t="str">
            <v>2300|476220</v>
          </cell>
          <cell r="B1122" t="str">
            <v>2300</v>
          </cell>
          <cell r="C1122">
            <v>476220</v>
          </cell>
          <cell r="D1122">
            <v>41426</v>
          </cell>
          <cell r="E1122">
            <v>18274655</v>
          </cell>
          <cell r="F1122">
            <v>9137328</v>
          </cell>
          <cell r="G1122">
            <v>19846610</v>
          </cell>
          <cell r="H1122">
            <v>1522888</v>
          </cell>
          <cell r="I1122">
            <v>8184128</v>
          </cell>
        </row>
        <row r="1123">
          <cell r="A1123" t="str">
            <v>2300|476910</v>
          </cell>
          <cell r="B1123" t="str">
            <v>2300</v>
          </cell>
          <cell r="C1123">
            <v>476910</v>
          </cell>
          <cell r="D1123">
            <v>41426</v>
          </cell>
          <cell r="E1123">
            <v>1136241</v>
          </cell>
          <cell r="F1123">
            <v>568121</v>
          </cell>
          <cell r="G1123">
            <v>0</v>
          </cell>
          <cell r="H1123">
            <v>94687</v>
          </cell>
          <cell r="I1123">
            <v>0</v>
          </cell>
        </row>
        <row r="1124">
          <cell r="A1124" t="str">
            <v>2300|477500</v>
          </cell>
          <cell r="B1124" t="str">
            <v>2300</v>
          </cell>
          <cell r="C1124">
            <v>477500</v>
          </cell>
          <cell r="D1124">
            <v>41426</v>
          </cell>
          <cell r="E1124">
            <v>8863100</v>
          </cell>
          <cell r="F1124">
            <v>4431551</v>
          </cell>
          <cell r="G1124">
            <v>4117594</v>
          </cell>
          <cell r="H1124">
            <v>738592</v>
          </cell>
          <cell r="I1124">
            <v>2597450</v>
          </cell>
        </row>
        <row r="1125">
          <cell r="A1125" t="str">
            <v>2500|211100</v>
          </cell>
          <cell r="B1125" t="str">
            <v>2500</v>
          </cell>
          <cell r="C1125">
            <v>211100</v>
          </cell>
          <cell r="D1125">
            <v>41426</v>
          </cell>
          <cell r="E1125">
            <v>109152412</v>
          </cell>
          <cell r="F1125">
            <v>54576206</v>
          </cell>
          <cell r="G1125">
            <v>0</v>
          </cell>
          <cell r="H1125">
            <v>9096034</v>
          </cell>
          <cell r="I1125">
            <v>0</v>
          </cell>
        </row>
        <row r="1126">
          <cell r="A1126" t="str">
            <v>2500|420002</v>
          </cell>
          <cell r="B1126" t="str">
            <v>2500</v>
          </cell>
          <cell r="C1126">
            <v>420002</v>
          </cell>
          <cell r="D1126">
            <v>41426</v>
          </cell>
          <cell r="E1126">
            <v>239294195</v>
          </cell>
          <cell r="F1126">
            <v>119647098</v>
          </cell>
          <cell r="G1126">
            <v>121224000</v>
          </cell>
          <cell r="H1126">
            <v>19941183</v>
          </cell>
          <cell r="I1126">
            <v>20204000</v>
          </cell>
        </row>
        <row r="1127">
          <cell r="A1127" t="str">
            <v>2500|420003</v>
          </cell>
          <cell r="B1127" t="str">
            <v>2500</v>
          </cell>
          <cell r="C1127">
            <v>420003</v>
          </cell>
          <cell r="D1127">
            <v>41426</v>
          </cell>
          <cell r="E1127">
            <v>402427382</v>
          </cell>
          <cell r="F1127">
            <v>201213691</v>
          </cell>
          <cell r="G1127">
            <v>196967933</v>
          </cell>
          <cell r="H1127">
            <v>33535615</v>
          </cell>
          <cell r="I1127">
            <v>33194879</v>
          </cell>
        </row>
        <row r="1128">
          <cell r="A1128" t="str">
            <v>2500|431002</v>
          </cell>
          <cell r="B1128" t="str">
            <v>2500</v>
          </cell>
          <cell r="C1128">
            <v>431002</v>
          </cell>
          <cell r="D1128">
            <v>41426</v>
          </cell>
          <cell r="E1128">
            <v>1474489</v>
          </cell>
          <cell r="F1128">
            <v>737245</v>
          </cell>
          <cell r="G1128">
            <v>4685445</v>
          </cell>
          <cell r="H1128">
            <v>122875</v>
          </cell>
          <cell r="I1128">
            <v>25000</v>
          </cell>
        </row>
        <row r="1129">
          <cell r="A1129" t="str">
            <v>2500|434012</v>
          </cell>
          <cell r="B1129" t="str">
            <v>2500</v>
          </cell>
          <cell r="C1129">
            <v>434012</v>
          </cell>
          <cell r="D1129">
            <v>41426</v>
          </cell>
          <cell r="E1129">
            <v>8746133</v>
          </cell>
          <cell r="F1129">
            <v>4373067</v>
          </cell>
          <cell r="G1129">
            <v>2961603</v>
          </cell>
          <cell r="H1129">
            <v>728845</v>
          </cell>
          <cell r="I1129">
            <v>498745</v>
          </cell>
        </row>
        <row r="1130">
          <cell r="A1130" t="str">
            <v>2500|434013</v>
          </cell>
          <cell r="B1130" t="str">
            <v>2500</v>
          </cell>
          <cell r="C1130">
            <v>434013</v>
          </cell>
          <cell r="D1130">
            <v>41426</v>
          </cell>
          <cell r="E1130">
            <v>0</v>
          </cell>
          <cell r="F1130">
            <v>0</v>
          </cell>
          <cell r="G1130">
            <v>7500804</v>
          </cell>
          <cell r="H1130">
            <v>0</v>
          </cell>
          <cell r="I1130">
            <v>1200976</v>
          </cell>
        </row>
        <row r="1131">
          <cell r="A1131" t="str">
            <v>2500|435002</v>
          </cell>
          <cell r="B1131" t="str">
            <v>2500</v>
          </cell>
          <cell r="C1131">
            <v>435002</v>
          </cell>
          <cell r="D1131">
            <v>41426</v>
          </cell>
          <cell r="E1131">
            <v>40879425</v>
          </cell>
          <cell r="F1131">
            <v>20439713</v>
          </cell>
          <cell r="G1131">
            <v>15956000</v>
          </cell>
          <cell r="H1131">
            <v>3406619</v>
          </cell>
          <cell r="I1131">
            <v>0</v>
          </cell>
        </row>
        <row r="1132">
          <cell r="A1132" t="str">
            <v>2500|435003</v>
          </cell>
          <cell r="B1132" t="str">
            <v>2500</v>
          </cell>
          <cell r="C1132">
            <v>435003</v>
          </cell>
          <cell r="D1132">
            <v>41426</v>
          </cell>
          <cell r="E1132">
            <v>50303423</v>
          </cell>
          <cell r="F1132">
            <v>25151712</v>
          </cell>
          <cell r="G1132">
            <v>51838500</v>
          </cell>
          <cell r="H1132">
            <v>4191952</v>
          </cell>
          <cell r="I1132">
            <v>0</v>
          </cell>
        </row>
        <row r="1133">
          <cell r="A1133" t="str">
            <v>2500|439003</v>
          </cell>
          <cell r="B1133" t="str">
            <v>2500</v>
          </cell>
          <cell r="C1133">
            <v>439003</v>
          </cell>
          <cell r="D1133">
            <v>41426</v>
          </cell>
          <cell r="E1133">
            <v>78899758</v>
          </cell>
          <cell r="F1133">
            <v>39449879</v>
          </cell>
          <cell r="G1133">
            <v>40146216</v>
          </cell>
          <cell r="H1133">
            <v>6574980</v>
          </cell>
          <cell r="I1133">
            <v>6445211</v>
          </cell>
        </row>
        <row r="1134">
          <cell r="A1134" t="str">
            <v>2500|439008</v>
          </cell>
          <cell r="B1134" t="str">
            <v>2500</v>
          </cell>
          <cell r="C1134">
            <v>439008</v>
          </cell>
          <cell r="D1134">
            <v>41426</v>
          </cell>
          <cell r="E1134">
            <v>49266188</v>
          </cell>
          <cell r="F1134">
            <v>24633094</v>
          </cell>
          <cell r="G1134">
            <v>28526853</v>
          </cell>
          <cell r="H1134">
            <v>4105516</v>
          </cell>
          <cell r="I1134">
            <v>4794763</v>
          </cell>
        </row>
        <row r="1135">
          <cell r="A1135" t="str">
            <v>2500|439203</v>
          </cell>
          <cell r="B1135" t="str">
            <v>2500</v>
          </cell>
          <cell r="C1135">
            <v>439203</v>
          </cell>
          <cell r="D1135">
            <v>41426</v>
          </cell>
          <cell r="E1135">
            <v>0</v>
          </cell>
          <cell r="F1135">
            <v>0</v>
          </cell>
          <cell r="G1135">
            <v>270500</v>
          </cell>
          <cell r="H1135">
            <v>0</v>
          </cell>
          <cell r="I1135">
            <v>0</v>
          </cell>
        </row>
        <row r="1136">
          <cell r="A1136" t="str">
            <v>2500|440002</v>
          </cell>
          <cell r="B1136" t="str">
            <v>2500</v>
          </cell>
          <cell r="C1136">
            <v>440002</v>
          </cell>
          <cell r="D1136">
            <v>41426</v>
          </cell>
          <cell r="E1136">
            <v>19941183</v>
          </cell>
          <cell r="F1136">
            <v>9970592</v>
          </cell>
          <cell r="G1136">
            <v>10593746</v>
          </cell>
          <cell r="H1136">
            <v>1661766</v>
          </cell>
          <cell r="I1136">
            <v>1192857</v>
          </cell>
        </row>
        <row r="1137">
          <cell r="A1137" t="str">
            <v>2500|440003</v>
          </cell>
          <cell r="B1137" t="str">
            <v>2500</v>
          </cell>
          <cell r="C1137">
            <v>440003</v>
          </cell>
          <cell r="D1137">
            <v>41426</v>
          </cell>
          <cell r="E1137">
            <v>33535615</v>
          </cell>
          <cell r="F1137">
            <v>16767808</v>
          </cell>
          <cell r="G1137">
            <v>19183214</v>
          </cell>
          <cell r="H1137">
            <v>2794635</v>
          </cell>
          <cell r="I1137">
            <v>3945243</v>
          </cell>
        </row>
        <row r="1138">
          <cell r="A1138" t="str">
            <v>2500|446002</v>
          </cell>
          <cell r="B1138" t="str">
            <v>2500</v>
          </cell>
          <cell r="C1138">
            <v>446002</v>
          </cell>
          <cell r="D1138">
            <v>41426</v>
          </cell>
          <cell r="E1138">
            <v>9970591</v>
          </cell>
          <cell r="F1138">
            <v>4985296</v>
          </cell>
          <cell r="G1138">
            <v>1200000</v>
          </cell>
          <cell r="H1138">
            <v>830883</v>
          </cell>
          <cell r="I1138">
            <v>200000</v>
          </cell>
        </row>
        <row r="1139">
          <cell r="A1139" t="str">
            <v>2500|447002</v>
          </cell>
          <cell r="B1139" t="str">
            <v>2500</v>
          </cell>
          <cell r="C1139">
            <v>447002</v>
          </cell>
          <cell r="D1139">
            <v>41426</v>
          </cell>
          <cell r="E1139">
            <v>3756919</v>
          </cell>
          <cell r="F1139">
            <v>1878460</v>
          </cell>
          <cell r="G1139">
            <v>1903218</v>
          </cell>
          <cell r="H1139">
            <v>313077</v>
          </cell>
          <cell r="I1139">
            <v>317203</v>
          </cell>
        </row>
        <row r="1140">
          <cell r="A1140" t="str">
            <v>2500|447003</v>
          </cell>
          <cell r="B1140" t="str">
            <v>2500</v>
          </cell>
          <cell r="C1140">
            <v>447003</v>
          </cell>
          <cell r="D1140">
            <v>41426</v>
          </cell>
          <cell r="E1140">
            <v>6318299</v>
          </cell>
          <cell r="F1140">
            <v>3159150</v>
          </cell>
          <cell r="G1140">
            <v>2979642</v>
          </cell>
          <cell r="H1140">
            <v>526525</v>
          </cell>
          <cell r="I1140">
            <v>496607</v>
          </cell>
        </row>
        <row r="1141">
          <cell r="A1141" t="str">
            <v>2500|447012</v>
          </cell>
          <cell r="B1141" t="str">
            <v>2500</v>
          </cell>
          <cell r="C1141">
            <v>447012</v>
          </cell>
          <cell r="D1141">
            <v>41426</v>
          </cell>
          <cell r="E1141">
            <v>8853885</v>
          </cell>
          <cell r="F1141">
            <v>4426943</v>
          </cell>
          <cell r="G1141">
            <v>4485288</v>
          </cell>
          <cell r="H1141">
            <v>737824</v>
          </cell>
          <cell r="I1141">
            <v>747548</v>
          </cell>
        </row>
        <row r="1142">
          <cell r="A1142" t="str">
            <v>2500|447013</v>
          </cell>
          <cell r="B1142" t="str">
            <v>2500</v>
          </cell>
          <cell r="C1142">
            <v>447013</v>
          </cell>
          <cell r="D1142">
            <v>41426</v>
          </cell>
          <cell r="E1142">
            <v>14889813</v>
          </cell>
          <cell r="F1142">
            <v>7444907</v>
          </cell>
          <cell r="G1142">
            <v>7022082</v>
          </cell>
          <cell r="H1142">
            <v>1240818</v>
          </cell>
          <cell r="I1142">
            <v>1170347</v>
          </cell>
        </row>
        <row r="1143">
          <cell r="A1143" t="str">
            <v>2500|447022</v>
          </cell>
          <cell r="B1143" t="str">
            <v>2500</v>
          </cell>
          <cell r="C1143">
            <v>447022</v>
          </cell>
          <cell r="D1143">
            <v>41426</v>
          </cell>
          <cell r="E1143">
            <v>375692</v>
          </cell>
          <cell r="F1143">
            <v>187846</v>
          </cell>
          <cell r="G1143">
            <v>249034</v>
          </cell>
          <cell r="H1143">
            <v>31308</v>
          </cell>
          <cell r="I1143">
            <v>42375</v>
          </cell>
        </row>
        <row r="1144">
          <cell r="A1144" t="str">
            <v>2500|447023</v>
          </cell>
          <cell r="B1144" t="str">
            <v>2500</v>
          </cell>
          <cell r="C1144">
            <v>447023</v>
          </cell>
          <cell r="D1144">
            <v>41426</v>
          </cell>
          <cell r="E1144">
            <v>522882</v>
          </cell>
          <cell r="F1144">
            <v>261441</v>
          </cell>
          <cell r="G1144">
            <v>525801</v>
          </cell>
          <cell r="H1144">
            <v>43573</v>
          </cell>
          <cell r="I1144">
            <v>87600</v>
          </cell>
        </row>
        <row r="1145">
          <cell r="A1145" t="str">
            <v>2500|448002</v>
          </cell>
          <cell r="B1145" t="str">
            <v>2500</v>
          </cell>
          <cell r="C1145">
            <v>448002</v>
          </cell>
          <cell r="D1145">
            <v>41426</v>
          </cell>
          <cell r="E1145">
            <v>17903373</v>
          </cell>
          <cell r="F1145">
            <v>8951687</v>
          </cell>
          <cell r="G1145">
            <v>5635280</v>
          </cell>
          <cell r="H1145">
            <v>1491948</v>
          </cell>
          <cell r="I1145">
            <v>279000</v>
          </cell>
        </row>
        <row r="1146">
          <cell r="A1146" t="str">
            <v>2500|448003</v>
          </cell>
          <cell r="B1146" t="str">
            <v>2500</v>
          </cell>
          <cell r="C1146">
            <v>448003</v>
          </cell>
          <cell r="D1146">
            <v>41426</v>
          </cell>
          <cell r="E1146">
            <v>23792707</v>
          </cell>
          <cell r="F1146">
            <v>11896354</v>
          </cell>
          <cell r="G1146">
            <v>2621635</v>
          </cell>
          <cell r="H1146">
            <v>1982726</v>
          </cell>
          <cell r="I1146">
            <v>0</v>
          </cell>
        </row>
        <row r="1147">
          <cell r="A1147" t="str">
            <v>2500|449022</v>
          </cell>
          <cell r="B1147" t="str">
            <v>2500</v>
          </cell>
          <cell r="C1147">
            <v>449022</v>
          </cell>
          <cell r="D1147">
            <v>41426</v>
          </cell>
          <cell r="E1147">
            <v>11880000</v>
          </cell>
          <cell r="F1147">
            <v>5940000</v>
          </cell>
          <cell r="G1147">
            <v>7799000</v>
          </cell>
          <cell r="H1147">
            <v>990000</v>
          </cell>
          <cell r="I1147">
            <v>1276000</v>
          </cell>
        </row>
        <row r="1148">
          <cell r="A1148" t="str">
            <v>2500|449023</v>
          </cell>
          <cell r="B1148" t="str">
            <v>2500</v>
          </cell>
          <cell r="C1148">
            <v>449023</v>
          </cell>
          <cell r="D1148">
            <v>41426</v>
          </cell>
          <cell r="E1148">
            <v>33396000</v>
          </cell>
          <cell r="F1148">
            <v>16698000</v>
          </cell>
          <cell r="G1148">
            <v>44125000</v>
          </cell>
          <cell r="H1148">
            <v>2783000</v>
          </cell>
          <cell r="I1148">
            <v>7340000</v>
          </cell>
        </row>
        <row r="1149">
          <cell r="A1149" t="str">
            <v>2500|449032</v>
          </cell>
          <cell r="B1149" t="str">
            <v>2500</v>
          </cell>
          <cell r="C1149">
            <v>449032</v>
          </cell>
          <cell r="D1149">
            <v>41426</v>
          </cell>
          <cell r="E1149">
            <v>3978364</v>
          </cell>
          <cell r="F1149">
            <v>1989182</v>
          </cell>
          <cell r="G1149">
            <v>2300000</v>
          </cell>
          <cell r="H1149">
            <v>331530</v>
          </cell>
          <cell r="I1149">
            <v>0</v>
          </cell>
        </row>
        <row r="1150">
          <cell r="A1150" t="str">
            <v>2500|449061</v>
          </cell>
          <cell r="B1150" t="str">
            <v>2500</v>
          </cell>
          <cell r="C1150">
            <v>449061</v>
          </cell>
          <cell r="D1150">
            <v>41426</v>
          </cell>
          <cell r="E1150">
            <v>20141900</v>
          </cell>
          <cell r="F1150">
            <v>10070950</v>
          </cell>
          <cell r="G1150">
            <v>9053300</v>
          </cell>
          <cell r="H1150">
            <v>1678492</v>
          </cell>
          <cell r="I1150">
            <v>3584500</v>
          </cell>
        </row>
        <row r="1151">
          <cell r="A1151" t="str">
            <v>2500|473000</v>
          </cell>
          <cell r="B1151" t="str">
            <v>2500</v>
          </cell>
          <cell r="C1151">
            <v>473000</v>
          </cell>
          <cell r="D1151">
            <v>41426</v>
          </cell>
          <cell r="E1151">
            <v>800000</v>
          </cell>
          <cell r="F1151">
            <v>400000</v>
          </cell>
          <cell r="G1151">
            <v>739650</v>
          </cell>
          <cell r="H1151">
            <v>66667</v>
          </cell>
          <cell r="I1151">
            <v>0</v>
          </cell>
        </row>
        <row r="1152">
          <cell r="A1152" t="str">
            <v>2500|476000</v>
          </cell>
          <cell r="B1152" t="str">
            <v>2500</v>
          </cell>
          <cell r="C1152">
            <v>476000</v>
          </cell>
          <cell r="D1152">
            <v>41426</v>
          </cell>
          <cell r="E1152">
            <v>4024000</v>
          </cell>
          <cell r="F1152">
            <v>2012000</v>
          </cell>
          <cell r="G1152">
            <v>3458750</v>
          </cell>
          <cell r="H1152">
            <v>335333</v>
          </cell>
          <cell r="I1152">
            <v>0</v>
          </cell>
        </row>
        <row r="1153">
          <cell r="A1153" t="str">
            <v>2500|476001</v>
          </cell>
          <cell r="B1153" t="str">
            <v>2500</v>
          </cell>
          <cell r="C1153">
            <v>476001</v>
          </cell>
          <cell r="D1153">
            <v>41426</v>
          </cell>
          <cell r="E1153">
            <v>170000</v>
          </cell>
          <cell r="F1153">
            <v>170000</v>
          </cell>
          <cell r="G1153">
            <v>0</v>
          </cell>
          <cell r="H1153">
            <v>170000</v>
          </cell>
          <cell r="I1153">
            <v>0</v>
          </cell>
        </row>
        <row r="1154">
          <cell r="A1154" t="str">
            <v>2500|476201</v>
          </cell>
          <cell r="B1154" t="str">
            <v>2500</v>
          </cell>
          <cell r="C1154">
            <v>476201</v>
          </cell>
          <cell r="D1154">
            <v>41426</v>
          </cell>
          <cell r="E1154">
            <v>333560949</v>
          </cell>
          <cell r="F1154">
            <v>166780475</v>
          </cell>
          <cell r="G1154">
            <v>227237504</v>
          </cell>
          <cell r="H1154">
            <v>27796746</v>
          </cell>
          <cell r="I1154">
            <v>39987031</v>
          </cell>
        </row>
        <row r="1155">
          <cell r="A1155" t="str">
            <v>2500|476220</v>
          </cell>
          <cell r="B1155" t="str">
            <v>2500</v>
          </cell>
          <cell r="C1155">
            <v>476220</v>
          </cell>
          <cell r="D1155">
            <v>41426</v>
          </cell>
          <cell r="E1155">
            <v>534807</v>
          </cell>
          <cell r="F1155">
            <v>267404</v>
          </cell>
          <cell r="G1155">
            <v>312800</v>
          </cell>
          <cell r="H1155">
            <v>44568</v>
          </cell>
          <cell r="I1155">
            <v>0</v>
          </cell>
        </row>
        <row r="1156">
          <cell r="A1156" t="str">
            <v>3100|211100</v>
          </cell>
          <cell r="B1156" t="str">
            <v>3100</v>
          </cell>
          <cell r="C1156">
            <v>211100</v>
          </cell>
          <cell r="D1156">
            <v>41426</v>
          </cell>
          <cell r="E1156">
            <v>149819040</v>
          </cell>
          <cell r="F1156">
            <v>74909520</v>
          </cell>
          <cell r="G1156">
            <v>88517148</v>
          </cell>
          <cell r="H1156">
            <v>12484920</v>
          </cell>
          <cell r="I1156">
            <v>14822192</v>
          </cell>
        </row>
        <row r="1157">
          <cell r="A1157" t="str">
            <v>3100|246000</v>
          </cell>
          <cell r="B1157" t="str">
            <v>3100</v>
          </cell>
          <cell r="C1157">
            <v>246000</v>
          </cell>
          <cell r="D1157">
            <v>41426</v>
          </cell>
          <cell r="E1157">
            <v>10000000</v>
          </cell>
          <cell r="F1157">
            <v>5000000</v>
          </cell>
          <cell r="G1157">
            <v>-4597229</v>
          </cell>
          <cell r="H1157">
            <v>833333</v>
          </cell>
          <cell r="I1157">
            <v>0</v>
          </cell>
        </row>
        <row r="1158">
          <cell r="A1158" t="str">
            <v>3100|400040</v>
          </cell>
          <cell r="B1158" t="str">
            <v>3100</v>
          </cell>
          <cell r="C1158">
            <v>400040</v>
          </cell>
          <cell r="D1158">
            <v>41426</v>
          </cell>
          <cell r="E1158">
            <v>1300000</v>
          </cell>
          <cell r="F1158">
            <v>650000</v>
          </cell>
          <cell r="G1158">
            <v>646409</v>
          </cell>
          <cell r="H1158">
            <v>108333</v>
          </cell>
          <cell r="I1158">
            <v>0</v>
          </cell>
        </row>
        <row r="1159">
          <cell r="A1159" t="str">
            <v>3100|405252</v>
          </cell>
          <cell r="B1159" t="str">
            <v>3100</v>
          </cell>
          <cell r="C1159">
            <v>405252</v>
          </cell>
          <cell r="D1159">
            <v>41426</v>
          </cell>
          <cell r="E1159">
            <v>20000000</v>
          </cell>
          <cell r="F1159">
            <v>10000000</v>
          </cell>
          <cell r="G1159">
            <v>0</v>
          </cell>
          <cell r="H1159">
            <v>1666667</v>
          </cell>
          <cell r="I1159">
            <v>0</v>
          </cell>
        </row>
        <row r="1160">
          <cell r="A1160" t="str">
            <v>3100|416103</v>
          </cell>
          <cell r="B1160" t="str">
            <v>3100</v>
          </cell>
          <cell r="C1160">
            <v>416103</v>
          </cell>
          <cell r="D1160">
            <v>41426</v>
          </cell>
          <cell r="E1160">
            <v>79900514</v>
          </cell>
          <cell r="F1160">
            <v>39950257</v>
          </cell>
          <cell r="G1160">
            <v>69231317</v>
          </cell>
          <cell r="H1160">
            <v>6658376</v>
          </cell>
          <cell r="I1160">
            <v>12599242</v>
          </cell>
        </row>
        <row r="1161">
          <cell r="A1161" t="str">
            <v>3100|420003</v>
          </cell>
          <cell r="B1161" t="str">
            <v>3100</v>
          </cell>
          <cell r="C1161">
            <v>420003</v>
          </cell>
          <cell r="D1161">
            <v>41426</v>
          </cell>
          <cell r="E1161">
            <v>1430064115</v>
          </cell>
          <cell r="F1161">
            <v>715032058</v>
          </cell>
          <cell r="G1161">
            <v>537200360</v>
          </cell>
          <cell r="H1161">
            <v>119172010</v>
          </cell>
          <cell r="I1161">
            <v>81729272</v>
          </cell>
        </row>
        <row r="1162">
          <cell r="A1162" t="str">
            <v>3100|422003</v>
          </cell>
          <cell r="B1162" t="str">
            <v>3100</v>
          </cell>
          <cell r="C1162">
            <v>422003</v>
          </cell>
          <cell r="D1162">
            <v>41426</v>
          </cell>
          <cell r="E1162">
            <v>1163022624</v>
          </cell>
          <cell r="F1162">
            <v>581511312</v>
          </cell>
          <cell r="G1162">
            <v>806264083</v>
          </cell>
          <cell r="H1162">
            <v>96918552</v>
          </cell>
          <cell r="I1162">
            <v>103802347</v>
          </cell>
        </row>
        <row r="1163">
          <cell r="A1163" t="str">
            <v>3100|434012</v>
          </cell>
          <cell r="B1163" t="str">
            <v>3100</v>
          </cell>
          <cell r="C1163">
            <v>434012</v>
          </cell>
          <cell r="D1163">
            <v>41426</v>
          </cell>
          <cell r="E1163">
            <v>0</v>
          </cell>
          <cell r="F1163">
            <v>0</v>
          </cell>
          <cell r="G1163">
            <v>408641</v>
          </cell>
          <cell r="H1163">
            <v>0</v>
          </cell>
          <cell r="I1163">
            <v>166248</v>
          </cell>
        </row>
        <row r="1164">
          <cell r="A1164" t="str">
            <v>3100|434013</v>
          </cell>
          <cell r="B1164" t="str">
            <v>3100</v>
          </cell>
          <cell r="C1164">
            <v>434013</v>
          </cell>
          <cell r="D1164">
            <v>41426</v>
          </cell>
          <cell r="E1164">
            <v>0</v>
          </cell>
          <cell r="F1164">
            <v>0</v>
          </cell>
          <cell r="G1164">
            <v>2545449</v>
          </cell>
          <cell r="H1164">
            <v>0</v>
          </cell>
          <cell r="I1164">
            <v>0</v>
          </cell>
        </row>
        <row r="1165">
          <cell r="A1165" t="str">
            <v>3100|435003</v>
          </cell>
          <cell r="B1165" t="str">
            <v>3100</v>
          </cell>
          <cell r="C1165">
            <v>435003</v>
          </cell>
          <cell r="D1165">
            <v>41426</v>
          </cell>
          <cell r="E1165">
            <v>650007354</v>
          </cell>
          <cell r="F1165">
            <v>325003677</v>
          </cell>
          <cell r="G1165">
            <v>10915500</v>
          </cell>
          <cell r="H1165">
            <v>54167279</v>
          </cell>
          <cell r="I1165">
            <v>0</v>
          </cell>
        </row>
        <row r="1166">
          <cell r="A1166" t="str">
            <v>3100|439003</v>
          </cell>
          <cell r="B1166" t="str">
            <v>3100</v>
          </cell>
          <cell r="C1166">
            <v>439003</v>
          </cell>
          <cell r="D1166">
            <v>41426</v>
          </cell>
          <cell r="E1166">
            <v>118349638</v>
          </cell>
          <cell r="F1166">
            <v>59174819</v>
          </cell>
          <cell r="G1166">
            <v>13606556</v>
          </cell>
          <cell r="H1166">
            <v>9862470</v>
          </cell>
          <cell r="I1166">
            <v>0</v>
          </cell>
        </row>
        <row r="1167">
          <cell r="A1167" t="str">
            <v>3100|439006</v>
          </cell>
          <cell r="B1167" t="str">
            <v>3100</v>
          </cell>
          <cell r="C1167">
            <v>439006</v>
          </cell>
          <cell r="D1167">
            <v>41426</v>
          </cell>
          <cell r="E1167">
            <v>107671723</v>
          </cell>
          <cell r="F1167">
            <v>53835862</v>
          </cell>
          <cell r="G1167">
            <v>33361363</v>
          </cell>
          <cell r="H1167">
            <v>8972644</v>
          </cell>
          <cell r="I1167">
            <v>0</v>
          </cell>
        </row>
        <row r="1168">
          <cell r="A1168" t="str">
            <v>3100|439203</v>
          </cell>
          <cell r="B1168" t="str">
            <v>3100</v>
          </cell>
          <cell r="C1168">
            <v>439203</v>
          </cell>
          <cell r="D1168">
            <v>41426</v>
          </cell>
          <cell r="E1168">
            <v>15280000</v>
          </cell>
          <cell r="F1168">
            <v>7640000</v>
          </cell>
          <cell r="G1168">
            <v>2350000</v>
          </cell>
          <cell r="H1168">
            <v>1273333</v>
          </cell>
          <cell r="I1168">
            <v>0</v>
          </cell>
        </row>
        <row r="1169">
          <cell r="A1169" t="str">
            <v>3100|440003</v>
          </cell>
          <cell r="B1169" t="str">
            <v>3100</v>
          </cell>
          <cell r="C1169">
            <v>440003</v>
          </cell>
          <cell r="D1169">
            <v>41426</v>
          </cell>
          <cell r="E1169">
            <v>45777840</v>
          </cell>
          <cell r="F1169">
            <v>22888920</v>
          </cell>
          <cell r="G1169">
            <v>4234546</v>
          </cell>
          <cell r="H1169">
            <v>3814820</v>
          </cell>
          <cell r="I1169">
            <v>0</v>
          </cell>
        </row>
        <row r="1170">
          <cell r="A1170" t="str">
            <v>3100|447003</v>
          </cell>
          <cell r="B1170" t="str">
            <v>3100</v>
          </cell>
          <cell r="C1170">
            <v>447003</v>
          </cell>
          <cell r="D1170">
            <v>41426</v>
          </cell>
          <cell r="E1170">
            <v>8624358</v>
          </cell>
          <cell r="F1170">
            <v>4312179</v>
          </cell>
          <cell r="G1170">
            <v>238300</v>
          </cell>
          <cell r="H1170">
            <v>718696</v>
          </cell>
          <cell r="I1170">
            <v>0</v>
          </cell>
        </row>
        <row r="1171">
          <cell r="A1171" t="str">
            <v>3100|447013</v>
          </cell>
          <cell r="B1171" t="str">
            <v>3100</v>
          </cell>
          <cell r="C1171">
            <v>447013</v>
          </cell>
          <cell r="D1171">
            <v>41426</v>
          </cell>
          <cell r="E1171">
            <v>20325361</v>
          </cell>
          <cell r="F1171">
            <v>10162681</v>
          </cell>
          <cell r="G1171">
            <v>1632810</v>
          </cell>
          <cell r="H1171">
            <v>1693781</v>
          </cell>
          <cell r="I1171">
            <v>0</v>
          </cell>
        </row>
        <row r="1172">
          <cell r="A1172" t="str">
            <v>3100|447023</v>
          </cell>
          <cell r="B1172" t="str">
            <v>3100</v>
          </cell>
          <cell r="C1172">
            <v>447023</v>
          </cell>
          <cell r="D1172">
            <v>41426</v>
          </cell>
          <cell r="E1172">
            <v>713724</v>
          </cell>
          <cell r="F1172">
            <v>356862</v>
          </cell>
          <cell r="G1172">
            <v>39649</v>
          </cell>
          <cell r="H1172">
            <v>59477</v>
          </cell>
          <cell r="I1172">
            <v>0</v>
          </cell>
        </row>
        <row r="1173">
          <cell r="A1173" t="str">
            <v>3100|448003</v>
          </cell>
          <cell r="B1173" t="str">
            <v>3100</v>
          </cell>
          <cell r="C1173">
            <v>448003</v>
          </cell>
          <cell r="D1173">
            <v>41426</v>
          </cell>
          <cell r="E1173">
            <v>33114983</v>
          </cell>
          <cell r="F1173">
            <v>16557492</v>
          </cell>
          <cell r="G1173">
            <v>4177805</v>
          </cell>
          <cell r="H1173">
            <v>2759582</v>
          </cell>
          <cell r="I1173">
            <v>380000</v>
          </cell>
        </row>
        <row r="1174">
          <cell r="A1174" t="str">
            <v>3100|449011</v>
          </cell>
          <cell r="B1174" t="str">
            <v>3100</v>
          </cell>
          <cell r="C1174">
            <v>449011</v>
          </cell>
          <cell r="D1174">
            <v>41426</v>
          </cell>
          <cell r="E1174">
            <v>75000000</v>
          </cell>
          <cell r="F1174">
            <v>37500000</v>
          </cell>
          <cell r="G1174">
            <v>-129087267</v>
          </cell>
          <cell r="H1174">
            <v>6250000</v>
          </cell>
          <cell r="I1174">
            <v>-129087267</v>
          </cell>
        </row>
        <row r="1175">
          <cell r="A1175" t="str">
            <v>3100|449023</v>
          </cell>
          <cell r="B1175" t="str">
            <v>3100</v>
          </cell>
          <cell r="C1175">
            <v>449023</v>
          </cell>
          <cell r="D1175">
            <v>41426</v>
          </cell>
          <cell r="E1175">
            <v>37356000</v>
          </cell>
          <cell r="F1175">
            <v>18678000</v>
          </cell>
          <cell r="G1175">
            <v>1598000</v>
          </cell>
          <cell r="H1175">
            <v>3113000</v>
          </cell>
          <cell r="I1175">
            <v>0</v>
          </cell>
        </row>
        <row r="1176">
          <cell r="A1176" t="str">
            <v>3100|449032</v>
          </cell>
          <cell r="B1176" t="str">
            <v>3100</v>
          </cell>
          <cell r="C1176">
            <v>449032</v>
          </cell>
          <cell r="D1176">
            <v>41426</v>
          </cell>
          <cell r="E1176">
            <v>9448614</v>
          </cell>
          <cell r="F1176">
            <v>4724307</v>
          </cell>
          <cell r="G1176">
            <v>0</v>
          </cell>
          <cell r="H1176">
            <v>787384</v>
          </cell>
          <cell r="I1176">
            <v>0</v>
          </cell>
        </row>
        <row r="1177">
          <cell r="A1177" t="str">
            <v>3100|449040</v>
          </cell>
          <cell r="B1177" t="str">
            <v>3100</v>
          </cell>
          <cell r="C1177">
            <v>449040</v>
          </cell>
          <cell r="D1177">
            <v>41426</v>
          </cell>
          <cell r="E1177">
            <v>32191716</v>
          </cell>
          <cell r="F1177">
            <v>16095858</v>
          </cell>
          <cell r="G1177">
            <v>45828679</v>
          </cell>
          <cell r="H1177">
            <v>2682643</v>
          </cell>
          <cell r="I1177">
            <v>6345600</v>
          </cell>
        </row>
        <row r="1178">
          <cell r="A1178" t="str">
            <v>3100|449050</v>
          </cell>
          <cell r="B1178" t="str">
            <v>3100</v>
          </cell>
          <cell r="C1178">
            <v>449050</v>
          </cell>
          <cell r="D1178">
            <v>41426</v>
          </cell>
          <cell r="E1178">
            <v>214384348</v>
          </cell>
          <cell r="F1178">
            <v>107192174</v>
          </cell>
          <cell r="G1178">
            <v>48189651</v>
          </cell>
          <cell r="H1178">
            <v>17865362</v>
          </cell>
          <cell r="I1178">
            <v>7652344</v>
          </cell>
        </row>
        <row r="1179">
          <cell r="A1179" t="str">
            <v>3100|449061</v>
          </cell>
          <cell r="B1179" t="str">
            <v>3100</v>
          </cell>
          <cell r="C1179">
            <v>449061</v>
          </cell>
          <cell r="D1179">
            <v>41426</v>
          </cell>
          <cell r="E1179">
            <v>17539425</v>
          </cell>
          <cell r="F1179">
            <v>8769713</v>
          </cell>
          <cell r="G1179">
            <v>5596900</v>
          </cell>
          <cell r="H1179">
            <v>1461619</v>
          </cell>
          <cell r="I1179">
            <v>1396400</v>
          </cell>
        </row>
        <row r="1180">
          <cell r="A1180" t="str">
            <v>3100|451000</v>
          </cell>
          <cell r="B1180" t="str">
            <v>3100</v>
          </cell>
          <cell r="C1180">
            <v>451000</v>
          </cell>
          <cell r="D1180">
            <v>41426</v>
          </cell>
          <cell r="E1180">
            <v>19722486</v>
          </cell>
          <cell r="F1180">
            <v>9861243</v>
          </cell>
          <cell r="G1180">
            <v>14847725</v>
          </cell>
          <cell r="H1180">
            <v>1643540</v>
          </cell>
          <cell r="I1180">
            <v>0</v>
          </cell>
        </row>
        <row r="1181">
          <cell r="A1181" t="str">
            <v>3100|455000</v>
          </cell>
          <cell r="B1181" t="str">
            <v>3100</v>
          </cell>
          <cell r="C1181">
            <v>455000</v>
          </cell>
          <cell r="D1181">
            <v>41426</v>
          </cell>
          <cell r="E1181">
            <v>4000000</v>
          </cell>
          <cell r="F1181">
            <v>2000000</v>
          </cell>
          <cell r="G1181">
            <v>0</v>
          </cell>
          <cell r="H1181">
            <v>333333</v>
          </cell>
          <cell r="I1181">
            <v>0</v>
          </cell>
        </row>
        <row r="1182">
          <cell r="A1182" t="str">
            <v>3100|459000</v>
          </cell>
          <cell r="B1182" t="str">
            <v>3100</v>
          </cell>
          <cell r="C1182">
            <v>459000</v>
          </cell>
          <cell r="D1182">
            <v>41426</v>
          </cell>
          <cell r="E1182">
            <v>307708</v>
          </cell>
          <cell r="F1182">
            <v>153854</v>
          </cell>
          <cell r="G1182">
            <v>0</v>
          </cell>
          <cell r="H1182">
            <v>25642</v>
          </cell>
          <cell r="I1182">
            <v>0</v>
          </cell>
        </row>
        <row r="1183">
          <cell r="A1183" t="str">
            <v>3100|470001</v>
          </cell>
          <cell r="B1183" t="str">
            <v>3100</v>
          </cell>
          <cell r="C1183">
            <v>470001</v>
          </cell>
          <cell r="D1183">
            <v>41426</v>
          </cell>
          <cell r="E1183">
            <v>367608000</v>
          </cell>
          <cell r="F1183">
            <v>183804000</v>
          </cell>
          <cell r="G1183">
            <v>183804000</v>
          </cell>
          <cell r="H1183">
            <v>30634000</v>
          </cell>
          <cell r="I1183">
            <v>30634000</v>
          </cell>
        </row>
        <row r="1184">
          <cell r="A1184" t="str">
            <v>3100|470002</v>
          </cell>
          <cell r="B1184" t="str">
            <v>3100</v>
          </cell>
          <cell r="C1184">
            <v>470002</v>
          </cell>
          <cell r="D1184">
            <v>41426</v>
          </cell>
          <cell r="E1184">
            <v>2878822514</v>
          </cell>
          <cell r="F1184">
            <v>1439411257</v>
          </cell>
          <cell r="G1184">
            <v>1559753985</v>
          </cell>
          <cell r="H1184">
            <v>239901876</v>
          </cell>
          <cell r="I1184">
            <v>266215536</v>
          </cell>
        </row>
        <row r="1185">
          <cell r="A1185" t="str">
            <v>3100|470102</v>
          </cell>
          <cell r="B1185" t="str">
            <v>3100</v>
          </cell>
          <cell r="C1185">
            <v>470102</v>
          </cell>
          <cell r="D1185">
            <v>41426</v>
          </cell>
          <cell r="E1185">
            <v>17033502</v>
          </cell>
          <cell r="F1185">
            <v>8516751</v>
          </cell>
          <cell r="G1185">
            <v>1080034</v>
          </cell>
          <cell r="H1185">
            <v>1419458</v>
          </cell>
          <cell r="I1185">
            <v>0</v>
          </cell>
        </row>
        <row r="1186">
          <cell r="A1186" t="str">
            <v>3100|471000</v>
          </cell>
          <cell r="B1186" t="str">
            <v>3100</v>
          </cell>
          <cell r="C1186">
            <v>471000</v>
          </cell>
          <cell r="D1186">
            <v>41426</v>
          </cell>
          <cell r="E1186">
            <v>14800828</v>
          </cell>
          <cell r="F1186">
            <v>7400414</v>
          </cell>
          <cell r="G1186">
            <v>4738520</v>
          </cell>
          <cell r="H1186">
            <v>1233402</v>
          </cell>
          <cell r="I1186">
            <v>0</v>
          </cell>
        </row>
        <row r="1187">
          <cell r="A1187" t="str">
            <v>3100|472000</v>
          </cell>
          <cell r="B1187" t="str">
            <v>3100</v>
          </cell>
          <cell r="C1187">
            <v>472000</v>
          </cell>
          <cell r="D1187">
            <v>41426</v>
          </cell>
          <cell r="E1187">
            <v>6000000</v>
          </cell>
          <cell r="F1187">
            <v>3000000</v>
          </cell>
          <cell r="G1187">
            <v>-1271012</v>
          </cell>
          <cell r="H1187">
            <v>500000</v>
          </cell>
          <cell r="I1187">
            <v>-2595212</v>
          </cell>
        </row>
        <row r="1188">
          <cell r="A1188" t="str">
            <v>3100|473000</v>
          </cell>
          <cell r="B1188" t="str">
            <v>3100</v>
          </cell>
          <cell r="C1188">
            <v>473000</v>
          </cell>
          <cell r="D1188">
            <v>41426</v>
          </cell>
          <cell r="E1188">
            <v>36522</v>
          </cell>
          <cell r="F1188">
            <v>18261</v>
          </cell>
          <cell r="G1188">
            <v>24000</v>
          </cell>
          <cell r="H1188">
            <v>3043</v>
          </cell>
          <cell r="I1188">
            <v>6000</v>
          </cell>
        </row>
        <row r="1189">
          <cell r="A1189" t="str">
            <v>3100|473120</v>
          </cell>
          <cell r="B1189" t="str">
            <v>3100</v>
          </cell>
          <cell r="C1189">
            <v>473120</v>
          </cell>
          <cell r="D1189">
            <v>41426</v>
          </cell>
          <cell r="E1189">
            <v>34694233</v>
          </cell>
          <cell r="F1189">
            <v>17347117</v>
          </cell>
          <cell r="G1189">
            <v>44652414</v>
          </cell>
          <cell r="H1189">
            <v>2891187</v>
          </cell>
          <cell r="I1189">
            <v>6474999</v>
          </cell>
        </row>
        <row r="1190">
          <cell r="A1190" t="str">
            <v>3100|474100</v>
          </cell>
          <cell r="B1190" t="str">
            <v>3100</v>
          </cell>
          <cell r="C1190">
            <v>474100</v>
          </cell>
          <cell r="D1190">
            <v>41426</v>
          </cell>
          <cell r="E1190">
            <v>272054321</v>
          </cell>
          <cell r="F1190">
            <v>136027161</v>
          </cell>
          <cell r="G1190">
            <v>135645719</v>
          </cell>
          <cell r="H1190">
            <v>22671194</v>
          </cell>
          <cell r="I1190">
            <v>-3000000</v>
          </cell>
        </row>
        <row r="1191">
          <cell r="A1191" t="str">
            <v>3100|475004</v>
          </cell>
          <cell r="B1191" t="str">
            <v>3100</v>
          </cell>
          <cell r="C1191">
            <v>475004</v>
          </cell>
          <cell r="D1191">
            <v>41426</v>
          </cell>
          <cell r="E1191">
            <v>30135711</v>
          </cell>
          <cell r="F1191">
            <v>15067856</v>
          </cell>
          <cell r="G1191">
            <v>13441590</v>
          </cell>
          <cell r="H1191">
            <v>2511310</v>
          </cell>
          <cell r="I1191">
            <v>2200000</v>
          </cell>
        </row>
        <row r="1192">
          <cell r="A1192" t="str">
            <v>3100|476000</v>
          </cell>
          <cell r="B1192" t="str">
            <v>3100</v>
          </cell>
          <cell r="C1192">
            <v>476000</v>
          </cell>
          <cell r="D1192">
            <v>41426</v>
          </cell>
          <cell r="E1192">
            <v>1084298</v>
          </cell>
          <cell r="F1192">
            <v>542149</v>
          </cell>
          <cell r="G1192">
            <v>19382138</v>
          </cell>
          <cell r="H1192">
            <v>90358</v>
          </cell>
          <cell r="I1192">
            <v>0</v>
          </cell>
        </row>
        <row r="1193">
          <cell r="A1193" t="str">
            <v>3100|476001</v>
          </cell>
          <cell r="B1193" t="str">
            <v>3100</v>
          </cell>
          <cell r="C1193">
            <v>476001</v>
          </cell>
          <cell r="D1193">
            <v>41426</v>
          </cell>
          <cell r="E1193">
            <v>0</v>
          </cell>
          <cell r="F1193">
            <v>0</v>
          </cell>
          <cell r="G1193">
            <v>10116649</v>
          </cell>
          <cell r="H1193">
            <v>0</v>
          </cell>
          <cell r="I1193">
            <v>0</v>
          </cell>
        </row>
        <row r="1194">
          <cell r="A1194" t="str">
            <v>3100|476002</v>
          </cell>
          <cell r="B1194" t="str">
            <v>3100</v>
          </cell>
          <cell r="C1194">
            <v>476002</v>
          </cell>
          <cell r="D1194">
            <v>41426</v>
          </cell>
          <cell r="E1194">
            <v>1740986</v>
          </cell>
          <cell r="F1194">
            <v>870493</v>
          </cell>
          <cell r="G1194">
            <v>0</v>
          </cell>
          <cell r="H1194">
            <v>145082</v>
          </cell>
          <cell r="I1194">
            <v>0</v>
          </cell>
        </row>
        <row r="1195">
          <cell r="A1195" t="str">
            <v>3100|476220</v>
          </cell>
          <cell r="B1195" t="str">
            <v>3100</v>
          </cell>
          <cell r="C1195">
            <v>476220</v>
          </cell>
          <cell r="D1195">
            <v>41426</v>
          </cell>
          <cell r="E1195">
            <v>52664920</v>
          </cell>
          <cell r="F1195">
            <v>26332460</v>
          </cell>
          <cell r="G1195">
            <v>49458450</v>
          </cell>
          <cell r="H1195">
            <v>4388743</v>
          </cell>
          <cell r="I1195">
            <v>12425176</v>
          </cell>
        </row>
        <row r="1196">
          <cell r="A1196" t="str">
            <v>3100|476900</v>
          </cell>
          <cell r="B1196" t="str">
            <v>3100</v>
          </cell>
          <cell r="C1196">
            <v>476900</v>
          </cell>
          <cell r="D1196">
            <v>41426</v>
          </cell>
          <cell r="E1196">
            <v>23529771</v>
          </cell>
          <cell r="F1196">
            <v>11764886</v>
          </cell>
          <cell r="G1196">
            <v>15054209</v>
          </cell>
          <cell r="H1196">
            <v>1960815</v>
          </cell>
          <cell r="I1196">
            <v>5081956</v>
          </cell>
        </row>
        <row r="1197">
          <cell r="A1197" t="str">
            <v>3100|477450</v>
          </cell>
          <cell r="B1197" t="str">
            <v>3100</v>
          </cell>
          <cell r="C1197">
            <v>477450</v>
          </cell>
          <cell r="D1197">
            <v>41426</v>
          </cell>
          <cell r="E1197">
            <v>500000000</v>
          </cell>
          <cell r="F1197">
            <v>250000000</v>
          </cell>
          <cell r="G1197">
            <v>104270694</v>
          </cell>
          <cell r="H1197">
            <v>41666667</v>
          </cell>
          <cell r="I1197">
            <v>0</v>
          </cell>
        </row>
        <row r="1198">
          <cell r="A1198" t="str">
            <v>3130|211100</v>
          </cell>
          <cell r="B1198" t="str">
            <v>3130</v>
          </cell>
          <cell r="C1198">
            <v>211100</v>
          </cell>
          <cell r="D1198">
            <v>41426</v>
          </cell>
          <cell r="E1198">
            <v>4301147</v>
          </cell>
          <cell r="F1198">
            <v>2150574</v>
          </cell>
          <cell r="G1198">
            <v>490112</v>
          </cell>
          <cell r="H1198">
            <v>358429</v>
          </cell>
          <cell r="I1198">
            <v>81687</v>
          </cell>
        </row>
        <row r="1199">
          <cell r="A1199" t="str">
            <v>3130|420003</v>
          </cell>
          <cell r="B1199" t="str">
            <v>3130</v>
          </cell>
          <cell r="C1199">
            <v>420003</v>
          </cell>
          <cell r="D1199">
            <v>41426</v>
          </cell>
          <cell r="E1199">
            <v>402427382</v>
          </cell>
          <cell r="F1199">
            <v>201213691</v>
          </cell>
          <cell r="G1199">
            <v>137139524</v>
          </cell>
          <cell r="H1199">
            <v>33535615</v>
          </cell>
          <cell r="I1199">
            <v>21265001</v>
          </cell>
        </row>
        <row r="1200">
          <cell r="A1200" t="str">
            <v>3130|422003</v>
          </cell>
          <cell r="B1200" t="str">
            <v>3130</v>
          </cell>
          <cell r="C1200">
            <v>422003</v>
          </cell>
          <cell r="D1200">
            <v>41426</v>
          </cell>
          <cell r="E1200">
            <v>1616490</v>
          </cell>
          <cell r="F1200">
            <v>808245</v>
          </cell>
          <cell r="G1200">
            <v>354900</v>
          </cell>
          <cell r="H1200">
            <v>134707</v>
          </cell>
          <cell r="I1200">
            <v>0</v>
          </cell>
        </row>
        <row r="1201">
          <cell r="A1201" t="str">
            <v>3130|431002</v>
          </cell>
          <cell r="B1201" t="str">
            <v>3130</v>
          </cell>
          <cell r="C1201">
            <v>431002</v>
          </cell>
          <cell r="D1201">
            <v>41426</v>
          </cell>
          <cell r="E1201">
            <v>761986</v>
          </cell>
          <cell r="F1201">
            <v>380993</v>
          </cell>
          <cell r="G1201">
            <v>0</v>
          </cell>
          <cell r="H1201">
            <v>63499</v>
          </cell>
          <cell r="I1201">
            <v>0</v>
          </cell>
        </row>
        <row r="1202">
          <cell r="A1202" t="str">
            <v>3130|434013</v>
          </cell>
          <cell r="B1202" t="str">
            <v>3130</v>
          </cell>
          <cell r="C1202">
            <v>434013</v>
          </cell>
          <cell r="D1202">
            <v>41426</v>
          </cell>
          <cell r="E1202">
            <v>16108191</v>
          </cell>
          <cell r="F1202">
            <v>8054096</v>
          </cell>
          <cell r="G1202">
            <v>4113678</v>
          </cell>
          <cell r="H1202">
            <v>1342350</v>
          </cell>
          <cell r="I1202">
            <v>600488</v>
          </cell>
        </row>
        <row r="1203">
          <cell r="A1203" t="str">
            <v>3130|435003</v>
          </cell>
          <cell r="B1203" t="str">
            <v>3130</v>
          </cell>
          <cell r="C1203">
            <v>435003</v>
          </cell>
          <cell r="D1203">
            <v>41426</v>
          </cell>
          <cell r="E1203">
            <v>50303423</v>
          </cell>
          <cell r="F1203">
            <v>25151712</v>
          </cell>
          <cell r="G1203">
            <v>26011000</v>
          </cell>
          <cell r="H1203">
            <v>4191952</v>
          </cell>
          <cell r="I1203">
            <v>0</v>
          </cell>
        </row>
        <row r="1204">
          <cell r="A1204" t="str">
            <v>3130|439003</v>
          </cell>
          <cell r="B1204" t="str">
            <v>3130</v>
          </cell>
          <cell r="C1204">
            <v>439003</v>
          </cell>
          <cell r="D1204">
            <v>41426</v>
          </cell>
          <cell r="E1204">
            <v>78899758</v>
          </cell>
          <cell r="F1204">
            <v>39449879</v>
          </cell>
          <cell r="G1204">
            <v>20073108</v>
          </cell>
          <cell r="H1204">
            <v>6574980</v>
          </cell>
          <cell r="I1204">
            <v>3222605</v>
          </cell>
        </row>
        <row r="1205">
          <cell r="A1205" t="str">
            <v>3130|439203</v>
          </cell>
          <cell r="B1205" t="str">
            <v>3130</v>
          </cell>
          <cell r="C1205">
            <v>439203</v>
          </cell>
          <cell r="D1205">
            <v>41426</v>
          </cell>
          <cell r="E1205">
            <v>11520000</v>
          </cell>
          <cell r="F1205">
            <v>5760000</v>
          </cell>
          <cell r="G1205">
            <v>3550000</v>
          </cell>
          <cell r="H1205">
            <v>960000</v>
          </cell>
          <cell r="I1205">
            <v>500000</v>
          </cell>
        </row>
        <row r="1206">
          <cell r="A1206" t="str">
            <v>3130|440003</v>
          </cell>
          <cell r="B1206" t="str">
            <v>3130</v>
          </cell>
          <cell r="C1206">
            <v>440003</v>
          </cell>
          <cell r="D1206">
            <v>41426</v>
          </cell>
          <cell r="E1206">
            <v>33535615</v>
          </cell>
          <cell r="F1206">
            <v>16767808</v>
          </cell>
          <cell r="G1206">
            <v>13222335</v>
          </cell>
          <cell r="H1206">
            <v>2794635</v>
          </cell>
          <cell r="I1206">
            <v>2527365</v>
          </cell>
        </row>
        <row r="1207">
          <cell r="A1207" t="str">
            <v>3130|447003</v>
          </cell>
          <cell r="B1207" t="str">
            <v>3130</v>
          </cell>
          <cell r="C1207">
            <v>447003</v>
          </cell>
          <cell r="D1207">
            <v>41426</v>
          </cell>
          <cell r="E1207">
            <v>6318299</v>
          </cell>
          <cell r="F1207">
            <v>3159150</v>
          </cell>
          <cell r="G1207">
            <v>1573442</v>
          </cell>
          <cell r="H1207">
            <v>526525</v>
          </cell>
          <cell r="I1207">
            <v>244229</v>
          </cell>
        </row>
        <row r="1208">
          <cell r="A1208" t="str">
            <v>3130|447013</v>
          </cell>
          <cell r="B1208" t="str">
            <v>3130</v>
          </cell>
          <cell r="C1208">
            <v>447013</v>
          </cell>
          <cell r="D1208">
            <v>41426</v>
          </cell>
          <cell r="E1208">
            <v>14889813</v>
          </cell>
          <cell r="F1208">
            <v>7444907</v>
          </cell>
          <cell r="G1208">
            <v>4193895</v>
          </cell>
          <cell r="H1208">
            <v>1240818</v>
          </cell>
          <cell r="I1208">
            <v>575572</v>
          </cell>
        </row>
        <row r="1209">
          <cell r="A1209" t="str">
            <v>3130|447023</v>
          </cell>
          <cell r="B1209" t="str">
            <v>3130</v>
          </cell>
          <cell r="C1209">
            <v>447023</v>
          </cell>
          <cell r="D1209">
            <v>41426</v>
          </cell>
          <cell r="E1209">
            <v>522882</v>
          </cell>
          <cell r="F1209">
            <v>261441</v>
          </cell>
          <cell r="G1209">
            <v>277688</v>
          </cell>
          <cell r="H1209">
            <v>43573</v>
          </cell>
          <cell r="I1209">
            <v>43125</v>
          </cell>
        </row>
        <row r="1210">
          <cell r="A1210" t="str">
            <v>3130|448003</v>
          </cell>
          <cell r="B1210" t="str">
            <v>3130</v>
          </cell>
          <cell r="C1210">
            <v>448003</v>
          </cell>
          <cell r="D1210">
            <v>41426</v>
          </cell>
          <cell r="E1210">
            <v>23792707</v>
          </cell>
          <cell r="F1210">
            <v>11896354</v>
          </cell>
          <cell r="G1210">
            <v>2010965</v>
          </cell>
          <cell r="H1210">
            <v>1982726</v>
          </cell>
          <cell r="I1210">
            <v>0</v>
          </cell>
        </row>
        <row r="1211">
          <cell r="A1211" t="str">
            <v>3130|449023</v>
          </cell>
          <cell r="B1211" t="str">
            <v>3130</v>
          </cell>
          <cell r="C1211">
            <v>449023</v>
          </cell>
          <cell r="D1211">
            <v>41426</v>
          </cell>
          <cell r="E1211">
            <v>33396000</v>
          </cell>
          <cell r="F1211">
            <v>16698000</v>
          </cell>
          <cell r="G1211">
            <v>20623525</v>
          </cell>
          <cell r="H1211">
            <v>2783000</v>
          </cell>
          <cell r="I1211">
            <v>3200000</v>
          </cell>
        </row>
        <row r="1212">
          <cell r="A1212" t="str">
            <v>3130|449032</v>
          </cell>
          <cell r="B1212" t="str">
            <v>3130</v>
          </cell>
          <cell r="C1212">
            <v>449032</v>
          </cell>
          <cell r="D1212">
            <v>41426</v>
          </cell>
          <cell r="E1212">
            <v>795673</v>
          </cell>
          <cell r="F1212">
            <v>397837</v>
          </cell>
          <cell r="G1212">
            <v>0</v>
          </cell>
          <cell r="H1212">
            <v>66307</v>
          </cell>
          <cell r="I1212">
            <v>0</v>
          </cell>
        </row>
        <row r="1213">
          <cell r="A1213" t="str">
            <v>3130|449050</v>
          </cell>
          <cell r="B1213" t="str">
            <v>3130</v>
          </cell>
          <cell r="C1213">
            <v>449050</v>
          </cell>
          <cell r="D1213">
            <v>41426</v>
          </cell>
          <cell r="E1213">
            <v>26907540</v>
          </cell>
          <cell r="F1213">
            <v>13453770</v>
          </cell>
          <cell r="G1213">
            <v>6133334</v>
          </cell>
          <cell r="H1213">
            <v>2242295</v>
          </cell>
          <cell r="I1213">
            <v>3066667</v>
          </cell>
        </row>
        <row r="1214">
          <cell r="A1214" t="str">
            <v>3130|449061</v>
          </cell>
          <cell r="B1214" t="str">
            <v>3130</v>
          </cell>
          <cell r="C1214">
            <v>449061</v>
          </cell>
          <cell r="D1214">
            <v>41426</v>
          </cell>
          <cell r="E1214">
            <v>10725147</v>
          </cell>
          <cell r="F1214">
            <v>5362574</v>
          </cell>
          <cell r="G1214">
            <v>5409000</v>
          </cell>
          <cell r="H1214">
            <v>893763</v>
          </cell>
          <cell r="I1214">
            <v>1026000</v>
          </cell>
        </row>
        <row r="1215">
          <cell r="A1215" t="str">
            <v>3130|473000</v>
          </cell>
          <cell r="B1215" t="str">
            <v>3130</v>
          </cell>
          <cell r="C1215">
            <v>473000</v>
          </cell>
          <cell r="D1215">
            <v>41426</v>
          </cell>
          <cell r="E1215">
            <v>1521751</v>
          </cell>
          <cell r="F1215">
            <v>760876</v>
          </cell>
          <cell r="G1215">
            <v>0</v>
          </cell>
          <cell r="H1215">
            <v>126813</v>
          </cell>
          <cell r="I1215">
            <v>0</v>
          </cell>
        </row>
        <row r="1216">
          <cell r="A1216" t="str">
            <v>3130|473120</v>
          </cell>
          <cell r="B1216" t="str">
            <v>3130</v>
          </cell>
          <cell r="C1216">
            <v>473120</v>
          </cell>
          <cell r="D1216">
            <v>41426</v>
          </cell>
          <cell r="E1216">
            <v>5816010</v>
          </cell>
          <cell r="F1216">
            <v>2908005</v>
          </cell>
          <cell r="G1216">
            <v>2460111</v>
          </cell>
          <cell r="H1216">
            <v>484667</v>
          </cell>
          <cell r="I1216">
            <v>520538</v>
          </cell>
        </row>
        <row r="1217">
          <cell r="A1217" t="str">
            <v>3130|474101</v>
          </cell>
          <cell r="B1217" t="str">
            <v>3130</v>
          </cell>
          <cell r="C1217">
            <v>474101</v>
          </cell>
          <cell r="D1217">
            <v>41426</v>
          </cell>
          <cell r="E1217">
            <v>8141145</v>
          </cell>
          <cell r="F1217">
            <v>4070573</v>
          </cell>
          <cell r="G1217">
            <v>5979534</v>
          </cell>
          <cell r="H1217">
            <v>678429</v>
          </cell>
          <cell r="I1217">
            <v>0</v>
          </cell>
        </row>
        <row r="1218">
          <cell r="A1218" t="str">
            <v>3130|475003</v>
          </cell>
          <cell r="B1218" t="str">
            <v>3130</v>
          </cell>
          <cell r="C1218">
            <v>475003</v>
          </cell>
          <cell r="D1218">
            <v>41426</v>
          </cell>
          <cell r="E1218">
            <v>2236927</v>
          </cell>
          <cell r="F1218">
            <v>1118464</v>
          </cell>
          <cell r="G1218">
            <v>0</v>
          </cell>
          <cell r="H1218">
            <v>186411</v>
          </cell>
          <cell r="I1218">
            <v>0</v>
          </cell>
        </row>
        <row r="1219">
          <cell r="A1219" t="str">
            <v>3130|475006</v>
          </cell>
          <cell r="B1219" t="str">
            <v>3130</v>
          </cell>
          <cell r="C1219">
            <v>475006</v>
          </cell>
          <cell r="D1219">
            <v>41426</v>
          </cell>
          <cell r="E1219">
            <v>2554642</v>
          </cell>
          <cell r="F1219">
            <v>1277321</v>
          </cell>
          <cell r="G1219">
            <v>1259064</v>
          </cell>
          <cell r="H1219">
            <v>212887</v>
          </cell>
          <cell r="I1219">
            <v>209844</v>
          </cell>
        </row>
        <row r="1220">
          <cell r="A1220" t="str">
            <v>3130|476001</v>
          </cell>
          <cell r="B1220" t="str">
            <v>3130</v>
          </cell>
          <cell r="C1220">
            <v>476001</v>
          </cell>
          <cell r="D1220">
            <v>41426</v>
          </cell>
          <cell r="E1220">
            <v>487930</v>
          </cell>
          <cell r="F1220">
            <v>243965</v>
          </cell>
          <cell r="G1220">
            <v>250000</v>
          </cell>
          <cell r="H1220">
            <v>40661</v>
          </cell>
          <cell r="I1220">
            <v>0</v>
          </cell>
        </row>
        <row r="1221">
          <cell r="A1221" t="str">
            <v>3200|211100</v>
          </cell>
          <cell r="B1221" t="str">
            <v>3200</v>
          </cell>
          <cell r="C1221">
            <v>211100</v>
          </cell>
          <cell r="D1221">
            <v>41426</v>
          </cell>
          <cell r="E1221">
            <v>171677266</v>
          </cell>
          <cell r="F1221">
            <v>85838633</v>
          </cell>
          <cell r="G1221">
            <v>103606679</v>
          </cell>
          <cell r="H1221">
            <v>14306439</v>
          </cell>
          <cell r="I1221">
            <v>17267808</v>
          </cell>
        </row>
        <row r="1222">
          <cell r="A1222" t="str">
            <v>3200|400040</v>
          </cell>
          <cell r="B1222" t="str">
            <v>3200</v>
          </cell>
          <cell r="C1222">
            <v>400040</v>
          </cell>
          <cell r="D1222">
            <v>41426</v>
          </cell>
          <cell r="E1222">
            <v>300000000</v>
          </cell>
          <cell r="F1222">
            <v>150000000</v>
          </cell>
          <cell r="G1222">
            <v>4175897</v>
          </cell>
          <cell r="H1222">
            <v>25000000</v>
          </cell>
          <cell r="I1222">
            <v>490777</v>
          </cell>
        </row>
        <row r="1223">
          <cell r="A1223" t="str">
            <v>3200|405200</v>
          </cell>
          <cell r="B1223" t="str">
            <v>3200</v>
          </cell>
          <cell r="C1223">
            <v>405200</v>
          </cell>
          <cell r="D1223">
            <v>41426</v>
          </cell>
          <cell r="E1223">
            <v>100000000</v>
          </cell>
          <cell r="F1223">
            <v>50000000</v>
          </cell>
          <cell r="G1223">
            <v>59892037</v>
          </cell>
          <cell r="H1223">
            <v>8333333</v>
          </cell>
          <cell r="I1223">
            <v>760000</v>
          </cell>
        </row>
        <row r="1224">
          <cell r="A1224" t="str">
            <v>3200|420002</v>
          </cell>
          <cell r="B1224" t="str">
            <v>3200</v>
          </cell>
          <cell r="C1224">
            <v>420002</v>
          </cell>
          <cell r="D1224">
            <v>41426</v>
          </cell>
          <cell r="E1224">
            <v>159529463</v>
          </cell>
          <cell r="F1224">
            <v>79764732</v>
          </cell>
          <cell r="G1224">
            <v>68973000</v>
          </cell>
          <cell r="H1224">
            <v>13294122</v>
          </cell>
          <cell r="I1224">
            <v>11495500</v>
          </cell>
        </row>
        <row r="1225">
          <cell r="A1225" t="str">
            <v>3200|420003</v>
          </cell>
          <cell r="B1225" t="str">
            <v>3200</v>
          </cell>
          <cell r="C1225">
            <v>420003</v>
          </cell>
          <cell r="D1225">
            <v>41426</v>
          </cell>
          <cell r="E1225">
            <v>1428279692</v>
          </cell>
          <cell r="F1225">
            <v>714139846</v>
          </cell>
          <cell r="G1225">
            <v>501783666</v>
          </cell>
          <cell r="H1225">
            <v>119023308</v>
          </cell>
          <cell r="I1225">
            <v>192826994</v>
          </cell>
        </row>
        <row r="1226">
          <cell r="A1226" t="str">
            <v>3200|422002</v>
          </cell>
          <cell r="B1226" t="str">
            <v>3200</v>
          </cell>
          <cell r="C1226">
            <v>422002</v>
          </cell>
          <cell r="D1226">
            <v>41426</v>
          </cell>
          <cell r="E1226">
            <v>0</v>
          </cell>
          <cell r="F1226">
            <v>0</v>
          </cell>
          <cell r="G1226">
            <v>19650</v>
          </cell>
          <cell r="H1226">
            <v>0</v>
          </cell>
          <cell r="I1226">
            <v>0</v>
          </cell>
        </row>
        <row r="1227">
          <cell r="A1227" t="str">
            <v>3200|422003</v>
          </cell>
          <cell r="B1227" t="str">
            <v>3200</v>
          </cell>
          <cell r="C1227">
            <v>422003</v>
          </cell>
          <cell r="D1227">
            <v>41426</v>
          </cell>
          <cell r="E1227">
            <v>336690</v>
          </cell>
          <cell r="F1227">
            <v>168345</v>
          </cell>
          <cell r="G1227">
            <v>505800</v>
          </cell>
          <cell r="H1227">
            <v>28057</v>
          </cell>
          <cell r="I1227">
            <v>0</v>
          </cell>
        </row>
        <row r="1228">
          <cell r="A1228" t="str">
            <v>3200|431001</v>
          </cell>
          <cell r="B1228" t="str">
            <v>3200</v>
          </cell>
          <cell r="C1228">
            <v>431001</v>
          </cell>
          <cell r="D1228">
            <v>41426</v>
          </cell>
          <cell r="E1228">
            <v>0</v>
          </cell>
          <cell r="F1228">
            <v>0</v>
          </cell>
          <cell r="G1228">
            <v>5806543</v>
          </cell>
          <cell r="H1228">
            <v>0</v>
          </cell>
          <cell r="I1228">
            <v>1435193</v>
          </cell>
        </row>
        <row r="1229">
          <cell r="A1229" t="str">
            <v>3200|431002</v>
          </cell>
          <cell r="B1229" t="str">
            <v>3200</v>
          </cell>
          <cell r="C1229">
            <v>431002</v>
          </cell>
          <cell r="D1229">
            <v>41426</v>
          </cell>
          <cell r="E1229">
            <v>14453537</v>
          </cell>
          <cell r="F1229">
            <v>7226769</v>
          </cell>
          <cell r="G1229">
            <v>4876218</v>
          </cell>
          <cell r="H1229">
            <v>1204462</v>
          </cell>
          <cell r="I1229">
            <v>1215765</v>
          </cell>
        </row>
        <row r="1230">
          <cell r="A1230" t="str">
            <v>3200|434012</v>
          </cell>
          <cell r="B1230" t="str">
            <v>3200</v>
          </cell>
          <cell r="C1230">
            <v>434012</v>
          </cell>
          <cell r="D1230">
            <v>41426</v>
          </cell>
          <cell r="E1230">
            <v>0</v>
          </cell>
          <cell r="F1230">
            <v>0</v>
          </cell>
          <cell r="G1230">
            <v>1974400</v>
          </cell>
          <cell r="H1230">
            <v>0</v>
          </cell>
          <cell r="I1230">
            <v>332496</v>
          </cell>
        </row>
        <row r="1231">
          <cell r="A1231" t="str">
            <v>3200|434013</v>
          </cell>
          <cell r="B1231" t="str">
            <v>3200</v>
          </cell>
          <cell r="C1231">
            <v>434013</v>
          </cell>
          <cell r="D1231">
            <v>41426</v>
          </cell>
          <cell r="E1231">
            <v>16108191</v>
          </cell>
          <cell r="F1231">
            <v>8054096</v>
          </cell>
          <cell r="G1231">
            <v>18481438</v>
          </cell>
          <cell r="H1231">
            <v>1342350</v>
          </cell>
          <cell r="I1231">
            <v>4914041</v>
          </cell>
        </row>
        <row r="1232">
          <cell r="A1232" t="str">
            <v>3200|435002</v>
          </cell>
          <cell r="B1232" t="str">
            <v>3200</v>
          </cell>
          <cell r="C1232">
            <v>435002</v>
          </cell>
          <cell r="D1232">
            <v>41426</v>
          </cell>
          <cell r="E1232">
            <v>27252950</v>
          </cell>
          <cell r="F1232">
            <v>13626475</v>
          </cell>
          <cell r="G1232">
            <v>13079500</v>
          </cell>
          <cell r="H1232">
            <v>2271079</v>
          </cell>
          <cell r="I1232">
            <v>0</v>
          </cell>
        </row>
        <row r="1233">
          <cell r="A1233" t="str">
            <v>3200|435003</v>
          </cell>
          <cell r="B1233" t="str">
            <v>3200</v>
          </cell>
          <cell r="C1233">
            <v>435003</v>
          </cell>
          <cell r="D1233">
            <v>41426</v>
          </cell>
          <cell r="E1233">
            <v>178534961</v>
          </cell>
          <cell r="F1233">
            <v>89267481</v>
          </cell>
          <cell r="G1233">
            <v>86774500</v>
          </cell>
          <cell r="H1233">
            <v>14877914</v>
          </cell>
          <cell r="I1233">
            <v>0</v>
          </cell>
        </row>
        <row r="1234">
          <cell r="A1234" t="str">
            <v>3200|439003</v>
          </cell>
          <cell r="B1234" t="str">
            <v>3200</v>
          </cell>
          <cell r="C1234">
            <v>439003</v>
          </cell>
          <cell r="D1234">
            <v>41426</v>
          </cell>
          <cell r="E1234">
            <v>236699275</v>
          </cell>
          <cell r="F1234">
            <v>118349638</v>
          </cell>
          <cell r="G1234">
            <v>96963901</v>
          </cell>
          <cell r="H1234">
            <v>19724940</v>
          </cell>
          <cell r="I1234">
            <v>26317943</v>
          </cell>
        </row>
        <row r="1235">
          <cell r="A1235" t="str">
            <v>3200|439008</v>
          </cell>
          <cell r="B1235" t="str">
            <v>3200</v>
          </cell>
          <cell r="C1235">
            <v>439008</v>
          </cell>
          <cell r="D1235">
            <v>41426</v>
          </cell>
          <cell r="E1235">
            <v>32844125</v>
          </cell>
          <cell r="F1235">
            <v>16422063</v>
          </cell>
          <cell r="G1235">
            <v>19017902</v>
          </cell>
          <cell r="H1235">
            <v>2737011</v>
          </cell>
          <cell r="I1235">
            <v>3196509</v>
          </cell>
        </row>
        <row r="1236">
          <cell r="A1236" t="str">
            <v>3200|439202</v>
          </cell>
          <cell r="B1236" t="str">
            <v>3200</v>
          </cell>
          <cell r="C1236">
            <v>439202</v>
          </cell>
          <cell r="D1236">
            <v>41426</v>
          </cell>
          <cell r="E1236">
            <v>11520000</v>
          </cell>
          <cell r="F1236">
            <v>5760000</v>
          </cell>
          <cell r="G1236">
            <v>5950000</v>
          </cell>
          <cell r="H1236">
            <v>960000</v>
          </cell>
          <cell r="I1236">
            <v>1000000</v>
          </cell>
        </row>
        <row r="1237">
          <cell r="A1237" t="str">
            <v>3200|439203</v>
          </cell>
          <cell r="B1237" t="str">
            <v>3200</v>
          </cell>
          <cell r="C1237">
            <v>439203</v>
          </cell>
          <cell r="D1237">
            <v>41426</v>
          </cell>
          <cell r="E1237">
            <v>32560000</v>
          </cell>
          <cell r="F1237">
            <v>16280000</v>
          </cell>
          <cell r="G1237">
            <v>14925000</v>
          </cell>
          <cell r="H1237">
            <v>2713333</v>
          </cell>
          <cell r="I1237">
            <v>3950000</v>
          </cell>
        </row>
        <row r="1238">
          <cell r="A1238" t="str">
            <v>3200|440002</v>
          </cell>
          <cell r="B1238" t="str">
            <v>3200</v>
          </cell>
          <cell r="C1238">
            <v>440002</v>
          </cell>
          <cell r="D1238">
            <v>41426</v>
          </cell>
          <cell r="E1238">
            <v>13294122</v>
          </cell>
          <cell r="F1238">
            <v>6647061</v>
          </cell>
          <cell r="G1238">
            <v>7062497</v>
          </cell>
          <cell r="H1238">
            <v>1107843</v>
          </cell>
          <cell r="I1238">
            <v>795238</v>
          </cell>
        </row>
        <row r="1239">
          <cell r="A1239" t="str">
            <v>3200|440003</v>
          </cell>
          <cell r="B1239" t="str">
            <v>3200</v>
          </cell>
          <cell r="C1239">
            <v>440003</v>
          </cell>
          <cell r="D1239">
            <v>41426</v>
          </cell>
          <cell r="E1239">
            <v>119023308</v>
          </cell>
          <cell r="F1239">
            <v>59511654</v>
          </cell>
          <cell r="G1239">
            <v>50179551</v>
          </cell>
          <cell r="H1239">
            <v>9918609</v>
          </cell>
          <cell r="I1239">
            <v>21068869</v>
          </cell>
        </row>
        <row r="1240">
          <cell r="A1240" t="str">
            <v>3200|446002</v>
          </cell>
          <cell r="B1240" t="str">
            <v>3200</v>
          </cell>
          <cell r="C1240">
            <v>446002</v>
          </cell>
          <cell r="D1240">
            <v>41426</v>
          </cell>
          <cell r="E1240">
            <v>6647061</v>
          </cell>
          <cell r="F1240">
            <v>3323531</v>
          </cell>
          <cell r="G1240">
            <v>1800000</v>
          </cell>
          <cell r="H1240">
            <v>553922</v>
          </cell>
          <cell r="I1240">
            <v>300000</v>
          </cell>
        </row>
        <row r="1241">
          <cell r="A1241" t="str">
            <v>3200|447002</v>
          </cell>
          <cell r="B1241" t="str">
            <v>3200</v>
          </cell>
          <cell r="C1241">
            <v>447002</v>
          </cell>
          <cell r="D1241">
            <v>41426</v>
          </cell>
          <cell r="E1241">
            <v>2504613</v>
          </cell>
          <cell r="F1241">
            <v>1252307</v>
          </cell>
          <cell r="G1241">
            <v>671046</v>
          </cell>
          <cell r="H1241">
            <v>208718</v>
          </cell>
          <cell r="I1241">
            <v>111841</v>
          </cell>
        </row>
        <row r="1242">
          <cell r="A1242" t="str">
            <v>3200|447003</v>
          </cell>
          <cell r="B1242" t="str">
            <v>3200</v>
          </cell>
          <cell r="C1242">
            <v>447003</v>
          </cell>
          <cell r="D1242">
            <v>41426</v>
          </cell>
          <cell r="E1242">
            <v>22423173</v>
          </cell>
          <cell r="F1242">
            <v>11211587</v>
          </cell>
          <cell r="G1242">
            <v>2907218</v>
          </cell>
          <cell r="H1242">
            <v>1868598</v>
          </cell>
          <cell r="I1242">
            <v>1384052</v>
          </cell>
        </row>
        <row r="1243">
          <cell r="A1243" t="str">
            <v>3200|447012</v>
          </cell>
          <cell r="B1243" t="str">
            <v>3200</v>
          </cell>
          <cell r="C1243">
            <v>447012</v>
          </cell>
          <cell r="D1243">
            <v>41426</v>
          </cell>
          <cell r="E1243">
            <v>5902590</v>
          </cell>
          <cell r="F1243">
            <v>2951295</v>
          </cell>
          <cell r="G1243">
            <v>2552004</v>
          </cell>
          <cell r="H1243">
            <v>491882</v>
          </cell>
          <cell r="I1243">
            <v>425334</v>
          </cell>
        </row>
        <row r="1244">
          <cell r="A1244" t="str">
            <v>3200|447013</v>
          </cell>
          <cell r="B1244" t="str">
            <v>3200</v>
          </cell>
          <cell r="C1244">
            <v>447013</v>
          </cell>
          <cell r="D1244">
            <v>41426</v>
          </cell>
          <cell r="E1244">
            <v>52846349</v>
          </cell>
          <cell r="F1244">
            <v>26423175</v>
          </cell>
          <cell r="G1244">
            <v>19919845</v>
          </cell>
          <cell r="H1244">
            <v>4403863</v>
          </cell>
          <cell r="I1244">
            <v>9483324</v>
          </cell>
        </row>
        <row r="1245">
          <cell r="A1245" t="str">
            <v>3200|447022</v>
          </cell>
          <cell r="B1245" t="str">
            <v>3200</v>
          </cell>
          <cell r="C1245">
            <v>447022</v>
          </cell>
          <cell r="D1245">
            <v>41426</v>
          </cell>
          <cell r="E1245">
            <v>250461</v>
          </cell>
          <cell r="F1245">
            <v>125231</v>
          </cell>
          <cell r="G1245">
            <v>58608</v>
          </cell>
          <cell r="H1245">
            <v>20872</v>
          </cell>
          <cell r="I1245">
            <v>9775</v>
          </cell>
        </row>
        <row r="1246">
          <cell r="A1246" t="str">
            <v>3200|447023</v>
          </cell>
          <cell r="B1246" t="str">
            <v>3200</v>
          </cell>
          <cell r="C1246">
            <v>447023</v>
          </cell>
          <cell r="D1246">
            <v>41426</v>
          </cell>
          <cell r="E1246">
            <v>1855669</v>
          </cell>
          <cell r="F1246">
            <v>927835</v>
          </cell>
          <cell r="G1246">
            <v>559902</v>
          </cell>
          <cell r="H1246">
            <v>154640</v>
          </cell>
          <cell r="I1246">
            <v>268533</v>
          </cell>
        </row>
        <row r="1247">
          <cell r="A1247" t="str">
            <v>3200|448002</v>
          </cell>
          <cell r="B1247" t="str">
            <v>3200</v>
          </cell>
          <cell r="C1247">
            <v>448002</v>
          </cell>
          <cell r="D1247">
            <v>41426</v>
          </cell>
          <cell r="E1247">
            <v>11935582</v>
          </cell>
          <cell r="F1247">
            <v>5967791</v>
          </cell>
          <cell r="G1247">
            <v>4797720</v>
          </cell>
          <cell r="H1247">
            <v>994632</v>
          </cell>
          <cell r="I1247">
            <v>273000</v>
          </cell>
        </row>
        <row r="1248">
          <cell r="A1248" t="str">
            <v>3200|448003</v>
          </cell>
          <cell r="B1248" t="str">
            <v>3200</v>
          </cell>
          <cell r="C1248">
            <v>448003</v>
          </cell>
          <cell r="D1248">
            <v>41426</v>
          </cell>
          <cell r="E1248">
            <v>80887847</v>
          </cell>
          <cell r="F1248">
            <v>40443924</v>
          </cell>
          <cell r="G1248">
            <v>9100264</v>
          </cell>
          <cell r="H1248">
            <v>6740654</v>
          </cell>
          <cell r="I1248">
            <v>1180000</v>
          </cell>
        </row>
        <row r="1249">
          <cell r="A1249" t="str">
            <v>3200|449022</v>
          </cell>
          <cell r="B1249" t="str">
            <v>3200</v>
          </cell>
          <cell r="C1249">
            <v>449022</v>
          </cell>
          <cell r="D1249">
            <v>41426</v>
          </cell>
          <cell r="E1249">
            <v>7920000</v>
          </cell>
          <cell r="F1249">
            <v>3960000</v>
          </cell>
          <cell r="G1249">
            <v>4080000</v>
          </cell>
          <cell r="H1249">
            <v>660000</v>
          </cell>
          <cell r="I1249">
            <v>680000</v>
          </cell>
        </row>
        <row r="1250">
          <cell r="A1250" t="str">
            <v>3200|449023</v>
          </cell>
          <cell r="B1250" t="str">
            <v>3200</v>
          </cell>
          <cell r="C1250">
            <v>449023</v>
          </cell>
          <cell r="D1250">
            <v>41426</v>
          </cell>
          <cell r="E1250">
            <v>15840000</v>
          </cell>
          <cell r="F1250">
            <v>7920000</v>
          </cell>
          <cell r="G1250">
            <v>14430000</v>
          </cell>
          <cell r="H1250">
            <v>1320000</v>
          </cell>
          <cell r="I1250">
            <v>4123000</v>
          </cell>
        </row>
        <row r="1251">
          <cell r="A1251" t="str">
            <v>3200|449040</v>
          </cell>
          <cell r="B1251" t="str">
            <v>3200</v>
          </cell>
          <cell r="C1251">
            <v>449040</v>
          </cell>
          <cell r="D1251">
            <v>41426</v>
          </cell>
          <cell r="E1251">
            <v>48958330</v>
          </cell>
          <cell r="F1251">
            <v>24479165</v>
          </cell>
          <cell r="G1251">
            <v>16462000</v>
          </cell>
          <cell r="H1251">
            <v>4079861</v>
          </cell>
          <cell r="I1251">
            <v>2224000</v>
          </cell>
        </row>
        <row r="1252">
          <cell r="A1252" t="str">
            <v>3200|449050</v>
          </cell>
          <cell r="B1252" t="str">
            <v>3200</v>
          </cell>
          <cell r="C1252">
            <v>449050</v>
          </cell>
          <cell r="D1252">
            <v>41426</v>
          </cell>
          <cell r="E1252">
            <v>207298445</v>
          </cell>
          <cell r="F1252">
            <v>103649223</v>
          </cell>
          <cell r="G1252">
            <v>422430</v>
          </cell>
          <cell r="H1252">
            <v>17274871</v>
          </cell>
          <cell r="I1252">
            <v>0</v>
          </cell>
        </row>
        <row r="1253">
          <cell r="A1253" t="str">
            <v>3200|449061</v>
          </cell>
          <cell r="B1253" t="str">
            <v>3200</v>
          </cell>
          <cell r="C1253">
            <v>449061</v>
          </cell>
          <cell r="D1253">
            <v>41426</v>
          </cell>
          <cell r="E1253">
            <v>59288547</v>
          </cell>
          <cell r="F1253">
            <v>29644274</v>
          </cell>
          <cell r="G1253">
            <v>37959900</v>
          </cell>
          <cell r="H1253">
            <v>4940713</v>
          </cell>
          <cell r="I1253">
            <v>9540100</v>
          </cell>
        </row>
        <row r="1254">
          <cell r="A1254" t="str">
            <v>3200|459002</v>
          </cell>
          <cell r="B1254" t="str">
            <v>3200</v>
          </cell>
          <cell r="C1254">
            <v>459002</v>
          </cell>
          <cell r="D1254">
            <v>41426</v>
          </cell>
          <cell r="E1254">
            <v>48109908</v>
          </cell>
          <cell r="F1254">
            <v>24054954</v>
          </cell>
          <cell r="G1254">
            <v>13645269</v>
          </cell>
          <cell r="H1254">
            <v>4009159</v>
          </cell>
          <cell r="I1254">
            <v>0</v>
          </cell>
        </row>
        <row r="1255">
          <cell r="A1255" t="str">
            <v>3200|459005</v>
          </cell>
          <cell r="B1255" t="str">
            <v>3200</v>
          </cell>
          <cell r="C1255">
            <v>459005</v>
          </cell>
          <cell r="D1255">
            <v>41426</v>
          </cell>
          <cell r="E1255">
            <v>1330000</v>
          </cell>
          <cell r="F1255">
            <v>665000</v>
          </cell>
          <cell r="G1255">
            <v>1337850</v>
          </cell>
          <cell r="H1255">
            <v>110833</v>
          </cell>
          <cell r="I1255">
            <v>1337850</v>
          </cell>
        </row>
        <row r="1256">
          <cell r="A1256" t="str">
            <v>3200|470102</v>
          </cell>
          <cell r="B1256" t="str">
            <v>3200</v>
          </cell>
          <cell r="C1256">
            <v>470102</v>
          </cell>
          <cell r="D1256">
            <v>41426</v>
          </cell>
          <cell r="E1256">
            <v>1757931</v>
          </cell>
          <cell r="F1256">
            <v>878966</v>
          </cell>
          <cell r="G1256">
            <v>2974090</v>
          </cell>
          <cell r="H1256">
            <v>146495</v>
          </cell>
          <cell r="I1256">
            <v>187000</v>
          </cell>
        </row>
        <row r="1257">
          <cell r="A1257" t="str">
            <v>3200|471000</v>
          </cell>
          <cell r="B1257" t="str">
            <v>3200</v>
          </cell>
          <cell r="C1257">
            <v>471000</v>
          </cell>
          <cell r="D1257">
            <v>41426</v>
          </cell>
          <cell r="E1257">
            <v>2629585</v>
          </cell>
          <cell r="F1257">
            <v>1314793</v>
          </cell>
          <cell r="G1257">
            <v>0</v>
          </cell>
          <cell r="H1257">
            <v>219133</v>
          </cell>
          <cell r="I1257">
            <v>0</v>
          </cell>
        </row>
        <row r="1258">
          <cell r="A1258" t="str">
            <v>3200|472000</v>
          </cell>
          <cell r="B1258" t="str">
            <v>3200</v>
          </cell>
          <cell r="C1258">
            <v>472000</v>
          </cell>
          <cell r="D1258">
            <v>41426</v>
          </cell>
          <cell r="E1258">
            <v>0</v>
          </cell>
          <cell r="F1258">
            <v>0</v>
          </cell>
          <cell r="G1258">
            <v>2756237</v>
          </cell>
          <cell r="H1258">
            <v>0</v>
          </cell>
          <cell r="I1258">
            <v>2278355</v>
          </cell>
        </row>
        <row r="1259">
          <cell r="A1259" t="str">
            <v>3200|473000</v>
          </cell>
          <cell r="B1259" t="str">
            <v>3200</v>
          </cell>
          <cell r="C1259">
            <v>473000</v>
          </cell>
          <cell r="D1259">
            <v>41426</v>
          </cell>
          <cell r="E1259">
            <v>1530638</v>
          </cell>
          <cell r="F1259">
            <v>765319</v>
          </cell>
          <cell r="G1259">
            <v>0</v>
          </cell>
          <cell r="H1259">
            <v>127553</v>
          </cell>
          <cell r="I1259">
            <v>0</v>
          </cell>
        </row>
        <row r="1260">
          <cell r="A1260" t="str">
            <v>3200|473120</v>
          </cell>
          <cell r="B1260" t="str">
            <v>3200</v>
          </cell>
          <cell r="C1260">
            <v>473120</v>
          </cell>
          <cell r="D1260">
            <v>41426</v>
          </cell>
          <cell r="E1260">
            <v>37066671</v>
          </cell>
          <cell r="F1260">
            <v>18533336</v>
          </cell>
          <cell r="G1260">
            <v>22031441</v>
          </cell>
          <cell r="H1260">
            <v>3088890</v>
          </cell>
          <cell r="I1260">
            <v>6691768</v>
          </cell>
        </row>
        <row r="1261">
          <cell r="A1261" t="str">
            <v>3200|474100</v>
          </cell>
          <cell r="B1261" t="str">
            <v>3200</v>
          </cell>
          <cell r="C1261">
            <v>474100</v>
          </cell>
          <cell r="D1261">
            <v>41426</v>
          </cell>
          <cell r="E1261">
            <v>41033621</v>
          </cell>
          <cell r="F1261">
            <v>20516811</v>
          </cell>
          <cell r="G1261">
            <v>0</v>
          </cell>
          <cell r="H1261">
            <v>3419469</v>
          </cell>
          <cell r="I1261">
            <v>0</v>
          </cell>
        </row>
        <row r="1262">
          <cell r="A1262" t="str">
            <v>3200|474101</v>
          </cell>
          <cell r="B1262" t="str">
            <v>3200</v>
          </cell>
          <cell r="C1262">
            <v>474101</v>
          </cell>
          <cell r="D1262">
            <v>41426</v>
          </cell>
          <cell r="E1262">
            <v>82199606</v>
          </cell>
          <cell r="F1262">
            <v>41099803</v>
          </cell>
          <cell r="G1262">
            <v>5177047</v>
          </cell>
          <cell r="H1262">
            <v>6849967</v>
          </cell>
          <cell r="I1262">
            <v>-21241203</v>
          </cell>
        </row>
        <row r="1263">
          <cell r="A1263" t="str">
            <v>3200|475000</v>
          </cell>
          <cell r="B1263" t="str">
            <v>3200</v>
          </cell>
          <cell r="C1263">
            <v>475000</v>
          </cell>
          <cell r="D1263">
            <v>41426</v>
          </cell>
          <cell r="E1263">
            <v>18261</v>
          </cell>
          <cell r="F1263">
            <v>9131</v>
          </cell>
          <cell r="G1263">
            <v>0</v>
          </cell>
          <cell r="H1263">
            <v>1522</v>
          </cell>
          <cell r="I1263">
            <v>0</v>
          </cell>
        </row>
        <row r="1264">
          <cell r="A1264" t="str">
            <v>3200|475003</v>
          </cell>
          <cell r="B1264" t="str">
            <v>3200</v>
          </cell>
          <cell r="C1264">
            <v>475003</v>
          </cell>
          <cell r="D1264">
            <v>41426</v>
          </cell>
          <cell r="E1264">
            <v>10953946</v>
          </cell>
          <cell r="F1264">
            <v>5476973</v>
          </cell>
          <cell r="G1264">
            <v>9056786</v>
          </cell>
          <cell r="H1264">
            <v>912829</v>
          </cell>
          <cell r="I1264">
            <v>540000</v>
          </cell>
        </row>
        <row r="1265">
          <cell r="A1265" t="str">
            <v>3200|475004</v>
          </cell>
          <cell r="B1265" t="str">
            <v>3200</v>
          </cell>
          <cell r="C1265">
            <v>475004</v>
          </cell>
          <cell r="D1265">
            <v>41426</v>
          </cell>
          <cell r="E1265">
            <v>46433006</v>
          </cell>
          <cell r="F1265">
            <v>23216503</v>
          </cell>
          <cell r="G1265">
            <v>15175223</v>
          </cell>
          <cell r="H1265">
            <v>3869417</v>
          </cell>
          <cell r="I1265">
            <v>12333030</v>
          </cell>
        </row>
        <row r="1266">
          <cell r="A1266" t="str">
            <v>3200|475005</v>
          </cell>
          <cell r="B1266" t="str">
            <v>3200</v>
          </cell>
          <cell r="C1266">
            <v>475005</v>
          </cell>
          <cell r="D1266">
            <v>41426</v>
          </cell>
          <cell r="E1266">
            <v>104620</v>
          </cell>
          <cell r="F1266">
            <v>52310</v>
          </cell>
          <cell r="G1266">
            <v>0</v>
          </cell>
          <cell r="H1266">
            <v>8718</v>
          </cell>
          <cell r="I1266">
            <v>0</v>
          </cell>
        </row>
        <row r="1267">
          <cell r="A1267" t="str">
            <v>3200|475006</v>
          </cell>
          <cell r="B1267" t="str">
            <v>3200</v>
          </cell>
          <cell r="C1267">
            <v>475006</v>
          </cell>
          <cell r="D1267">
            <v>41426</v>
          </cell>
          <cell r="E1267">
            <v>156305338</v>
          </cell>
          <cell r="F1267">
            <v>78152669</v>
          </cell>
          <cell r="G1267">
            <v>34205117</v>
          </cell>
          <cell r="H1267">
            <v>13025445</v>
          </cell>
          <cell r="I1267">
            <v>10922704</v>
          </cell>
        </row>
        <row r="1268">
          <cell r="A1268" t="str">
            <v>3200|476000</v>
          </cell>
          <cell r="B1268" t="str">
            <v>3200</v>
          </cell>
          <cell r="C1268">
            <v>476000</v>
          </cell>
          <cell r="D1268">
            <v>41426</v>
          </cell>
          <cell r="E1268">
            <v>2911263</v>
          </cell>
          <cell r="F1268">
            <v>1455632</v>
          </cell>
          <cell r="G1268">
            <v>70000</v>
          </cell>
          <cell r="H1268">
            <v>242606</v>
          </cell>
          <cell r="I1268">
            <v>0</v>
          </cell>
        </row>
        <row r="1269">
          <cell r="A1269" t="str">
            <v>3200|476001</v>
          </cell>
          <cell r="B1269" t="str">
            <v>3200</v>
          </cell>
          <cell r="C1269">
            <v>476001</v>
          </cell>
          <cell r="D1269">
            <v>41426</v>
          </cell>
          <cell r="E1269">
            <v>18242844</v>
          </cell>
          <cell r="F1269">
            <v>9121422</v>
          </cell>
          <cell r="G1269">
            <v>23379977</v>
          </cell>
          <cell r="H1269">
            <v>1520237</v>
          </cell>
          <cell r="I1269">
            <v>4083784</v>
          </cell>
        </row>
        <row r="1270">
          <cell r="A1270" t="str">
            <v>3200|476201</v>
          </cell>
          <cell r="B1270" t="str">
            <v>3200</v>
          </cell>
          <cell r="C1270">
            <v>476201</v>
          </cell>
          <cell r="D1270">
            <v>41426</v>
          </cell>
          <cell r="E1270">
            <v>140575593</v>
          </cell>
          <cell r="F1270">
            <v>70287797</v>
          </cell>
          <cell r="G1270">
            <v>77328520</v>
          </cell>
          <cell r="H1270">
            <v>11714633</v>
          </cell>
          <cell r="I1270">
            <v>77232000</v>
          </cell>
        </row>
        <row r="1271">
          <cell r="A1271" t="str">
            <v>3200|476220</v>
          </cell>
          <cell r="B1271" t="str">
            <v>3200</v>
          </cell>
          <cell r="C1271">
            <v>476220</v>
          </cell>
          <cell r="D1271">
            <v>41426</v>
          </cell>
          <cell r="E1271">
            <v>8985153</v>
          </cell>
          <cell r="F1271">
            <v>4492577</v>
          </cell>
          <cell r="G1271">
            <v>0</v>
          </cell>
          <cell r="H1271">
            <v>748763</v>
          </cell>
          <cell r="I1271">
            <v>0</v>
          </cell>
        </row>
        <row r="1272">
          <cell r="A1272" t="str">
            <v>3200|476900</v>
          </cell>
          <cell r="B1272" t="str">
            <v>3200</v>
          </cell>
          <cell r="C1272">
            <v>476900</v>
          </cell>
          <cell r="D1272">
            <v>41426</v>
          </cell>
          <cell r="E1272">
            <v>10377072</v>
          </cell>
          <cell r="F1272">
            <v>5188536</v>
          </cell>
          <cell r="G1272">
            <v>2722700</v>
          </cell>
          <cell r="H1272">
            <v>864756</v>
          </cell>
          <cell r="I1272">
            <v>382500</v>
          </cell>
        </row>
        <row r="1273">
          <cell r="A1273" t="str">
            <v>3200|476910</v>
          </cell>
          <cell r="B1273" t="str">
            <v>3200</v>
          </cell>
          <cell r="C1273">
            <v>476910</v>
          </cell>
          <cell r="D1273">
            <v>41426</v>
          </cell>
          <cell r="E1273">
            <v>346229</v>
          </cell>
          <cell r="F1273">
            <v>173115</v>
          </cell>
          <cell r="G1273">
            <v>0</v>
          </cell>
          <cell r="H1273">
            <v>28853</v>
          </cell>
          <cell r="I1273">
            <v>0</v>
          </cell>
        </row>
        <row r="1274">
          <cell r="A1274" t="str">
            <v>3200|477450</v>
          </cell>
          <cell r="B1274" t="str">
            <v>3200</v>
          </cell>
          <cell r="C1274">
            <v>477450</v>
          </cell>
          <cell r="D1274">
            <v>41426</v>
          </cell>
          <cell r="E1274">
            <v>778000000</v>
          </cell>
          <cell r="F1274">
            <v>389000000</v>
          </cell>
          <cell r="G1274">
            <v>861377422</v>
          </cell>
          <cell r="H1274">
            <v>64833333</v>
          </cell>
          <cell r="I1274">
            <v>12066713</v>
          </cell>
        </row>
        <row r="1275">
          <cell r="A1275" t="str">
            <v>3200|477910</v>
          </cell>
          <cell r="B1275" t="str">
            <v>3200</v>
          </cell>
          <cell r="C1275">
            <v>477910</v>
          </cell>
          <cell r="D1275">
            <v>41426</v>
          </cell>
          <cell r="E1275">
            <v>750000000</v>
          </cell>
          <cell r="F1275">
            <v>375000000</v>
          </cell>
          <cell r="G1275">
            <v>-143364900</v>
          </cell>
          <cell r="H1275">
            <v>62500000</v>
          </cell>
          <cell r="I1275">
            <v>0</v>
          </cell>
        </row>
        <row r="1276">
          <cell r="A1276" t="str">
            <v>3210|211100</v>
          </cell>
          <cell r="B1276" t="str">
            <v>3210</v>
          </cell>
          <cell r="C1276">
            <v>211100</v>
          </cell>
          <cell r="D1276">
            <v>41426</v>
          </cell>
          <cell r="E1276">
            <v>1340242</v>
          </cell>
          <cell r="F1276">
            <v>670121</v>
          </cell>
          <cell r="G1276">
            <v>451292054</v>
          </cell>
          <cell r="H1276">
            <v>111687</v>
          </cell>
          <cell r="I1276">
            <v>82907555</v>
          </cell>
        </row>
        <row r="1277">
          <cell r="A1277" t="str">
            <v>3210|246000</v>
          </cell>
          <cell r="B1277" t="str">
            <v>3210</v>
          </cell>
          <cell r="C1277">
            <v>246000</v>
          </cell>
          <cell r="D1277">
            <v>41426</v>
          </cell>
          <cell r="E1277">
            <v>12500000</v>
          </cell>
          <cell r="F1277">
            <v>6250000</v>
          </cell>
          <cell r="G1277">
            <v>0</v>
          </cell>
          <cell r="H1277">
            <v>1041667</v>
          </cell>
          <cell r="I1277">
            <v>0</v>
          </cell>
        </row>
        <row r="1278">
          <cell r="A1278" t="str">
            <v>3210|246006</v>
          </cell>
          <cell r="B1278" t="str">
            <v>3210</v>
          </cell>
          <cell r="C1278">
            <v>246006</v>
          </cell>
          <cell r="D1278">
            <v>41426</v>
          </cell>
          <cell r="E1278">
            <v>185682600</v>
          </cell>
          <cell r="F1278">
            <v>92841300</v>
          </cell>
          <cell r="G1278">
            <v>0</v>
          </cell>
          <cell r="H1278">
            <v>15473550</v>
          </cell>
          <cell r="I1278">
            <v>0</v>
          </cell>
        </row>
        <row r="1279">
          <cell r="A1279" t="str">
            <v>3210|400040</v>
          </cell>
          <cell r="B1279" t="str">
            <v>3210</v>
          </cell>
          <cell r="C1279">
            <v>400040</v>
          </cell>
          <cell r="D1279">
            <v>41426</v>
          </cell>
          <cell r="E1279">
            <v>1000000000</v>
          </cell>
          <cell r="F1279">
            <v>500000000</v>
          </cell>
          <cell r="G1279">
            <v>831605942</v>
          </cell>
          <cell r="H1279">
            <v>83333334</v>
          </cell>
          <cell r="I1279">
            <v>9092087</v>
          </cell>
        </row>
        <row r="1280">
          <cell r="A1280" t="str">
            <v>3210|405200</v>
          </cell>
          <cell r="B1280" t="str">
            <v>3210</v>
          </cell>
          <cell r="C1280">
            <v>405200</v>
          </cell>
          <cell r="D1280">
            <v>41426</v>
          </cell>
          <cell r="E1280">
            <v>22000000</v>
          </cell>
          <cell r="F1280">
            <v>11000000</v>
          </cell>
          <cell r="G1280">
            <v>12701600</v>
          </cell>
          <cell r="H1280">
            <v>1833333</v>
          </cell>
          <cell r="I1280">
            <v>-935500</v>
          </cell>
        </row>
        <row r="1281">
          <cell r="A1281" t="str">
            <v>3210|405251</v>
          </cell>
          <cell r="B1281" t="str">
            <v>3210</v>
          </cell>
          <cell r="C1281">
            <v>405251</v>
          </cell>
          <cell r="D1281">
            <v>41426</v>
          </cell>
          <cell r="E1281">
            <v>25000000</v>
          </cell>
          <cell r="F1281">
            <v>12500000</v>
          </cell>
          <cell r="G1281">
            <v>78475299</v>
          </cell>
          <cell r="H1281">
            <v>2083333</v>
          </cell>
          <cell r="I1281">
            <v>3034924</v>
          </cell>
        </row>
        <row r="1282">
          <cell r="A1282" t="str">
            <v>3210|420000</v>
          </cell>
          <cell r="B1282" t="str">
            <v>3210</v>
          </cell>
          <cell r="C1282">
            <v>420000</v>
          </cell>
          <cell r="D1282">
            <v>41426</v>
          </cell>
          <cell r="E1282">
            <v>257261706</v>
          </cell>
          <cell r="F1282">
            <v>128630853</v>
          </cell>
          <cell r="G1282">
            <v>67466000</v>
          </cell>
          <cell r="H1282">
            <v>21438475</v>
          </cell>
          <cell r="I1282">
            <v>0</v>
          </cell>
        </row>
        <row r="1283">
          <cell r="A1283" t="str">
            <v>3210|420001</v>
          </cell>
          <cell r="B1283" t="str">
            <v>3210</v>
          </cell>
          <cell r="C1283">
            <v>420001</v>
          </cell>
          <cell r="D1283">
            <v>41426</v>
          </cell>
          <cell r="E1283">
            <v>427189625</v>
          </cell>
          <cell r="F1283">
            <v>213594813</v>
          </cell>
          <cell r="G1283">
            <v>208353397</v>
          </cell>
          <cell r="H1283">
            <v>35599136</v>
          </cell>
          <cell r="I1283">
            <v>32174688</v>
          </cell>
        </row>
        <row r="1284">
          <cell r="A1284" t="str">
            <v>3210|420002</v>
          </cell>
          <cell r="B1284" t="str">
            <v>3210</v>
          </cell>
          <cell r="C1284">
            <v>420002</v>
          </cell>
          <cell r="D1284">
            <v>41426</v>
          </cell>
          <cell r="E1284">
            <v>319058927</v>
          </cell>
          <cell r="F1284">
            <v>159529464</v>
          </cell>
          <cell r="G1284">
            <v>0</v>
          </cell>
          <cell r="H1284">
            <v>26588244</v>
          </cell>
          <cell r="I1284">
            <v>0</v>
          </cell>
        </row>
        <row r="1285">
          <cell r="A1285" t="str">
            <v>3210|420003</v>
          </cell>
          <cell r="B1285" t="str">
            <v>3210</v>
          </cell>
          <cell r="C1285">
            <v>420003</v>
          </cell>
          <cell r="D1285">
            <v>41426</v>
          </cell>
          <cell r="E1285">
            <v>255520683</v>
          </cell>
          <cell r="F1285">
            <v>127760342</v>
          </cell>
          <cell r="G1285">
            <v>161520361</v>
          </cell>
          <cell r="H1285">
            <v>21293391</v>
          </cell>
          <cell r="I1285">
            <v>33194879</v>
          </cell>
        </row>
        <row r="1286">
          <cell r="A1286" t="str">
            <v>3210|422001</v>
          </cell>
          <cell r="B1286" t="str">
            <v>3210</v>
          </cell>
          <cell r="C1286">
            <v>422001</v>
          </cell>
          <cell r="D1286">
            <v>41426</v>
          </cell>
          <cell r="E1286">
            <v>50158760</v>
          </cell>
          <cell r="F1286">
            <v>25079380</v>
          </cell>
          <cell r="G1286">
            <v>576300</v>
          </cell>
          <cell r="H1286">
            <v>4179897</v>
          </cell>
          <cell r="I1286">
            <v>0</v>
          </cell>
        </row>
        <row r="1287">
          <cell r="A1287" t="str">
            <v>3210|422002</v>
          </cell>
          <cell r="B1287" t="str">
            <v>3210</v>
          </cell>
          <cell r="C1287">
            <v>422002</v>
          </cell>
          <cell r="D1287">
            <v>41426</v>
          </cell>
          <cell r="E1287">
            <v>371790</v>
          </cell>
          <cell r="F1287">
            <v>185895</v>
          </cell>
          <cell r="G1287">
            <v>0</v>
          </cell>
          <cell r="H1287">
            <v>30982</v>
          </cell>
          <cell r="I1287">
            <v>0</v>
          </cell>
        </row>
        <row r="1288">
          <cell r="A1288" t="str">
            <v>3210|422003</v>
          </cell>
          <cell r="B1288" t="str">
            <v>3210</v>
          </cell>
          <cell r="C1288">
            <v>422003</v>
          </cell>
          <cell r="D1288">
            <v>41426</v>
          </cell>
          <cell r="E1288">
            <v>457380</v>
          </cell>
          <cell r="F1288">
            <v>228690</v>
          </cell>
          <cell r="G1288">
            <v>428400</v>
          </cell>
          <cell r="H1288">
            <v>38115</v>
          </cell>
          <cell r="I1288">
            <v>0</v>
          </cell>
        </row>
        <row r="1289">
          <cell r="A1289" t="str">
            <v>3210|431000</v>
          </cell>
          <cell r="B1289" t="str">
            <v>3210</v>
          </cell>
          <cell r="C1289">
            <v>431000</v>
          </cell>
          <cell r="D1289">
            <v>41426</v>
          </cell>
          <cell r="E1289">
            <v>25000000</v>
          </cell>
          <cell r="F1289">
            <v>12500000</v>
          </cell>
          <cell r="G1289">
            <v>9046896</v>
          </cell>
          <cell r="H1289">
            <v>2083333</v>
          </cell>
          <cell r="I1289">
            <v>0</v>
          </cell>
        </row>
        <row r="1290">
          <cell r="A1290" t="str">
            <v>3210|431001</v>
          </cell>
          <cell r="B1290" t="str">
            <v>3210</v>
          </cell>
          <cell r="C1290">
            <v>431001</v>
          </cell>
          <cell r="D1290">
            <v>41426</v>
          </cell>
          <cell r="E1290">
            <v>30000000</v>
          </cell>
          <cell r="F1290">
            <v>15000000</v>
          </cell>
          <cell r="G1290">
            <v>49442183</v>
          </cell>
          <cell r="H1290">
            <v>2500000</v>
          </cell>
          <cell r="I1290">
            <v>8743842</v>
          </cell>
        </row>
        <row r="1291">
          <cell r="A1291" t="str">
            <v>3210|431002</v>
          </cell>
          <cell r="B1291" t="str">
            <v>3210</v>
          </cell>
          <cell r="C1291">
            <v>431002</v>
          </cell>
          <cell r="D1291">
            <v>41426</v>
          </cell>
          <cell r="E1291">
            <v>15303924</v>
          </cell>
          <cell r="F1291">
            <v>7651962</v>
          </cell>
          <cell r="G1291">
            <v>7768142</v>
          </cell>
          <cell r="H1291">
            <v>1275327</v>
          </cell>
          <cell r="I1291">
            <v>0</v>
          </cell>
        </row>
        <row r="1292">
          <cell r="A1292" t="str">
            <v>3210|433002</v>
          </cell>
          <cell r="B1292" t="str">
            <v>3210</v>
          </cell>
          <cell r="C1292">
            <v>433002</v>
          </cell>
          <cell r="D1292">
            <v>41426</v>
          </cell>
          <cell r="E1292">
            <v>3650330</v>
          </cell>
          <cell r="F1292">
            <v>1825165</v>
          </cell>
          <cell r="G1292">
            <v>0</v>
          </cell>
          <cell r="H1292">
            <v>304194</v>
          </cell>
          <cell r="I1292">
            <v>0</v>
          </cell>
        </row>
        <row r="1293">
          <cell r="A1293" t="str">
            <v>3210|434010</v>
          </cell>
          <cell r="B1293" t="str">
            <v>3210</v>
          </cell>
          <cell r="C1293">
            <v>434010</v>
          </cell>
          <cell r="D1293">
            <v>41426</v>
          </cell>
          <cell r="E1293">
            <v>0</v>
          </cell>
          <cell r="F1293">
            <v>0</v>
          </cell>
          <cell r="G1293">
            <v>1448623</v>
          </cell>
          <cell r="H1293">
            <v>0</v>
          </cell>
          <cell r="I1293">
            <v>0</v>
          </cell>
        </row>
        <row r="1294">
          <cell r="A1294" t="str">
            <v>3210|434011</v>
          </cell>
          <cell r="B1294" t="str">
            <v>3210</v>
          </cell>
          <cell r="C1294">
            <v>434011</v>
          </cell>
          <cell r="D1294">
            <v>41426</v>
          </cell>
          <cell r="E1294">
            <v>0</v>
          </cell>
          <cell r="F1294">
            <v>0</v>
          </cell>
          <cell r="G1294">
            <v>23225514</v>
          </cell>
          <cell r="H1294">
            <v>0</v>
          </cell>
          <cell r="I1294">
            <v>3695798</v>
          </cell>
        </row>
        <row r="1295">
          <cell r="A1295" t="str">
            <v>3210|434013</v>
          </cell>
          <cell r="B1295" t="str">
            <v>3210</v>
          </cell>
          <cell r="C1295">
            <v>434013</v>
          </cell>
          <cell r="D1295">
            <v>41426</v>
          </cell>
          <cell r="E1295">
            <v>28017619</v>
          </cell>
          <cell r="F1295">
            <v>14008810</v>
          </cell>
          <cell r="G1295">
            <v>5589203</v>
          </cell>
          <cell r="H1295">
            <v>2334802</v>
          </cell>
          <cell r="I1295">
            <v>1200976</v>
          </cell>
        </row>
        <row r="1296">
          <cell r="A1296" t="str">
            <v>3210|435000</v>
          </cell>
          <cell r="B1296" t="str">
            <v>3210</v>
          </cell>
          <cell r="C1296">
            <v>435000</v>
          </cell>
          <cell r="D1296">
            <v>41426</v>
          </cell>
          <cell r="E1296">
            <v>28010599</v>
          </cell>
          <cell r="F1296">
            <v>14005300</v>
          </cell>
          <cell r="G1296">
            <v>52054004</v>
          </cell>
          <cell r="H1296">
            <v>2334217</v>
          </cell>
          <cell r="I1296">
            <v>0</v>
          </cell>
        </row>
        <row r="1297">
          <cell r="A1297" t="str">
            <v>3210|435001</v>
          </cell>
          <cell r="B1297" t="str">
            <v>3210</v>
          </cell>
          <cell r="C1297">
            <v>435001</v>
          </cell>
          <cell r="D1297">
            <v>41426</v>
          </cell>
          <cell r="E1297">
            <v>35599135</v>
          </cell>
          <cell r="F1297">
            <v>17799568</v>
          </cell>
          <cell r="G1297">
            <v>35842085</v>
          </cell>
          <cell r="H1297">
            <v>2966595</v>
          </cell>
          <cell r="I1297">
            <v>0</v>
          </cell>
        </row>
        <row r="1298">
          <cell r="A1298" t="str">
            <v>3210|435002</v>
          </cell>
          <cell r="B1298" t="str">
            <v>3210</v>
          </cell>
          <cell r="C1298">
            <v>435002</v>
          </cell>
          <cell r="D1298">
            <v>41426</v>
          </cell>
          <cell r="E1298">
            <v>54505900</v>
          </cell>
          <cell r="F1298">
            <v>27252950</v>
          </cell>
          <cell r="G1298">
            <v>0</v>
          </cell>
          <cell r="H1298">
            <v>4542158</v>
          </cell>
          <cell r="I1298">
            <v>0</v>
          </cell>
        </row>
        <row r="1299">
          <cell r="A1299" t="str">
            <v>3210|435003</v>
          </cell>
          <cell r="B1299" t="str">
            <v>3210</v>
          </cell>
          <cell r="C1299">
            <v>435003</v>
          </cell>
          <cell r="D1299">
            <v>41426</v>
          </cell>
          <cell r="E1299">
            <v>31940085</v>
          </cell>
          <cell r="F1299">
            <v>15970043</v>
          </cell>
          <cell r="G1299">
            <v>54201000</v>
          </cell>
          <cell r="H1299">
            <v>2661674</v>
          </cell>
          <cell r="I1299">
            <v>0</v>
          </cell>
        </row>
        <row r="1300">
          <cell r="A1300" t="str">
            <v>3210|439000</v>
          </cell>
          <cell r="B1300" t="str">
            <v>3210</v>
          </cell>
          <cell r="C1300">
            <v>439000</v>
          </cell>
          <cell r="D1300">
            <v>41426</v>
          </cell>
          <cell r="E1300">
            <v>10293368</v>
          </cell>
          <cell r="F1300">
            <v>5146684</v>
          </cell>
          <cell r="G1300">
            <v>2687066</v>
          </cell>
          <cell r="H1300">
            <v>857781</v>
          </cell>
          <cell r="I1300">
            <v>0</v>
          </cell>
        </row>
        <row r="1301">
          <cell r="A1301" t="str">
            <v>3210|439001</v>
          </cell>
          <cell r="B1301" t="str">
            <v>3210</v>
          </cell>
          <cell r="C1301">
            <v>439001</v>
          </cell>
          <cell r="D1301">
            <v>41426</v>
          </cell>
          <cell r="E1301">
            <v>101491934</v>
          </cell>
          <cell r="F1301">
            <v>50745967</v>
          </cell>
          <cell r="G1301">
            <v>49661651</v>
          </cell>
          <cell r="H1301">
            <v>8457661</v>
          </cell>
          <cell r="I1301">
            <v>8240798</v>
          </cell>
        </row>
        <row r="1302">
          <cell r="A1302" t="str">
            <v>3210|439003</v>
          </cell>
          <cell r="B1302" t="str">
            <v>3210</v>
          </cell>
          <cell r="C1302">
            <v>439003</v>
          </cell>
          <cell r="D1302">
            <v>41426</v>
          </cell>
          <cell r="E1302">
            <v>39449879</v>
          </cell>
          <cell r="F1302">
            <v>19724940</v>
          </cell>
          <cell r="G1302">
            <v>29941300</v>
          </cell>
          <cell r="H1302">
            <v>3287490</v>
          </cell>
          <cell r="I1302">
            <v>6445211</v>
          </cell>
        </row>
        <row r="1303">
          <cell r="A1303" t="str">
            <v>3210|439008</v>
          </cell>
          <cell r="B1303" t="str">
            <v>3210</v>
          </cell>
          <cell r="C1303">
            <v>439008</v>
          </cell>
          <cell r="D1303">
            <v>41426</v>
          </cell>
          <cell r="E1303">
            <v>65688250</v>
          </cell>
          <cell r="F1303">
            <v>32844125</v>
          </cell>
          <cell r="G1303">
            <v>0</v>
          </cell>
          <cell r="H1303">
            <v>5474021</v>
          </cell>
          <cell r="I1303">
            <v>0</v>
          </cell>
        </row>
        <row r="1304">
          <cell r="A1304" t="str">
            <v>3210|440000</v>
          </cell>
          <cell r="B1304" t="str">
            <v>3210</v>
          </cell>
          <cell r="C1304">
            <v>440000</v>
          </cell>
          <cell r="D1304">
            <v>41426</v>
          </cell>
          <cell r="E1304">
            <v>21438475</v>
          </cell>
          <cell r="F1304">
            <v>10719238</v>
          </cell>
          <cell r="G1304">
            <v>1365308</v>
          </cell>
          <cell r="H1304">
            <v>1786540</v>
          </cell>
          <cell r="I1304">
            <v>0</v>
          </cell>
        </row>
        <row r="1305">
          <cell r="A1305" t="str">
            <v>3210|440001</v>
          </cell>
          <cell r="B1305" t="str">
            <v>3210</v>
          </cell>
          <cell r="C1305">
            <v>440001</v>
          </cell>
          <cell r="D1305">
            <v>41426</v>
          </cell>
          <cell r="E1305">
            <v>35599135</v>
          </cell>
          <cell r="F1305">
            <v>17799568</v>
          </cell>
          <cell r="G1305">
            <v>24533272</v>
          </cell>
          <cell r="H1305">
            <v>2966595</v>
          </cell>
          <cell r="I1305">
            <v>3913912</v>
          </cell>
        </row>
        <row r="1306">
          <cell r="A1306" t="str">
            <v>3210|440002</v>
          </cell>
          <cell r="B1306" t="str">
            <v>3210</v>
          </cell>
          <cell r="C1306">
            <v>440002</v>
          </cell>
          <cell r="D1306">
            <v>41426</v>
          </cell>
          <cell r="E1306">
            <v>26588244</v>
          </cell>
          <cell r="F1306">
            <v>13294122</v>
          </cell>
          <cell r="G1306">
            <v>0</v>
          </cell>
          <cell r="H1306">
            <v>2215687</v>
          </cell>
          <cell r="I1306">
            <v>0</v>
          </cell>
        </row>
        <row r="1307">
          <cell r="A1307" t="str">
            <v>3210|440003</v>
          </cell>
          <cell r="B1307" t="str">
            <v>3210</v>
          </cell>
          <cell r="C1307">
            <v>440003</v>
          </cell>
          <cell r="D1307">
            <v>41426</v>
          </cell>
          <cell r="E1307">
            <v>21293390</v>
          </cell>
          <cell r="F1307">
            <v>10646695</v>
          </cell>
          <cell r="G1307">
            <v>15615372</v>
          </cell>
          <cell r="H1307">
            <v>1774449</v>
          </cell>
          <cell r="I1307">
            <v>3945243</v>
          </cell>
        </row>
        <row r="1308">
          <cell r="A1308" t="str">
            <v>3210|446000</v>
          </cell>
          <cell r="B1308" t="str">
            <v>3210</v>
          </cell>
          <cell r="C1308">
            <v>446000</v>
          </cell>
          <cell r="D1308">
            <v>41426</v>
          </cell>
          <cell r="E1308">
            <v>0</v>
          </cell>
          <cell r="F1308">
            <v>0</v>
          </cell>
          <cell r="G1308">
            <v>1200000</v>
          </cell>
          <cell r="H1308">
            <v>0</v>
          </cell>
          <cell r="I1308">
            <v>0</v>
          </cell>
        </row>
        <row r="1309">
          <cell r="A1309" t="str">
            <v>3210|446001</v>
          </cell>
          <cell r="B1309" t="str">
            <v>3210</v>
          </cell>
          <cell r="C1309">
            <v>446001</v>
          </cell>
          <cell r="D1309">
            <v>41426</v>
          </cell>
          <cell r="E1309">
            <v>26229568</v>
          </cell>
          <cell r="F1309">
            <v>13114784</v>
          </cell>
          <cell r="G1309">
            <v>8900000</v>
          </cell>
          <cell r="H1309">
            <v>2185797</v>
          </cell>
          <cell r="I1309">
            <v>1450000</v>
          </cell>
        </row>
        <row r="1310">
          <cell r="A1310" t="str">
            <v>3210|446002</v>
          </cell>
          <cell r="B1310" t="str">
            <v>3210</v>
          </cell>
          <cell r="C1310">
            <v>446002</v>
          </cell>
          <cell r="D1310">
            <v>41426</v>
          </cell>
          <cell r="E1310">
            <v>13294122</v>
          </cell>
          <cell r="F1310">
            <v>6647061</v>
          </cell>
          <cell r="G1310">
            <v>0</v>
          </cell>
          <cell r="H1310">
            <v>1107843</v>
          </cell>
          <cell r="I1310">
            <v>0</v>
          </cell>
        </row>
        <row r="1311">
          <cell r="A1311" t="str">
            <v>3210|447000</v>
          </cell>
          <cell r="B1311" t="str">
            <v>3210</v>
          </cell>
          <cell r="C1311">
            <v>447000</v>
          </cell>
          <cell r="D1311">
            <v>41426</v>
          </cell>
          <cell r="E1311">
            <v>4039009</v>
          </cell>
          <cell r="F1311">
            <v>2019505</v>
          </cell>
          <cell r="G1311">
            <v>1059220</v>
          </cell>
          <cell r="H1311">
            <v>336585</v>
          </cell>
          <cell r="I1311">
            <v>0</v>
          </cell>
        </row>
        <row r="1312">
          <cell r="A1312" t="str">
            <v>3210|447001</v>
          </cell>
          <cell r="B1312" t="str">
            <v>3210</v>
          </cell>
          <cell r="C1312">
            <v>447001</v>
          </cell>
          <cell r="D1312">
            <v>41426</v>
          </cell>
          <cell r="E1312">
            <v>6706877</v>
          </cell>
          <cell r="F1312">
            <v>3353439</v>
          </cell>
          <cell r="G1312">
            <v>2730282</v>
          </cell>
          <cell r="H1312">
            <v>558907</v>
          </cell>
          <cell r="I1312">
            <v>445873</v>
          </cell>
        </row>
        <row r="1313">
          <cell r="A1313" t="str">
            <v>3210|447002</v>
          </cell>
          <cell r="B1313" t="str">
            <v>3210</v>
          </cell>
          <cell r="C1313">
            <v>447002</v>
          </cell>
          <cell r="D1313">
            <v>41426</v>
          </cell>
          <cell r="E1313">
            <v>5009225</v>
          </cell>
          <cell r="F1313">
            <v>2504613</v>
          </cell>
          <cell r="G1313">
            <v>0</v>
          </cell>
          <cell r="H1313">
            <v>417436</v>
          </cell>
          <cell r="I1313">
            <v>0</v>
          </cell>
        </row>
        <row r="1314">
          <cell r="A1314" t="str">
            <v>3210|447003</v>
          </cell>
          <cell r="B1314" t="str">
            <v>3210</v>
          </cell>
          <cell r="C1314">
            <v>447003</v>
          </cell>
          <cell r="D1314">
            <v>41426</v>
          </cell>
          <cell r="E1314">
            <v>4012241</v>
          </cell>
          <cell r="F1314">
            <v>2006121</v>
          </cell>
          <cell r="G1314">
            <v>1929216</v>
          </cell>
          <cell r="H1314">
            <v>334354</v>
          </cell>
          <cell r="I1314">
            <v>397006</v>
          </cell>
        </row>
        <row r="1315">
          <cell r="A1315" t="str">
            <v>3210|447010</v>
          </cell>
          <cell r="B1315" t="str">
            <v>3210</v>
          </cell>
          <cell r="C1315">
            <v>447010</v>
          </cell>
          <cell r="D1315">
            <v>41426</v>
          </cell>
          <cell r="E1315">
            <v>9518683</v>
          </cell>
          <cell r="F1315">
            <v>4759342</v>
          </cell>
          <cell r="G1315">
            <v>2496244</v>
          </cell>
          <cell r="H1315">
            <v>793224</v>
          </cell>
          <cell r="I1315">
            <v>0</v>
          </cell>
        </row>
        <row r="1316">
          <cell r="A1316" t="str">
            <v>3210|447011</v>
          </cell>
          <cell r="B1316" t="str">
            <v>3210</v>
          </cell>
          <cell r="C1316">
            <v>447011</v>
          </cell>
          <cell r="D1316">
            <v>41426</v>
          </cell>
          <cell r="E1316">
            <v>15806016</v>
          </cell>
          <cell r="F1316">
            <v>7903008</v>
          </cell>
          <cell r="G1316">
            <v>7654791</v>
          </cell>
          <cell r="H1316">
            <v>1317168</v>
          </cell>
          <cell r="I1316">
            <v>1254178</v>
          </cell>
        </row>
        <row r="1317">
          <cell r="A1317" t="str">
            <v>3210|447012</v>
          </cell>
          <cell r="B1317" t="str">
            <v>3210</v>
          </cell>
          <cell r="C1317">
            <v>447012</v>
          </cell>
          <cell r="D1317">
            <v>41426</v>
          </cell>
          <cell r="E1317">
            <v>11805180</v>
          </cell>
          <cell r="F1317">
            <v>5902590</v>
          </cell>
          <cell r="G1317">
            <v>0</v>
          </cell>
          <cell r="H1317">
            <v>983765</v>
          </cell>
          <cell r="I1317">
            <v>0</v>
          </cell>
        </row>
        <row r="1318">
          <cell r="A1318" t="str">
            <v>3210|447013</v>
          </cell>
          <cell r="B1318" t="str">
            <v>3210</v>
          </cell>
          <cell r="C1318">
            <v>447013</v>
          </cell>
          <cell r="D1318">
            <v>41426</v>
          </cell>
          <cell r="E1318">
            <v>9454265</v>
          </cell>
          <cell r="F1318">
            <v>4727133</v>
          </cell>
          <cell r="G1318">
            <v>4546560</v>
          </cell>
          <cell r="H1318">
            <v>787856</v>
          </cell>
          <cell r="I1318">
            <v>935619</v>
          </cell>
        </row>
        <row r="1319">
          <cell r="A1319" t="str">
            <v>3210|447020</v>
          </cell>
          <cell r="B1319" t="str">
            <v>3210</v>
          </cell>
          <cell r="C1319">
            <v>447020</v>
          </cell>
          <cell r="D1319">
            <v>41426</v>
          </cell>
          <cell r="E1319">
            <v>403901</v>
          </cell>
          <cell r="F1319">
            <v>201951</v>
          </cell>
          <cell r="G1319">
            <v>140200</v>
          </cell>
          <cell r="H1319">
            <v>33659</v>
          </cell>
          <cell r="I1319">
            <v>0</v>
          </cell>
        </row>
        <row r="1320">
          <cell r="A1320" t="str">
            <v>3210|447021</v>
          </cell>
          <cell r="B1320" t="str">
            <v>3210</v>
          </cell>
          <cell r="C1320">
            <v>447021</v>
          </cell>
          <cell r="D1320">
            <v>41426</v>
          </cell>
          <cell r="E1320">
            <v>670688</v>
          </cell>
          <cell r="F1320">
            <v>335344</v>
          </cell>
          <cell r="G1320">
            <v>220879</v>
          </cell>
          <cell r="H1320">
            <v>55891</v>
          </cell>
          <cell r="I1320">
            <v>42950</v>
          </cell>
        </row>
        <row r="1321">
          <cell r="A1321" t="str">
            <v>3210|447022</v>
          </cell>
          <cell r="B1321" t="str">
            <v>3210</v>
          </cell>
          <cell r="C1321">
            <v>447022</v>
          </cell>
          <cell r="D1321">
            <v>41426</v>
          </cell>
          <cell r="E1321">
            <v>500923</v>
          </cell>
          <cell r="F1321">
            <v>250462</v>
          </cell>
          <cell r="G1321">
            <v>0</v>
          </cell>
          <cell r="H1321">
            <v>41744</v>
          </cell>
          <cell r="I1321">
            <v>0</v>
          </cell>
        </row>
        <row r="1322">
          <cell r="A1322" t="str">
            <v>3210|447023</v>
          </cell>
          <cell r="B1322" t="str">
            <v>3210</v>
          </cell>
          <cell r="C1322">
            <v>447023</v>
          </cell>
          <cell r="D1322">
            <v>41426</v>
          </cell>
          <cell r="E1322">
            <v>332040</v>
          </cell>
          <cell r="F1322">
            <v>166020</v>
          </cell>
          <cell r="G1322">
            <v>340375</v>
          </cell>
          <cell r="H1322">
            <v>27670</v>
          </cell>
          <cell r="I1322">
            <v>70050</v>
          </cell>
        </row>
        <row r="1323">
          <cell r="A1323" t="str">
            <v>3210|448000</v>
          </cell>
          <cell r="B1323" t="str">
            <v>3210</v>
          </cell>
          <cell r="C1323">
            <v>448000</v>
          </cell>
          <cell r="D1323">
            <v>41426</v>
          </cell>
          <cell r="E1323">
            <v>25374460</v>
          </cell>
          <cell r="F1323">
            <v>12687230</v>
          </cell>
          <cell r="G1323">
            <v>450000</v>
          </cell>
          <cell r="H1323">
            <v>2114538</v>
          </cell>
          <cell r="I1323">
            <v>0</v>
          </cell>
        </row>
        <row r="1324">
          <cell r="A1324" t="str">
            <v>3210|448001</v>
          </cell>
          <cell r="B1324" t="str">
            <v>3210</v>
          </cell>
          <cell r="C1324">
            <v>448001</v>
          </cell>
          <cell r="D1324">
            <v>41426</v>
          </cell>
          <cell r="E1324">
            <v>37789387</v>
          </cell>
          <cell r="F1324">
            <v>18894694</v>
          </cell>
          <cell r="G1324">
            <v>16078110</v>
          </cell>
          <cell r="H1324">
            <v>3149116</v>
          </cell>
          <cell r="I1324">
            <v>2588600</v>
          </cell>
        </row>
        <row r="1325">
          <cell r="A1325" t="str">
            <v>3210|448002</v>
          </cell>
          <cell r="B1325" t="str">
            <v>3210</v>
          </cell>
          <cell r="C1325">
            <v>448002</v>
          </cell>
          <cell r="D1325">
            <v>41426</v>
          </cell>
          <cell r="E1325">
            <v>23871163</v>
          </cell>
          <cell r="F1325">
            <v>11935582</v>
          </cell>
          <cell r="G1325">
            <v>0</v>
          </cell>
          <cell r="H1325">
            <v>1989264</v>
          </cell>
          <cell r="I1325">
            <v>0</v>
          </cell>
        </row>
        <row r="1326">
          <cell r="A1326" t="str">
            <v>3210|448003</v>
          </cell>
          <cell r="B1326" t="str">
            <v>3210</v>
          </cell>
          <cell r="C1326">
            <v>448003</v>
          </cell>
          <cell r="D1326">
            <v>41426</v>
          </cell>
          <cell r="E1326">
            <v>14470431</v>
          </cell>
          <cell r="F1326">
            <v>7235216</v>
          </cell>
          <cell r="G1326">
            <v>3653705</v>
          </cell>
          <cell r="H1326">
            <v>1205870</v>
          </cell>
          <cell r="I1326">
            <v>150000</v>
          </cell>
        </row>
        <row r="1327">
          <cell r="A1327" t="str">
            <v>3210|449020</v>
          </cell>
          <cell r="B1327" t="str">
            <v>3210</v>
          </cell>
          <cell r="C1327">
            <v>449020</v>
          </cell>
          <cell r="D1327">
            <v>41426</v>
          </cell>
          <cell r="E1327">
            <v>19800000</v>
          </cell>
          <cell r="F1327">
            <v>9900000</v>
          </cell>
          <cell r="G1327">
            <v>1377000</v>
          </cell>
          <cell r="H1327">
            <v>1650000</v>
          </cell>
          <cell r="I1327">
            <v>0</v>
          </cell>
        </row>
        <row r="1328">
          <cell r="A1328" t="str">
            <v>3210|449022</v>
          </cell>
          <cell r="B1328" t="str">
            <v>3210</v>
          </cell>
          <cell r="C1328">
            <v>449022</v>
          </cell>
          <cell r="D1328">
            <v>41426</v>
          </cell>
          <cell r="E1328">
            <v>15840000</v>
          </cell>
          <cell r="F1328">
            <v>7920000</v>
          </cell>
          <cell r="G1328">
            <v>0</v>
          </cell>
          <cell r="H1328">
            <v>1320000</v>
          </cell>
          <cell r="I1328">
            <v>0</v>
          </cell>
        </row>
        <row r="1329">
          <cell r="A1329" t="str">
            <v>3210|449023</v>
          </cell>
          <cell r="B1329" t="str">
            <v>3210</v>
          </cell>
          <cell r="C1329">
            <v>449023</v>
          </cell>
          <cell r="D1329">
            <v>41426</v>
          </cell>
          <cell r="E1329">
            <v>29436000</v>
          </cell>
          <cell r="F1329">
            <v>14718000</v>
          </cell>
          <cell r="G1329">
            <v>20203000</v>
          </cell>
          <cell r="H1329">
            <v>2453000</v>
          </cell>
          <cell r="I1329">
            <v>3540000</v>
          </cell>
        </row>
        <row r="1330">
          <cell r="A1330" t="str">
            <v>3210|449025</v>
          </cell>
          <cell r="B1330" t="str">
            <v>3210</v>
          </cell>
          <cell r="C1330">
            <v>449025</v>
          </cell>
          <cell r="D1330">
            <v>41426</v>
          </cell>
          <cell r="E1330">
            <v>35640000</v>
          </cell>
          <cell r="F1330">
            <v>17820000</v>
          </cell>
          <cell r="G1330">
            <v>22495000</v>
          </cell>
          <cell r="H1330">
            <v>2970000</v>
          </cell>
          <cell r="I1330">
            <v>3208000</v>
          </cell>
        </row>
        <row r="1331">
          <cell r="A1331" t="str">
            <v>3210|449040</v>
          </cell>
          <cell r="B1331" t="str">
            <v>3210</v>
          </cell>
          <cell r="C1331">
            <v>449040</v>
          </cell>
          <cell r="D1331">
            <v>41426</v>
          </cell>
          <cell r="E1331">
            <v>3600000</v>
          </cell>
          <cell r="F1331">
            <v>1800000</v>
          </cell>
          <cell r="G1331">
            <v>2400000</v>
          </cell>
          <cell r="H1331">
            <v>300000</v>
          </cell>
          <cell r="I1331">
            <v>2400000</v>
          </cell>
        </row>
        <row r="1332">
          <cell r="A1332" t="str">
            <v>3210|449050</v>
          </cell>
          <cell r="B1332" t="str">
            <v>3210</v>
          </cell>
          <cell r="C1332">
            <v>449050</v>
          </cell>
          <cell r="D1332">
            <v>41426</v>
          </cell>
          <cell r="E1332">
            <v>13453752</v>
          </cell>
          <cell r="F1332">
            <v>6726876</v>
          </cell>
          <cell r="G1332">
            <v>14800002</v>
          </cell>
          <cell r="H1332">
            <v>1121146</v>
          </cell>
          <cell r="I1332">
            <v>2466667</v>
          </cell>
        </row>
        <row r="1333">
          <cell r="A1333" t="str">
            <v>3210|449060</v>
          </cell>
          <cell r="B1333" t="str">
            <v>3210</v>
          </cell>
          <cell r="C1333">
            <v>449060</v>
          </cell>
          <cell r="D1333">
            <v>41426</v>
          </cell>
          <cell r="E1333">
            <v>2000000</v>
          </cell>
          <cell r="F1333">
            <v>1000000</v>
          </cell>
          <cell r="G1333">
            <v>1583158</v>
          </cell>
          <cell r="H1333">
            <v>166667</v>
          </cell>
          <cell r="I1333">
            <v>0</v>
          </cell>
        </row>
        <row r="1334">
          <cell r="A1334" t="str">
            <v>3210|449061</v>
          </cell>
          <cell r="B1334" t="str">
            <v>3210</v>
          </cell>
          <cell r="C1334">
            <v>449061</v>
          </cell>
          <cell r="D1334">
            <v>41426</v>
          </cell>
          <cell r="E1334">
            <v>19461300</v>
          </cell>
          <cell r="F1334">
            <v>9730650</v>
          </cell>
          <cell r="G1334">
            <v>7200700</v>
          </cell>
          <cell r="H1334">
            <v>1621775</v>
          </cell>
          <cell r="I1334">
            <v>2637900</v>
          </cell>
        </row>
        <row r="1335">
          <cell r="A1335" t="str">
            <v>3210|451000</v>
          </cell>
          <cell r="B1335" t="str">
            <v>3210</v>
          </cell>
          <cell r="C1335">
            <v>451000</v>
          </cell>
          <cell r="D1335">
            <v>41426</v>
          </cell>
          <cell r="E1335">
            <v>18052900</v>
          </cell>
          <cell r="F1335">
            <v>9026450</v>
          </cell>
          <cell r="G1335">
            <v>9537526</v>
          </cell>
          <cell r="H1335">
            <v>1504408</v>
          </cell>
          <cell r="I1335">
            <v>0</v>
          </cell>
        </row>
        <row r="1336">
          <cell r="A1336" t="str">
            <v>3210|452000</v>
          </cell>
          <cell r="B1336" t="str">
            <v>3210</v>
          </cell>
          <cell r="C1336">
            <v>452000</v>
          </cell>
          <cell r="D1336">
            <v>41426</v>
          </cell>
          <cell r="E1336">
            <v>16000000</v>
          </cell>
          <cell r="F1336">
            <v>8000000</v>
          </cell>
          <cell r="G1336">
            <v>5127975</v>
          </cell>
          <cell r="H1336">
            <v>1333333</v>
          </cell>
          <cell r="I1336">
            <v>-540000</v>
          </cell>
        </row>
        <row r="1337">
          <cell r="A1337" t="str">
            <v>3210|452001</v>
          </cell>
          <cell r="B1337" t="str">
            <v>3210</v>
          </cell>
          <cell r="C1337">
            <v>452001</v>
          </cell>
          <cell r="D1337">
            <v>41426</v>
          </cell>
          <cell r="E1337">
            <v>2800000</v>
          </cell>
          <cell r="F1337">
            <v>1400000</v>
          </cell>
          <cell r="G1337">
            <v>650000</v>
          </cell>
          <cell r="H1337">
            <v>233333</v>
          </cell>
          <cell r="I1337">
            <v>0</v>
          </cell>
        </row>
        <row r="1338">
          <cell r="A1338" t="str">
            <v>3210|455000</v>
          </cell>
          <cell r="B1338" t="str">
            <v>3210</v>
          </cell>
          <cell r="C1338">
            <v>455000</v>
          </cell>
          <cell r="D1338">
            <v>41426</v>
          </cell>
          <cell r="E1338">
            <v>140000</v>
          </cell>
          <cell r="F1338">
            <v>70000</v>
          </cell>
          <cell r="G1338">
            <v>3282915</v>
          </cell>
          <cell r="H1338">
            <v>11667</v>
          </cell>
          <cell r="I1338">
            <v>335000</v>
          </cell>
        </row>
        <row r="1339">
          <cell r="A1339" t="str">
            <v>3210|455002</v>
          </cell>
          <cell r="B1339" t="str">
            <v>3210</v>
          </cell>
          <cell r="C1339">
            <v>455002</v>
          </cell>
          <cell r="D1339">
            <v>41426</v>
          </cell>
          <cell r="E1339">
            <v>0</v>
          </cell>
          <cell r="F1339">
            <v>0</v>
          </cell>
          <cell r="G1339">
            <v>1339687</v>
          </cell>
          <cell r="H1339">
            <v>0</v>
          </cell>
          <cell r="I1339">
            <v>0</v>
          </cell>
        </row>
        <row r="1340">
          <cell r="A1340" t="str">
            <v>3210|459000</v>
          </cell>
          <cell r="B1340" t="str">
            <v>3210</v>
          </cell>
          <cell r="C1340">
            <v>459000</v>
          </cell>
          <cell r="D1340">
            <v>41426</v>
          </cell>
          <cell r="E1340">
            <v>5062100</v>
          </cell>
          <cell r="F1340">
            <v>2531050</v>
          </cell>
          <cell r="G1340">
            <v>2230750</v>
          </cell>
          <cell r="H1340">
            <v>421842</v>
          </cell>
          <cell r="I1340">
            <v>0</v>
          </cell>
        </row>
        <row r="1341">
          <cell r="A1341" t="str">
            <v>3210|459002</v>
          </cell>
          <cell r="B1341" t="str">
            <v>3210</v>
          </cell>
          <cell r="C1341">
            <v>459002</v>
          </cell>
          <cell r="D1341">
            <v>41426</v>
          </cell>
          <cell r="E1341">
            <v>67675619</v>
          </cell>
          <cell r="F1341">
            <v>33837810</v>
          </cell>
          <cell r="G1341">
            <v>53003500</v>
          </cell>
          <cell r="H1341">
            <v>5639635</v>
          </cell>
          <cell r="I1341">
            <v>0</v>
          </cell>
        </row>
        <row r="1342">
          <cell r="A1342" t="str">
            <v>3210|470102</v>
          </cell>
          <cell r="B1342" t="str">
            <v>3210</v>
          </cell>
          <cell r="C1342">
            <v>470102</v>
          </cell>
          <cell r="D1342">
            <v>41426</v>
          </cell>
          <cell r="E1342">
            <v>8935699</v>
          </cell>
          <cell r="F1342">
            <v>4467850</v>
          </cell>
          <cell r="G1342">
            <v>3480000</v>
          </cell>
          <cell r="H1342">
            <v>744642</v>
          </cell>
          <cell r="I1342">
            <v>657501</v>
          </cell>
        </row>
        <row r="1343">
          <cell r="A1343" t="str">
            <v>3210|471000</v>
          </cell>
          <cell r="B1343" t="str">
            <v>3210</v>
          </cell>
          <cell r="C1343">
            <v>471000</v>
          </cell>
          <cell r="D1343">
            <v>41426</v>
          </cell>
          <cell r="E1343">
            <v>33272855</v>
          </cell>
          <cell r="F1343">
            <v>16636428</v>
          </cell>
          <cell r="G1343">
            <v>10413630</v>
          </cell>
          <cell r="H1343">
            <v>2772738</v>
          </cell>
          <cell r="I1343">
            <v>0</v>
          </cell>
        </row>
        <row r="1344">
          <cell r="A1344" t="str">
            <v>3210|473000</v>
          </cell>
          <cell r="B1344" t="str">
            <v>3210</v>
          </cell>
          <cell r="C1344">
            <v>473000</v>
          </cell>
          <cell r="D1344">
            <v>41426</v>
          </cell>
          <cell r="E1344">
            <v>30435</v>
          </cell>
          <cell r="F1344">
            <v>15218</v>
          </cell>
          <cell r="G1344">
            <v>0</v>
          </cell>
          <cell r="H1344">
            <v>2537</v>
          </cell>
          <cell r="I1344">
            <v>0</v>
          </cell>
        </row>
        <row r="1345">
          <cell r="A1345" t="str">
            <v>3210|473120</v>
          </cell>
          <cell r="B1345" t="str">
            <v>3210</v>
          </cell>
          <cell r="C1345">
            <v>473120</v>
          </cell>
          <cell r="D1345">
            <v>41426</v>
          </cell>
          <cell r="E1345">
            <v>4316893</v>
          </cell>
          <cell r="F1345">
            <v>2158447</v>
          </cell>
          <cell r="G1345">
            <v>3069190</v>
          </cell>
          <cell r="H1345">
            <v>359742</v>
          </cell>
          <cell r="I1345">
            <v>493372</v>
          </cell>
        </row>
        <row r="1346">
          <cell r="A1346" t="str">
            <v>3210|475000</v>
          </cell>
          <cell r="B1346" t="str">
            <v>3210</v>
          </cell>
          <cell r="C1346">
            <v>475000</v>
          </cell>
          <cell r="D1346">
            <v>41426</v>
          </cell>
          <cell r="E1346">
            <v>73224</v>
          </cell>
          <cell r="F1346">
            <v>36612</v>
          </cell>
          <cell r="G1346">
            <v>0</v>
          </cell>
          <cell r="H1346">
            <v>6102</v>
          </cell>
          <cell r="I1346">
            <v>0</v>
          </cell>
        </row>
        <row r="1347">
          <cell r="A1347" t="str">
            <v>3210|475003</v>
          </cell>
          <cell r="B1347" t="str">
            <v>3210</v>
          </cell>
          <cell r="C1347">
            <v>475003</v>
          </cell>
          <cell r="D1347">
            <v>41426</v>
          </cell>
          <cell r="E1347">
            <v>4000000</v>
          </cell>
          <cell r="F1347">
            <v>2000000</v>
          </cell>
          <cell r="G1347">
            <v>495000</v>
          </cell>
          <cell r="H1347">
            <v>333334</v>
          </cell>
          <cell r="I1347">
            <v>0</v>
          </cell>
        </row>
        <row r="1348">
          <cell r="A1348" t="str">
            <v>3210|475006</v>
          </cell>
          <cell r="B1348" t="str">
            <v>3210</v>
          </cell>
          <cell r="C1348">
            <v>475006</v>
          </cell>
          <cell r="D1348">
            <v>41426</v>
          </cell>
          <cell r="E1348">
            <v>0</v>
          </cell>
          <cell r="F1348">
            <v>0</v>
          </cell>
          <cell r="G1348">
            <v>1261877</v>
          </cell>
          <cell r="H1348">
            <v>0</v>
          </cell>
          <cell r="I1348">
            <v>210313</v>
          </cell>
        </row>
        <row r="1349">
          <cell r="A1349" t="str">
            <v>3210|476000</v>
          </cell>
          <cell r="B1349" t="str">
            <v>3210</v>
          </cell>
          <cell r="C1349">
            <v>476000</v>
          </cell>
          <cell r="D1349">
            <v>41426</v>
          </cell>
          <cell r="E1349">
            <v>11494635</v>
          </cell>
          <cell r="F1349">
            <v>5747318</v>
          </cell>
          <cell r="G1349">
            <v>9166936</v>
          </cell>
          <cell r="H1349">
            <v>957887</v>
          </cell>
          <cell r="I1349">
            <v>3271250</v>
          </cell>
        </row>
        <row r="1350">
          <cell r="A1350" t="str">
            <v>3210|476001</v>
          </cell>
          <cell r="B1350" t="str">
            <v>3210</v>
          </cell>
          <cell r="C1350">
            <v>476001</v>
          </cell>
          <cell r="D1350">
            <v>41426</v>
          </cell>
          <cell r="E1350">
            <v>0</v>
          </cell>
          <cell r="F1350">
            <v>0</v>
          </cell>
          <cell r="G1350">
            <v>7625000</v>
          </cell>
          <cell r="H1350">
            <v>0</v>
          </cell>
          <cell r="I1350">
            <v>0</v>
          </cell>
        </row>
        <row r="1351">
          <cell r="A1351" t="str">
            <v>3210|476220</v>
          </cell>
          <cell r="B1351" t="str">
            <v>3210</v>
          </cell>
          <cell r="C1351">
            <v>476220</v>
          </cell>
          <cell r="D1351">
            <v>41426</v>
          </cell>
          <cell r="E1351">
            <v>23092065</v>
          </cell>
          <cell r="F1351">
            <v>11546033</v>
          </cell>
          <cell r="G1351">
            <v>3059277</v>
          </cell>
          <cell r="H1351">
            <v>1924339</v>
          </cell>
          <cell r="I1351">
            <v>0</v>
          </cell>
        </row>
        <row r="1352">
          <cell r="A1352" t="str">
            <v>3210|476223</v>
          </cell>
          <cell r="B1352" t="str">
            <v>3210</v>
          </cell>
          <cell r="C1352">
            <v>476223</v>
          </cell>
          <cell r="D1352">
            <v>41426</v>
          </cell>
          <cell r="E1352">
            <v>22000000</v>
          </cell>
          <cell r="F1352">
            <v>11000000</v>
          </cell>
          <cell r="G1352">
            <v>52215320</v>
          </cell>
          <cell r="H1352">
            <v>1833333</v>
          </cell>
          <cell r="I1352">
            <v>10903064</v>
          </cell>
        </row>
        <row r="1353">
          <cell r="A1353" t="str">
            <v>3210|477800</v>
          </cell>
          <cell r="B1353" t="str">
            <v>3210</v>
          </cell>
          <cell r="C1353">
            <v>477800</v>
          </cell>
          <cell r="D1353">
            <v>41426</v>
          </cell>
          <cell r="E1353">
            <v>119000000</v>
          </cell>
          <cell r="F1353">
            <v>59500000</v>
          </cell>
          <cell r="G1353">
            <v>31717932</v>
          </cell>
          <cell r="H1353">
            <v>9916667</v>
          </cell>
          <cell r="I1353">
            <v>-33265297</v>
          </cell>
        </row>
        <row r="1354">
          <cell r="A1354" t="str">
            <v>3220|211100</v>
          </cell>
          <cell r="B1354" t="str">
            <v>3220</v>
          </cell>
          <cell r="C1354">
            <v>211100</v>
          </cell>
          <cell r="D1354">
            <v>41426</v>
          </cell>
          <cell r="E1354">
            <v>870612</v>
          </cell>
          <cell r="F1354">
            <v>435306</v>
          </cell>
          <cell r="G1354">
            <v>2175843</v>
          </cell>
          <cell r="H1354">
            <v>72551</v>
          </cell>
          <cell r="I1354">
            <v>362642</v>
          </cell>
        </row>
        <row r="1355">
          <cell r="A1355" t="str">
            <v>3220|420002</v>
          </cell>
          <cell r="B1355" t="str">
            <v>3220</v>
          </cell>
          <cell r="C1355">
            <v>420002</v>
          </cell>
          <cell r="D1355">
            <v>41426</v>
          </cell>
          <cell r="E1355">
            <v>79764732</v>
          </cell>
          <cell r="F1355">
            <v>39882366</v>
          </cell>
          <cell r="G1355">
            <v>70335000</v>
          </cell>
          <cell r="H1355">
            <v>6647061</v>
          </cell>
          <cell r="I1355">
            <v>11722500</v>
          </cell>
        </row>
        <row r="1356">
          <cell r="A1356" t="str">
            <v>3220|420003</v>
          </cell>
          <cell r="B1356" t="str">
            <v>3220</v>
          </cell>
          <cell r="C1356">
            <v>420003</v>
          </cell>
          <cell r="D1356">
            <v>41426</v>
          </cell>
          <cell r="E1356">
            <v>255520683</v>
          </cell>
          <cell r="F1356">
            <v>127760342</v>
          </cell>
          <cell r="G1356">
            <v>189174330</v>
          </cell>
          <cell r="H1356">
            <v>21293391</v>
          </cell>
          <cell r="I1356">
            <v>42530002</v>
          </cell>
        </row>
        <row r="1357">
          <cell r="A1357" t="str">
            <v>3220|433002</v>
          </cell>
          <cell r="B1357" t="str">
            <v>3220</v>
          </cell>
          <cell r="C1357">
            <v>433002</v>
          </cell>
          <cell r="D1357">
            <v>41426</v>
          </cell>
          <cell r="E1357">
            <v>6989405</v>
          </cell>
          <cell r="F1357">
            <v>3494703</v>
          </cell>
          <cell r="G1357">
            <v>3516750</v>
          </cell>
          <cell r="H1357">
            <v>582451</v>
          </cell>
          <cell r="I1357">
            <v>586125</v>
          </cell>
        </row>
        <row r="1358">
          <cell r="A1358" t="str">
            <v>3220|434012</v>
          </cell>
          <cell r="B1358" t="str">
            <v>3220</v>
          </cell>
          <cell r="C1358">
            <v>434012</v>
          </cell>
          <cell r="D1358">
            <v>41426</v>
          </cell>
          <cell r="E1358">
            <v>0</v>
          </cell>
          <cell r="F1358">
            <v>0</v>
          </cell>
          <cell r="G1358">
            <v>987200</v>
          </cell>
          <cell r="H1358">
            <v>0</v>
          </cell>
          <cell r="I1358">
            <v>166248</v>
          </cell>
        </row>
        <row r="1359">
          <cell r="A1359" t="str">
            <v>3220|434013</v>
          </cell>
          <cell r="B1359" t="str">
            <v>3220</v>
          </cell>
          <cell r="C1359">
            <v>434013</v>
          </cell>
          <cell r="D1359">
            <v>41426</v>
          </cell>
          <cell r="E1359">
            <v>0</v>
          </cell>
          <cell r="F1359">
            <v>0</v>
          </cell>
          <cell r="G1359">
            <v>5589203</v>
          </cell>
          <cell r="H1359">
            <v>0</v>
          </cell>
          <cell r="I1359">
            <v>1200976</v>
          </cell>
        </row>
        <row r="1360">
          <cell r="A1360" t="str">
            <v>3220|435002</v>
          </cell>
          <cell r="B1360" t="str">
            <v>3220</v>
          </cell>
          <cell r="C1360">
            <v>435002</v>
          </cell>
          <cell r="D1360">
            <v>41426</v>
          </cell>
          <cell r="E1360">
            <v>13626475</v>
          </cell>
          <cell r="F1360">
            <v>6813238</v>
          </cell>
          <cell r="G1360">
            <v>12283000</v>
          </cell>
          <cell r="H1360">
            <v>1135540</v>
          </cell>
          <cell r="I1360">
            <v>0</v>
          </cell>
        </row>
        <row r="1361">
          <cell r="A1361" t="str">
            <v>3220|435003</v>
          </cell>
          <cell r="B1361" t="str">
            <v>3220</v>
          </cell>
          <cell r="C1361">
            <v>435003</v>
          </cell>
          <cell r="D1361">
            <v>41426</v>
          </cell>
          <cell r="E1361">
            <v>31940085</v>
          </cell>
          <cell r="F1361">
            <v>15970043</v>
          </cell>
          <cell r="G1361">
            <v>50664500</v>
          </cell>
          <cell r="H1361">
            <v>2661674</v>
          </cell>
          <cell r="I1361">
            <v>0</v>
          </cell>
        </row>
        <row r="1362">
          <cell r="A1362" t="str">
            <v>3220|439003</v>
          </cell>
          <cell r="B1362" t="str">
            <v>3220</v>
          </cell>
          <cell r="C1362">
            <v>439003</v>
          </cell>
          <cell r="D1362">
            <v>41426</v>
          </cell>
          <cell r="E1362">
            <v>39449879</v>
          </cell>
          <cell r="F1362">
            <v>19724940</v>
          </cell>
          <cell r="G1362">
            <v>29941300</v>
          </cell>
          <cell r="H1362">
            <v>3287490</v>
          </cell>
          <cell r="I1362">
            <v>6445211</v>
          </cell>
        </row>
        <row r="1363">
          <cell r="A1363" t="str">
            <v>3220|439008</v>
          </cell>
          <cell r="B1363" t="str">
            <v>3220</v>
          </cell>
          <cell r="C1363">
            <v>439008</v>
          </cell>
          <cell r="D1363">
            <v>41426</v>
          </cell>
          <cell r="E1363">
            <v>16422063</v>
          </cell>
          <cell r="F1363">
            <v>8211032</v>
          </cell>
          <cell r="G1363">
            <v>9508951</v>
          </cell>
          <cell r="H1363">
            <v>1368506</v>
          </cell>
          <cell r="I1363">
            <v>1598254</v>
          </cell>
        </row>
        <row r="1364">
          <cell r="A1364" t="str">
            <v>3220|439202</v>
          </cell>
          <cell r="B1364" t="str">
            <v>3220</v>
          </cell>
          <cell r="C1364">
            <v>439202</v>
          </cell>
          <cell r="D1364">
            <v>41426</v>
          </cell>
          <cell r="E1364">
            <v>5760000</v>
          </cell>
          <cell r="F1364">
            <v>2880000</v>
          </cell>
          <cell r="G1364">
            <v>2950000</v>
          </cell>
          <cell r="H1364">
            <v>480000</v>
          </cell>
          <cell r="I1364">
            <v>475000</v>
          </cell>
        </row>
        <row r="1365">
          <cell r="A1365" t="str">
            <v>3220|439203</v>
          </cell>
          <cell r="B1365" t="str">
            <v>3220</v>
          </cell>
          <cell r="C1365">
            <v>439203</v>
          </cell>
          <cell r="D1365">
            <v>41426</v>
          </cell>
          <cell r="E1365">
            <v>5760000</v>
          </cell>
          <cell r="F1365">
            <v>2880000</v>
          </cell>
          <cell r="G1365">
            <v>4250000</v>
          </cell>
          <cell r="H1365">
            <v>480000</v>
          </cell>
          <cell r="I1365">
            <v>975000</v>
          </cell>
        </row>
        <row r="1366">
          <cell r="A1366" t="str">
            <v>3220|440002</v>
          </cell>
          <cell r="B1366" t="str">
            <v>3220</v>
          </cell>
          <cell r="C1366">
            <v>440002</v>
          </cell>
          <cell r="D1366">
            <v>41426</v>
          </cell>
          <cell r="E1366">
            <v>6647061</v>
          </cell>
          <cell r="F1366">
            <v>3323531</v>
          </cell>
          <cell r="G1366">
            <v>3531249</v>
          </cell>
          <cell r="H1366">
            <v>553922</v>
          </cell>
          <cell r="I1366">
            <v>397619</v>
          </cell>
        </row>
        <row r="1367">
          <cell r="A1367" t="str">
            <v>3220|440003</v>
          </cell>
          <cell r="B1367" t="str">
            <v>3220</v>
          </cell>
          <cell r="C1367">
            <v>440003</v>
          </cell>
          <cell r="D1367">
            <v>41426</v>
          </cell>
          <cell r="E1367">
            <v>21293390</v>
          </cell>
          <cell r="F1367">
            <v>10646695</v>
          </cell>
          <cell r="G1367">
            <v>18218273</v>
          </cell>
          <cell r="H1367">
            <v>1774449</v>
          </cell>
          <cell r="I1367">
            <v>5054731</v>
          </cell>
        </row>
        <row r="1368">
          <cell r="A1368" t="str">
            <v>3220|446002</v>
          </cell>
          <cell r="B1368" t="str">
            <v>3220</v>
          </cell>
          <cell r="C1368">
            <v>446002</v>
          </cell>
          <cell r="D1368">
            <v>41426</v>
          </cell>
          <cell r="E1368">
            <v>3323530</v>
          </cell>
          <cell r="F1368">
            <v>1661765</v>
          </cell>
          <cell r="G1368">
            <v>1200000</v>
          </cell>
          <cell r="H1368">
            <v>276961</v>
          </cell>
          <cell r="I1368">
            <v>200000</v>
          </cell>
        </row>
        <row r="1369">
          <cell r="A1369" t="str">
            <v>3220|447002</v>
          </cell>
          <cell r="B1369" t="str">
            <v>3220</v>
          </cell>
          <cell r="C1369">
            <v>447002</v>
          </cell>
          <cell r="D1369">
            <v>41426</v>
          </cell>
          <cell r="E1369">
            <v>1252306</v>
          </cell>
          <cell r="F1369">
            <v>626153</v>
          </cell>
          <cell r="G1369">
            <v>379812</v>
          </cell>
          <cell r="H1369">
            <v>104359</v>
          </cell>
          <cell r="I1369">
            <v>63302</v>
          </cell>
        </row>
        <row r="1370">
          <cell r="A1370" t="str">
            <v>3220|447003</v>
          </cell>
          <cell r="B1370" t="str">
            <v>3220</v>
          </cell>
          <cell r="C1370">
            <v>447003</v>
          </cell>
          <cell r="D1370">
            <v>41426</v>
          </cell>
          <cell r="E1370">
            <v>4012241</v>
          </cell>
          <cell r="F1370">
            <v>2006121</v>
          </cell>
          <cell r="G1370">
            <v>1266162</v>
          </cell>
          <cell r="H1370">
            <v>334354</v>
          </cell>
          <cell r="I1370">
            <v>289327</v>
          </cell>
        </row>
        <row r="1371">
          <cell r="A1371" t="str">
            <v>3220|447012</v>
          </cell>
          <cell r="B1371" t="str">
            <v>3220</v>
          </cell>
          <cell r="C1371">
            <v>447012</v>
          </cell>
          <cell r="D1371">
            <v>41426</v>
          </cell>
          <cell r="E1371">
            <v>2951295</v>
          </cell>
          <cell r="F1371">
            <v>1475648</v>
          </cell>
          <cell r="G1371">
            <v>2602398</v>
          </cell>
          <cell r="H1371">
            <v>245942</v>
          </cell>
          <cell r="I1371">
            <v>433733</v>
          </cell>
        </row>
        <row r="1372">
          <cell r="A1372" t="str">
            <v>3220|447013</v>
          </cell>
          <cell r="B1372" t="str">
            <v>3220</v>
          </cell>
          <cell r="C1372">
            <v>447013</v>
          </cell>
          <cell r="D1372">
            <v>41426</v>
          </cell>
          <cell r="E1372">
            <v>9454265</v>
          </cell>
          <cell r="F1372">
            <v>4727133</v>
          </cell>
          <cell r="G1372">
            <v>8675538</v>
          </cell>
          <cell r="H1372">
            <v>787856</v>
          </cell>
          <cell r="I1372">
            <v>1982423</v>
          </cell>
        </row>
        <row r="1373">
          <cell r="A1373" t="str">
            <v>3220|447022</v>
          </cell>
          <cell r="B1373" t="str">
            <v>3220</v>
          </cell>
          <cell r="C1373">
            <v>447022</v>
          </cell>
          <cell r="D1373">
            <v>41426</v>
          </cell>
          <cell r="E1373">
            <v>125231</v>
          </cell>
          <cell r="F1373">
            <v>62616</v>
          </cell>
          <cell r="G1373">
            <v>67012</v>
          </cell>
          <cell r="H1373">
            <v>10436</v>
          </cell>
          <cell r="I1373">
            <v>11175</v>
          </cell>
        </row>
        <row r="1374">
          <cell r="A1374" t="str">
            <v>3220|447023</v>
          </cell>
          <cell r="B1374" t="str">
            <v>3220</v>
          </cell>
          <cell r="C1374">
            <v>447023</v>
          </cell>
          <cell r="D1374">
            <v>41426</v>
          </cell>
          <cell r="E1374">
            <v>332040</v>
          </cell>
          <cell r="F1374">
            <v>166020</v>
          </cell>
          <cell r="G1374">
            <v>348291</v>
          </cell>
          <cell r="H1374">
            <v>27670</v>
          </cell>
          <cell r="I1374">
            <v>71775</v>
          </cell>
        </row>
        <row r="1375">
          <cell r="A1375" t="str">
            <v>3220|448002</v>
          </cell>
          <cell r="B1375" t="str">
            <v>3220</v>
          </cell>
          <cell r="C1375">
            <v>448002</v>
          </cell>
          <cell r="D1375">
            <v>41426</v>
          </cell>
          <cell r="E1375">
            <v>5967791</v>
          </cell>
          <cell r="F1375">
            <v>2983896</v>
          </cell>
          <cell r="G1375">
            <v>13916300</v>
          </cell>
          <cell r="H1375">
            <v>497316</v>
          </cell>
          <cell r="I1375">
            <v>2260500</v>
          </cell>
        </row>
        <row r="1376">
          <cell r="A1376" t="str">
            <v>3220|448003</v>
          </cell>
          <cell r="B1376" t="str">
            <v>3220</v>
          </cell>
          <cell r="C1376">
            <v>448003</v>
          </cell>
          <cell r="D1376">
            <v>41426</v>
          </cell>
          <cell r="E1376">
            <v>14470431</v>
          </cell>
          <cell r="F1376">
            <v>7235216</v>
          </cell>
          <cell r="G1376">
            <v>8578500</v>
          </cell>
          <cell r="H1376">
            <v>1205870</v>
          </cell>
          <cell r="I1376">
            <v>4304600</v>
          </cell>
        </row>
        <row r="1377">
          <cell r="A1377" t="str">
            <v>3220|449022</v>
          </cell>
          <cell r="B1377" t="str">
            <v>3220</v>
          </cell>
          <cell r="C1377">
            <v>449022</v>
          </cell>
          <cell r="D1377">
            <v>41426</v>
          </cell>
          <cell r="E1377">
            <v>3960000</v>
          </cell>
          <cell r="F1377">
            <v>1980000</v>
          </cell>
          <cell r="G1377">
            <v>0</v>
          </cell>
          <cell r="H1377">
            <v>330000</v>
          </cell>
          <cell r="I1377">
            <v>0</v>
          </cell>
        </row>
        <row r="1378">
          <cell r="A1378" t="str">
            <v>3220|449023</v>
          </cell>
          <cell r="B1378" t="str">
            <v>3220</v>
          </cell>
          <cell r="C1378">
            <v>449023</v>
          </cell>
          <cell r="D1378">
            <v>41426</v>
          </cell>
          <cell r="E1378">
            <v>29436000</v>
          </cell>
          <cell r="F1378">
            <v>14718000</v>
          </cell>
          <cell r="G1378">
            <v>49118182</v>
          </cell>
          <cell r="H1378">
            <v>2453000</v>
          </cell>
          <cell r="I1378">
            <v>9900000</v>
          </cell>
        </row>
        <row r="1379">
          <cell r="A1379" t="str">
            <v>3220|449061</v>
          </cell>
          <cell r="B1379" t="str">
            <v>3220</v>
          </cell>
          <cell r="C1379">
            <v>449061</v>
          </cell>
          <cell r="D1379">
            <v>41426</v>
          </cell>
          <cell r="E1379">
            <v>16804533</v>
          </cell>
          <cell r="F1379">
            <v>8402267</v>
          </cell>
          <cell r="G1379">
            <v>3587800</v>
          </cell>
          <cell r="H1379">
            <v>1400378</v>
          </cell>
          <cell r="I1379">
            <v>723000</v>
          </cell>
        </row>
        <row r="1380">
          <cell r="A1380" t="str">
            <v>3220|472000</v>
          </cell>
          <cell r="B1380" t="str">
            <v>3220</v>
          </cell>
          <cell r="C1380">
            <v>472000</v>
          </cell>
          <cell r="D1380">
            <v>41426</v>
          </cell>
          <cell r="E1380">
            <v>0</v>
          </cell>
          <cell r="F1380">
            <v>0</v>
          </cell>
          <cell r="G1380">
            <v>726839</v>
          </cell>
          <cell r="H1380">
            <v>0</v>
          </cell>
          <cell r="I1380">
            <v>0</v>
          </cell>
        </row>
        <row r="1381">
          <cell r="A1381" t="str">
            <v>3220|473120</v>
          </cell>
          <cell r="B1381" t="str">
            <v>3220</v>
          </cell>
          <cell r="C1381">
            <v>473120</v>
          </cell>
          <cell r="D1381">
            <v>41426</v>
          </cell>
          <cell r="E1381">
            <v>5666662</v>
          </cell>
          <cell r="F1381">
            <v>2833331</v>
          </cell>
          <cell r="G1381">
            <v>2238289</v>
          </cell>
          <cell r="H1381">
            <v>472222</v>
          </cell>
          <cell r="I1381">
            <v>520206</v>
          </cell>
        </row>
        <row r="1382">
          <cell r="A1382" t="str">
            <v>3220|474100</v>
          </cell>
          <cell r="B1382" t="str">
            <v>3220</v>
          </cell>
          <cell r="C1382">
            <v>474100</v>
          </cell>
          <cell r="D1382">
            <v>41426</v>
          </cell>
          <cell r="E1382">
            <v>16427532</v>
          </cell>
          <cell r="F1382">
            <v>8213766</v>
          </cell>
          <cell r="G1382">
            <v>11506196</v>
          </cell>
          <cell r="H1382">
            <v>1368961</v>
          </cell>
          <cell r="I1382">
            <v>5417817</v>
          </cell>
        </row>
        <row r="1383">
          <cell r="A1383" t="str">
            <v>3220|476001</v>
          </cell>
          <cell r="B1383" t="str">
            <v>3220</v>
          </cell>
          <cell r="C1383">
            <v>476001</v>
          </cell>
          <cell r="D1383">
            <v>41426</v>
          </cell>
          <cell r="E1383">
            <v>400000</v>
          </cell>
          <cell r="F1383">
            <v>200000</v>
          </cell>
          <cell r="G1383">
            <v>400000</v>
          </cell>
          <cell r="H1383">
            <v>33333</v>
          </cell>
          <cell r="I1383">
            <v>400000</v>
          </cell>
        </row>
        <row r="1384">
          <cell r="A1384" t="str">
            <v>3300|211100</v>
          </cell>
          <cell r="B1384" t="str">
            <v>3300</v>
          </cell>
          <cell r="C1384">
            <v>211100</v>
          </cell>
          <cell r="D1384">
            <v>41426</v>
          </cell>
          <cell r="E1384">
            <v>42805717</v>
          </cell>
          <cell r="F1384">
            <v>21402859</v>
          </cell>
          <cell r="G1384">
            <v>3907068</v>
          </cell>
          <cell r="H1384">
            <v>3567144</v>
          </cell>
          <cell r="I1384">
            <v>651178</v>
          </cell>
        </row>
        <row r="1385">
          <cell r="A1385" t="str">
            <v>3300|246000</v>
          </cell>
          <cell r="B1385" t="str">
            <v>3300</v>
          </cell>
          <cell r="C1385">
            <v>246000</v>
          </cell>
          <cell r="D1385">
            <v>41426</v>
          </cell>
          <cell r="E1385">
            <v>51399332</v>
          </cell>
          <cell r="F1385">
            <v>25699666</v>
          </cell>
          <cell r="G1385">
            <v>0</v>
          </cell>
          <cell r="H1385">
            <v>4283278</v>
          </cell>
          <cell r="I1385">
            <v>0</v>
          </cell>
        </row>
        <row r="1386">
          <cell r="A1386" t="str">
            <v>3300|400040</v>
          </cell>
          <cell r="B1386" t="str">
            <v>3300</v>
          </cell>
          <cell r="C1386">
            <v>400040</v>
          </cell>
          <cell r="D1386">
            <v>41426</v>
          </cell>
          <cell r="E1386">
            <v>375450339</v>
          </cell>
          <cell r="F1386">
            <v>187725170</v>
          </cell>
          <cell r="G1386">
            <v>28098257</v>
          </cell>
          <cell r="H1386">
            <v>31287529</v>
          </cell>
          <cell r="I1386">
            <v>27813201</v>
          </cell>
        </row>
        <row r="1387">
          <cell r="A1387" t="str">
            <v>3300|405200</v>
          </cell>
          <cell r="B1387" t="str">
            <v>3300</v>
          </cell>
          <cell r="C1387">
            <v>405200</v>
          </cell>
          <cell r="D1387">
            <v>41426</v>
          </cell>
          <cell r="E1387">
            <v>7587976</v>
          </cell>
          <cell r="F1387">
            <v>3793988</v>
          </cell>
          <cell r="G1387">
            <v>4849000</v>
          </cell>
          <cell r="H1387">
            <v>632331</v>
          </cell>
          <cell r="I1387">
            <v>0</v>
          </cell>
        </row>
        <row r="1388">
          <cell r="A1388" t="str">
            <v>3300|405252</v>
          </cell>
          <cell r="B1388" t="str">
            <v>3300</v>
          </cell>
          <cell r="C1388">
            <v>405252</v>
          </cell>
          <cell r="D1388">
            <v>41426</v>
          </cell>
          <cell r="E1388">
            <v>1430000000</v>
          </cell>
          <cell r="F1388">
            <v>715000000</v>
          </cell>
          <cell r="G1388">
            <v>727796160</v>
          </cell>
          <cell r="H1388">
            <v>119166667</v>
          </cell>
          <cell r="I1388">
            <v>205527663</v>
          </cell>
        </row>
        <row r="1389">
          <cell r="A1389" t="str">
            <v>3300|420002</v>
          </cell>
          <cell r="B1389" t="str">
            <v>3300</v>
          </cell>
          <cell r="C1389">
            <v>420002</v>
          </cell>
          <cell r="D1389">
            <v>41426</v>
          </cell>
          <cell r="E1389">
            <v>239294195</v>
          </cell>
          <cell r="F1389">
            <v>119647098</v>
          </cell>
          <cell r="G1389">
            <v>36288000</v>
          </cell>
          <cell r="H1389">
            <v>19941183</v>
          </cell>
          <cell r="I1389">
            <v>6048000</v>
          </cell>
        </row>
        <row r="1390">
          <cell r="A1390" t="str">
            <v>3300|420003</v>
          </cell>
          <cell r="B1390" t="str">
            <v>3300</v>
          </cell>
          <cell r="C1390">
            <v>420003</v>
          </cell>
          <cell r="D1390">
            <v>41426</v>
          </cell>
          <cell r="E1390">
            <v>675847132</v>
          </cell>
          <cell r="F1390">
            <v>337923566</v>
          </cell>
          <cell r="G1390">
            <v>446777559</v>
          </cell>
          <cell r="H1390">
            <v>56320594</v>
          </cell>
          <cell r="I1390">
            <v>91242790</v>
          </cell>
        </row>
        <row r="1391">
          <cell r="A1391" t="str">
            <v>3300|422002</v>
          </cell>
          <cell r="B1391" t="str">
            <v>3300</v>
          </cell>
          <cell r="C1391">
            <v>422002</v>
          </cell>
          <cell r="D1391">
            <v>41426</v>
          </cell>
          <cell r="E1391">
            <v>629370</v>
          </cell>
          <cell r="F1391">
            <v>314685</v>
          </cell>
          <cell r="G1391">
            <v>385200</v>
          </cell>
          <cell r="H1391">
            <v>52447</v>
          </cell>
          <cell r="I1391">
            <v>0</v>
          </cell>
        </row>
        <row r="1392">
          <cell r="A1392" t="str">
            <v>3300|434012</v>
          </cell>
          <cell r="B1392" t="str">
            <v>3300</v>
          </cell>
          <cell r="C1392">
            <v>434012</v>
          </cell>
          <cell r="D1392">
            <v>41426</v>
          </cell>
          <cell r="E1392">
            <v>0</v>
          </cell>
          <cell r="F1392">
            <v>0</v>
          </cell>
          <cell r="G1392">
            <v>987200</v>
          </cell>
          <cell r="H1392">
            <v>0</v>
          </cell>
          <cell r="I1392">
            <v>166248</v>
          </cell>
        </row>
        <row r="1393">
          <cell r="A1393" t="str">
            <v>3300|434013</v>
          </cell>
          <cell r="B1393" t="str">
            <v>3300</v>
          </cell>
          <cell r="C1393">
            <v>434013</v>
          </cell>
          <cell r="D1393">
            <v>41426</v>
          </cell>
          <cell r="E1393">
            <v>0</v>
          </cell>
          <cell r="F1393">
            <v>0</v>
          </cell>
          <cell r="G1393">
            <v>13661110</v>
          </cell>
          <cell r="H1393">
            <v>0</v>
          </cell>
          <cell r="I1393">
            <v>3002440</v>
          </cell>
        </row>
        <row r="1394">
          <cell r="A1394" t="str">
            <v>3300|435002</v>
          </cell>
          <cell r="B1394" t="str">
            <v>3300</v>
          </cell>
          <cell r="C1394">
            <v>435002</v>
          </cell>
          <cell r="D1394">
            <v>41426</v>
          </cell>
          <cell r="E1394">
            <v>40879425</v>
          </cell>
          <cell r="F1394">
            <v>20439713</v>
          </cell>
          <cell r="G1394">
            <v>6626500</v>
          </cell>
          <cell r="H1394">
            <v>3406619</v>
          </cell>
          <cell r="I1394">
            <v>0</v>
          </cell>
        </row>
        <row r="1395">
          <cell r="A1395" t="str">
            <v>3300|435003</v>
          </cell>
          <cell r="B1395" t="str">
            <v>3300</v>
          </cell>
          <cell r="C1395">
            <v>435003</v>
          </cell>
          <cell r="D1395">
            <v>41426</v>
          </cell>
          <cell r="E1395">
            <v>84480892</v>
          </cell>
          <cell r="F1395">
            <v>42240446</v>
          </cell>
          <cell r="G1395">
            <v>128407000</v>
          </cell>
          <cell r="H1395">
            <v>7040074</v>
          </cell>
          <cell r="I1395">
            <v>0</v>
          </cell>
        </row>
        <row r="1396">
          <cell r="A1396" t="str">
            <v>3300|439003</v>
          </cell>
          <cell r="B1396" t="str">
            <v>3300</v>
          </cell>
          <cell r="C1396">
            <v>439003</v>
          </cell>
          <cell r="D1396">
            <v>41426</v>
          </cell>
          <cell r="E1396">
            <v>78899758</v>
          </cell>
          <cell r="F1396">
            <v>39449879</v>
          </cell>
          <cell r="G1396">
            <v>73152428</v>
          </cell>
          <cell r="H1396">
            <v>6574980</v>
          </cell>
          <cell r="I1396">
            <v>16113026</v>
          </cell>
        </row>
        <row r="1397">
          <cell r="A1397" t="str">
            <v>3300|439008</v>
          </cell>
          <cell r="B1397" t="str">
            <v>3300</v>
          </cell>
          <cell r="C1397">
            <v>439008</v>
          </cell>
          <cell r="D1397">
            <v>41426</v>
          </cell>
          <cell r="E1397">
            <v>49266188</v>
          </cell>
          <cell r="F1397">
            <v>24633094</v>
          </cell>
          <cell r="G1397">
            <v>11072957</v>
          </cell>
          <cell r="H1397">
            <v>4105516</v>
          </cell>
          <cell r="I1397">
            <v>1598254</v>
          </cell>
        </row>
        <row r="1398">
          <cell r="A1398" t="str">
            <v>3300|439202</v>
          </cell>
          <cell r="B1398" t="str">
            <v>3300</v>
          </cell>
          <cell r="C1398">
            <v>439202</v>
          </cell>
          <cell r="D1398">
            <v>41426</v>
          </cell>
          <cell r="E1398">
            <v>17280000</v>
          </cell>
          <cell r="F1398">
            <v>8640000</v>
          </cell>
          <cell r="G1398">
            <v>3025000</v>
          </cell>
          <cell r="H1398">
            <v>1440000</v>
          </cell>
          <cell r="I1398">
            <v>475000</v>
          </cell>
        </row>
        <row r="1399">
          <cell r="A1399" t="str">
            <v>3300|439203</v>
          </cell>
          <cell r="B1399" t="str">
            <v>3300</v>
          </cell>
          <cell r="C1399">
            <v>439203</v>
          </cell>
          <cell r="D1399">
            <v>41426</v>
          </cell>
          <cell r="E1399">
            <v>11520000</v>
          </cell>
          <cell r="F1399">
            <v>5760000</v>
          </cell>
          <cell r="G1399">
            <v>10475000</v>
          </cell>
          <cell r="H1399">
            <v>960000</v>
          </cell>
          <cell r="I1399">
            <v>2475000</v>
          </cell>
        </row>
        <row r="1400">
          <cell r="A1400" t="str">
            <v>3300|440002</v>
          </cell>
          <cell r="B1400" t="str">
            <v>3300</v>
          </cell>
          <cell r="C1400">
            <v>440002</v>
          </cell>
          <cell r="D1400">
            <v>41426</v>
          </cell>
          <cell r="E1400">
            <v>19941183</v>
          </cell>
          <cell r="F1400">
            <v>9970592</v>
          </cell>
          <cell r="G1400">
            <v>3531249</v>
          </cell>
          <cell r="H1400">
            <v>1661766</v>
          </cell>
          <cell r="I1400">
            <v>397619</v>
          </cell>
        </row>
        <row r="1401">
          <cell r="A1401" t="str">
            <v>3300|440003</v>
          </cell>
          <cell r="B1401" t="str">
            <v>3300</v>
          </cell>
          <cell r="C1401">
            <v>440003</v>
          </cell>
          <cell r="D1401">
            <v>41426</v>
          </cell>
          <cell r="E1401">
            <v>56320594</v>
          </cell>
          <cell r="F1401">
            <v>28160297</v>
          </cell>
          <cell r="G1401">
            <v>44259818</v>
          </cell>
          <cell r="H1401">
            <v>4693383</v>
          </cell>
          <cell r="I1401">
            <v>10844291</v>
          </cell>
        </row>
        <row r="1402">
          <cell r="A1402" t="str">
            <v>3300|446002</v>
          </cell>
          <cell r="B1402" t="str">
            <v>3300</v>
          </cell>
          <cell r="C1402">
            <v>446002</v>
          </cell>
          <cell r="D1402">
            <v>41426</v>
          </cell>
          <cell r="E1402">
            <v>9970591</v>
          </cell>
          <cell r="F1402">
            <v>4985296</v>
          </cell>
          <cell r="G1402">
            <v>900000</v>
          </cell>
          <cell r="H1402">
            <v>830883</v>
          </cell>
          <cell r="I1402">
            <v>150000</v>
          </cell>
        </row>
        <row r="1403">
          <cell r="A1403" t="str">
            <v>3300|447002</v>
          </cell>
          <cell r="B1403" t="str">
            <v>3300</v>
          </cell>
          <cell r="C1403">
            <v>447002</v>
          </cell>
          <cell r="D1403">
            <v>41426</v>
          </cell>
          <cell r="E1403">
            <v>3756919</v>
          </cell>
          <cell r="F1403">
            <v>1878460</v>
          </cell>
          <cell r="G1403">
            <v>195954</v>
          </cell>
          <cell r="H1403">
            <v>313077</v>
          </cell>
          <cell r="I1403">
            <v>32659</v>
          </cell>
        </row>
        <row r="1404">
          <cell r="A1404" t="str">
            <v>3300|447003</v>
          </cell>
          <cell r="B1404" t="str">
            <v>3300</v>
          </cell>
          <cell r="C1404">
            <v>447003</v>
          </cell>
          <cell r="D1404">
            <v>41426</v>
          </cell>
          <cell r="E1404">
            <v>10611711</v>
          </cell>
          <cell r="F1404">
            <v>5305856</v>
          </cell>
          <cell r="G1404">
            <v>4695899</v>
          </cell>
          <cell r="H1404">
            <v>884310</v>
          </cell>
          <cell r="I1404">
            <v>1056900</v>
          </cell>
        </row>
        <row r="1405">
          <cell r="A1405" t="str">
            <v>3300|447012</v>
          </cell>
          <cell r="B1405" t="str">
            <v>3300</v>
          </cell>
          <cell r="C1405">
            <v>447012</v>
          </cell>
          <cell r="D1405">
            <v>41426</v>
          </cell>
          <cell r="E1405">
            <v>8853885</v>
          </cell>
          <cell r="F1405">
            <v>4426943</v>
          </cell>
          <cell r="G1405">
            <v>1342656</v>
          </cell>
          <cell r="H1405">
            <v>737824</v>
          </cell>
          <cell r="I1405">
            <v>223776</v>
          </cell>
        </row>
        <row r="1406">
          <cell r="A1406" t="str">
            <v>3300|447013</v>
          </cell>
          <cell r="B1406" t="str">
            <v>3300</v>
          </cell>
          <cell r="C1406">
            <v>447013</v>
          </cell>
          <cell r="D1406">
            <v>41426</v>
          </cell>
          <cell r="E1406">
            <v>25006344</v>
          </cell>
          <cell r="F1406">
            <v>12503172</v>
          </cell>
          <cell r="G1406">
            <v>13936679</v>
          </cell>
          <cell r="H1406">
            <v>2083862</v>
          </cell>
          <cell r="I1406">
            <v>2969102</v>
          </cell>
        </row>
        <row r="1407">
          <cell r="A1407" t="str">
            <v>3300|447022</v>
          </cell>
          <cell r="B1407" t="str">
            <v>3300</v>
          </cell>
          <cell r="C1407">
            <v>447022</v>
          </cell>
          <cell r="D1407">
            <v>41426</v>
          </cell>
          <cell r="E1407">
            <v>375692</v>
          </cell>
          <cell r="F1407">
            <v>187846</v>
          </cell>
          <cell r="G1407">
            <v>32524</v>
          </cell>
          <cell r="H1407">
            <v>31308</v>
          </cell>
          <cell r="I1407">
            <v>5400</v>
          </cell>
        </row>
        <row r="1408">
          <cell r="A1408" t="str">
            <v>3300|447023</v>
          </cell>
          <cell r="B1408" t="str">
            <v>3300</v>
          </cell>
          <cell r="C1408">
            <v>447023</v>
          </cell>
          <cell r="D1408">
            <v>41426</v>
          </cell>
          <cell r="E1408">
            <v>878191</v>
          </cell>
          <cell r="F1408">
            <v>439096</v>
          </cell>
          <cell r="G1408">
            <v>1132017</v>
          </cell>
          <cell r="H1408">
            <v>73183</v>
          </cell>
          <cell r="I1408">
            <v>246375</v>
          </cell>
        </row>
        <row r="1409">
          <cell r="A1409" t="str">
            <v>3300|448002</v>
          </cell>
          <cell r="B1409" t="str">
            <v>3300</v>
          </cell>
          <cell r="C1409">
            <v>448002</v>
          </cell>
          <cell r="D1409">
            <v>41426</v>
          </cell>
          <cell r="E1409">
            <v>17903373</v>
          </cell>
          <cell r="F1409">
            <v>8951687</v>
          </cell>
          <cell r="G1409">
            <v>2583630</v>
          </cell>
          <cell r="H1409">
            <v>1491948</v>
          </cell>
          <cell r="I1409">
            <v>0</v>
          </cell>
        </row>
        <row r="1410">
          <cell r="A1410" t="str">
            <v>3300|448003</v>
          </cell>
          <cell r="B1410" t="str">
            <v>3300</v>
          </cell>
          <cell r="C1410">
            <v>448003</v>
          </cell>
          <cell r="D1410">
            <v>41426</v>
          </cell>
          <cell r="E1410">
            <v>36269801</v>
          </cell>
          <cell r="F1410">
            <v>18134901</v>
          </cell>
          <cell r="G1410">
            <v>5698250</v>
          </cell>
          <cell r="H1410">
            <v>3022484</v>
          </cell>
          <cell r="I1410">
            <v>0</v>
          </cell>
        </row>
        <row r="1411">
          <cell r="A1411" t="str">
            <v>3300|449022</v>
          </cell>
          <cell r="B1411" t="str">
            <v>3300</v>
          </cell>
          <cell r="C1411">
            <v>449022</v>
          </cell>
          <cell r="D1411">
            <v>41426</v>
          </cell>
          <cell r="E1411">
            <v>11880000</v>
          </cell>
          <cell r="F1411">
            <v>5940000</v>
          </cell>
          <cell r="G1411">
            <v>2057000</v>
          </cell>
          <cell r="H1411">
            <v>990000</v>
          </cell>
          <cell r="I1411">
            <v>323000</v>
          </cell>
        </row>
        <row r="1412">
          <cell r="A1412" t="str">
            <v>3300|449023</v>
          </cell>
          <cell r="B1412" t="str">
            <v>3300</v>
          </cell>
          <cell r="C1412">
            <v>449023</v>
          </cell>
          <cell r="D1412">
            <v>41426</v>
          </cell>
          <cell r="E1412">
            <v>29436000</v>
          </cell>
          <cell r="F1412">
            <v>14718000</v>
          </cell>
          <cell r="G1412">
            <v>41426000</v>
          </cell>
          <cell r="H1412">
            <v>2453000</v>
          </cell>
          <cell r="I1412">
            <v>7403000</v>
          </cell>
        </row>
        <row r="1413">
          <cell r="A1413" t="str">
            <v>3300|449032</v>
          </cell>
          <cell r="B1413" t="str">
            <v>3300</v>
          </cell>
          <cell r="C1413">
            <v>449032</v>
          </cell>
          <cell r="D1413">
            <v>41426</v>
          </cell>
          <cell r="E1413">
            <v>50581260</v>
          </cell>
          <cell r="F1413">
            <v>25290630</v>
          </cell>
          <cell r="G1413">
            <v>13991516</v>
          </cell>
          <cell r="H1413">
            <v>4215105</v>
          </cell>
          <cell r="I1413">
            <v>0</v>
          </cell>
        </row>
        <row r="1414">
          <cell r="A1414" t="str">
            <v>3300|449040</v>
          </cell>
          <cell r="B1414" t="str">
            <v>3300</v>
          </cell>
          <cell r="C1414">
            <v>449040</v>
          </cell>
          <cell r="D1414">
            <v>41426</v>
          </cell>
          <cell r="E1414">
            <v>14100000</v>
          </cell>
          <cell r="F1414">
            <v>7050000</v>
          </cell>
          <cell r="G1414">
            <v>5085000</v>
          </cell>
          <cell r="H1414">
            <v>1175000</v>
          </cell>
          <cell r="I1414">
            <v>4325000</v>
          </cell>
        </row>
        <row r="1415">
          <cell r="A1415" t="str">
            <v>3300|449050</v>
          </cell>
          <cell r="B1415" t="str">
            <v>3300</v>
          </cell>
          <cell r="C1415">
            <v>449050</v>
          </cell>
          <cell r="D1415">
            <v>41426</v>
          </cell>
          <cell r="E1415">
            <v>120553153</v>
          </cell>
          <cell r="F1415">
            <v>60276577</v>
          </cell>
          <cell r="G1415">
            <v>15150402</v>
          </cell>
          <cell r="H1415">
            <v>10046097</v>
          </cell>
          <cell r="I1415">
            <v>2554272</v>
          </cell>
        </row>
        <row r="1416">
          <cell r="A1416" t="str">
            <v>3300|449061</v>
          </cell>
          <cell r="B1416" t="str">
            <v>3300</v>
          </cell>
          <cell r="C1416">
            <v>449061</v>
          </cell>
          <cell r="D1416">
            <v>41426</v>
          </cell>
          <cell r="E1416">
            <v>17605118</v>
          </cell>
          <cell r="F1416">
            <v>8802559</v>
          </cell>
          <cell r="G1416">
            <v>13109200</v>
          </cell>
          <cell r="H1416">
            <v>1467093</v>
          </cell>
          <cell r="I1416">
            <v>3192000</v>
          </cell>
        </row>
        <row r="1417">
          <cell r="A1417" t="str">
            <v>3300|459000</v>
          </cell>
          <cell r="B1417" t="str">
            <v>3300</v>
          </cell>
          <cell r="C1417">
            <v>459000</v>
          </cell>
          <cell r="D1417">
            <v>41426</v>
          </cell>
          <cell r="E1417">
            <v>3773591</v>
          </cell>
          <cell r="F1417">
            <v>1886796</v>
          </cell>
          <cell r="G1417">
            <v>2230750</v>
          </cell>
          <cell r="H1417">
            <v>314466</v>
          </cell>
          <cell r="I1417">
            <v>0</v>
          </cell>
        </row>
        <row r="1418">
          <cell r="A1418" t="str">
            <v>3300|459005</v>
          </cell>
          <cell r="B1418" t="str">
            <v>3300</v>
          </cell>
          <cell r="C1418">
            <v>459005</v>
          </cell>
          <cell r="D1418">
            <v>41426</v>
          </cell>
          <cell r="E1418">
            <v>760812</v>
          </cell>
          <cell r="F1418">
            <v>380406</v>
          </cell>
          <cell r="G1418">
            <v>0</v>
          </cell>
          <cell r="H1418">
            <v>63401</v>
          </cell>
          <cell r="I1418">
            <v>0</v>
          </cell>
        </row>
        <row r="1419">
          <cell r="A1419" t="str">
            <v>3300|470001</v>
          </cell>
          <cell r="B1419" t="str">
            <v>3300</v>
          </cell>
          <cell r="C1419">
            <v>470001</v>
          </cell>
          <cell r="D1419">
            <v>41426</v>
          </cell>
          <cell r="E1419">
            <v>0</v>
          </cell>
          <cell r="F1419">
            <v>0</v>
          </cell>
          <cell r="G1419">
            <v>300929226</v>
          </cell>
          <cell r="H1419">
            <v>0</v>
          </cell>
          <cell r="I1419">
            <v>50154871</v>
          </cell>
        </row>
        <row r="1420">
          <cell r="A1420" t="str">
            <v>3300|471000</v>
          </cell>
          <cell r="B1420" t="str">
            <v>3300</v>
          </cell>
          <cell r="C1420">
            <v>471000</v>
          </cell>
          <cell r="D1420">
            <v>41426</v>
          </cell>
          <cell r="E1420">
            <v>4123801</v>
          </cell>
          <cell r="F1420">
            <v>2061901</v>
          </cell>
          <cell r="G1420">
            <v>11220240</v>
          </cell>
          <cell r="H1420">
            <v>343651</v>
          </cell>
          <cell r="I1420">
            <v>2230240</v>
          </cell>
        </row>
        <row r="1421">
          <cell r="A1421" t="str">
            <v>3300|472000</v>
          </cell>
          <cell r="B1421" t="str">
            <v>3300</v>
          </cell>
          <cell r="C1421">
            <v>472000</v>
          </cell>
          <cell r="D1421">
            <v>41426</v>
          </cell>
          <cell r="E1421">
            <v>45990639</v>
          </cell>
          <cell r="F1421">
            <v>22995320</v>
          </cell>
          <cell r="G1421">
            <v>36096517</v>
          </cell>
          <cell r="H1421">
            <v>3832554</v>
          </cell>
          <cell r="I1421">
            <v>4901390</v>
          </cell>
        </row>
        <row r="1422">
          <cell r="A1422" t="str">
            <v>3300|473120</v>
          </cell>
          <cell r="B1422" t="str">
            <v>3300</v>
          </cell>
          <cell r="C1422">
            <v>473120</v>
          </cell>
          <cell r="D1422">
            <v>41426</v>
          </cell>
          <cell r="E1422">
            <v>15674387</v>
          </cell>
          <cell r="F1422">
            <v>7837194</v>
          </cell>
          <cell r="G1422">
            <v>21441090</v>
          </cell>
          <cell r="H1422">
            <v>1306199</v>
          </cell>
          <cell r="I1422">
            <v>4035554</v>
          </cell>
        </row>
        <row r="1423">
          <cell r="A1423" t="str">
            <v>3300|474100</v>
          </cell>
          <cell r="B1423" t="str">
            <v>3300</v>
          </cell>
          <cell r="C1423">
            <v>474100</v>
          </cell>
          <cell r="D1423">
            <v>41426</v>
          </cell>
          <cell r="E1423">
            <v>52000000</v>
          </cell>
          <cell r="F1423">
            <v>26000000</v>
          </cell>
          <cell r="G1423">
            <v>150247715</v>
          </cell>
          <cell r="H1423">
            <v>4333333</v>
          </cell>
          <cell r="I1423">
            <v>124880679</v>
          </cell>
        </row>
        <row r="1424">
          <cell r="A1424" t="str">
            <v>3300|474101</v>
          </cell>
          <cell r="B1424" t="str">
            <v>3300</v>
          </cell>
          <cell r="C1424">
            <v>474101</v>
          </cell>
          <cell r="D1424">
            <v>41426</v>
          </cell>
          <cell r="E1424">
            <v>119428035</v>
          </cell>
          <cell r="F1424">
            <v>59714018</v>
          </cell>
          <cell r="G1424">
            <v>37230633</v>
          </cell>
          <cell r="H1424">
            <v>9952337</v>
          </cell>
          <cell r="I1424">
            <v>-21699599</v>
          </cell>
        </row>
        <row r="1425">
          <cell r="A1425" t="str">
            <v>3300|475003</v>
          </cell>
          <cell r="B1425" t="str">
            <v>3300</v>
          </cell>
          <cell r="C1425">
            <v>475003</v>
          </cell>
          <cell r="D1425">
            <v>41426</v>
          </cell>
          <cell r="E1425">
            <v>783107</v>
          </cell>
          <cell r="F1425">
            <v>391554</v>
          </cell>
          <cell r="G1425">
            <v>1700000</v>
          </cell>
          <cell r="H1425">
            <v>65259</v>
          </cell>
          <cell r="I1425">
            <v>1700000</v>
          </cell>
        </row>
        <row r="1426">
          <cell r="A1426" t="str">
            <v>3300|475004</v>
          </cell>
          <cell r="B1426" t="str">
            <v>3300</v>
          </cell>
          <cell r="C1426">
            <v>475004</v>
          </cell>
          <cell r="D1426">
            <v>41426</v>
          </cell>
          <cell r="E1426">
            <v>31740181</v>
          </cell>
          <cell r="F1426">
            <v>15870091</v>
          </cell>
          <cell r="G1426">
            <v>24687100</v>
          </cell>
          <cell r="H1426">
            <v>2645016</v>
          </cell>
          <cell r="I1426">
            <v>3184254</v>
          </cell>
        </row>
        <row r="1427">
          <cell r="A1427" t="str">
            <v>3300|475006</v>
          </cell>
          <cell r="B1427" t="str">
            <v>3300</v>
          </cell>
          <cell r="C1427">
            <v>475006</v>
          </cell>
          <cell r="D1427">
            <v>41426</v>
          </cell>
          <cell r="E1427">
            <v>7894088</v>
          </cell>
          <cell r="F1427">
            <v>3947044</v>
          </cell>
          <cell r="G1427">
            <v>9750645</v>
          </cell>
          <cell r="H1427">
            <v>657841</v>
          </cell>
          <cell r="I1427">
            <v>1726608</v>
          </cell>
        </row>
        <row r="1428">
          <cell r="A1428" t="str">
            <v>3300|476001</v>
          </cell>
          <cell r="B1428" t="str">
            <v>3300</v>
          </cell>
          <cell r="C1428">
            <v>476001</v>
          </cell>
          <cell r="D1428">
            <v>41426</v>
          </cell>
          <cell r="E1428">
            <v>9700065</v>
          </cell>
          <cell r="F1428">
            <v>4850033</v>
          </cell>
          <cell r="G1428">
            <v>5064081</v>
          </cell>
          <cell r="H1428">
            <v>808339</v>
          </cell>
          <cell r="I1428">
            <v>0</v>
          </cell>
        </row>
        <row r="1429">
          <cell r="A1429" t="str">
            <v>3300|476220</v>
          </cell>
          <cell r="B1429" t="str">
            <v>3300</v>
          </cell>
          <cell r="C1429">
            <v>476220</v>
          </cell>
          <cell r="D1429">
            <v>41426</v>
          </cell>
          <cell r="E1429">
            <v>3909504</v>
          </cell>
          <cell r="F1429">
            <v>1954752</v>
          </cell>
          <cell r="G1429">
            <v>16265819</v>
          </cell>
          <cell r="H1429">
            <v>325792</v>
          </cell>
          <cell r="I1429">
            <v>1895819</v>
          </cell>
        </row>
        <row r="1430">
          <cell r="A1430" t="str">
            <v>3300|476900</v>
          </cell>
          <cell r="B1430" t="str">
            <v>3300</v>
          </cell>
          <cell r="C1430">
            <v>476900</v>
          </cell>
          <cell r="D1430">
            <v>41426</v>
          </cell>
          <cell r="E1430">
            <v>22123672</v>
          </cell>
          <cell r="F1430">
            <v>11061836</v>
          </cell>
          <cell r="G1430">
            <v>14018630</v>
          </cell>
          <cell r="H1430">
            <v>1843639</v>
          </cell>
          <cell r="I1430">
            <v>10794240</v>
          </cell>
        </row>
        <row r="1431">
          <cell r="A1431" t="str">
            <v>3300|476910</v>
          </cell>
          <cell r="B1431" t="str">
            <v>3300</v>
          </cell>
          <cell r="C1431">
            <v>476910</v>
          </cell>
          <cell r="D1431">
            <v>41426</v>
          </cell>
          <cell r="E1431">
            <v>3413916</v>
          </cell>
          <cell r="F1431">
            <v>1706958</v>
          </cell>
          <cell r="G1431">
            <v>0</v>
          </cell>
          <cell r="H1431">
            <v>284493</v>
          </cell>
          <cell r="I1431">
            <v>0</v>
          </cell>
        </row>
        <row r="1432">
          <cell r="A1432" t="str">
            <v>3300|477001</v>
          </cell>
          <cell r="B1432" t="str">
            <v>3300</v>
          </cell>
          <cell r="C1432">
            <v>477001</v>
          </cell>
          <cell r="D1432">
            <v>41426</v>
          </cell>
          <cell r="E1432">
            <v>1450000000</v>
          </cell>
          <cell r="F1432">
            <v>725000000</v>
          </cell>
          <cell r="G1432">
            <v>1384603063</v>
          </cell>
          <cell r="H1432">
            <v>120833333</v>
          </cell>
          <cell r="I1432">
            <v>1425234031</v>
          </cell>
        </row>
        <row r="1433">
          <cell r="A1433" t="str">
            <v>3300|477100</v>
          </cell>
          <cell r="B1433" t="str">
            <v>3300</v>
          </cell>
          <cell r="C1433">
            <v>477100</v>
          </cell>
          <cell r="D1433">
            <v>41426</v>
          </cell>
          <cell r="E1433">
            <v>100000000</v>
          </cell>
          <cell r="F1433">
            <v>50000000</v>
          </cell>
          <cell r="G1433">
            <v>99677112</v>
          </cell>
          <cell r="H1433">
            <v>8333333</v>
          </cell>
          <cell r="I1433">
            <v>0</v>
          </cell>
        </row>
        <row r="1434">
          <cell r="A1434" t="str">
            <v>3300|477310</v>
          </cell>
          <cell r="B1434" t="str">
            <v>3300</v>
          </cell>
          <cell r="C1434">
            <v>477310</v>
          </cell>
          <cell r="D1434">
            <v>41426</v>
          </cell>
          <cell r="E1434">
            <v>304624460</v>
          </cell>
          <cell r="F1434">
            <v>152312230</v>
          </cell>
          <cell r="G1434">
            <v>47122700</v>
          </cell>
          <cell r="H1434">
            <v>25385372</v>
          </cell>
          <cell r="I1434">
            <v>46900000</v>
          </cell>
        </row>
        <row r="1435">
          <cell r="A1435" t="str">
            <v>3300|477910</v>
          </cell>
          <cell r="B1435" t="str">
            <v>3300</v>
          </cell>
          <cell r="C1435">
            <v>477910</v>
          </cell>
          <cell r="D1435">
            <v>41426</v>
          </cell>
          <cell r="E1435">
            <v>9200000</v>
          </cell>
          <cell r="F1435">
            <v>4600000</v>
          </cell>
          <cell r="G1435">
            <v>-161100</v>
          </cell>
          <cell r="H1435">
            <v>766667</v>
          </cell>
          <cell r="I1435">
            <v>0</v>
          </cell>
        </row>
        <row r="1436">
          <cell r="A1436" t="str">
            <v>3310|211100</v>
          </cell>
          <cell r="B1436" t="str">
            <v>3310</v>
          </cell>
          <cell r="C1436">
            <v>211100</v>
          </cell>
          <cell r="D1436">
            <v>41426</v>
          </cell>
          <cell r="E1436">
            <v>22406070</v>
          </cell>
          <cell r="F1436">
            <v>11203035</v>
          </cell>
          <cell r="G1436">
            <v>5028905</v>
          </cell>
          <cell r="H1436">
            <v>1867172</v>
          </cell>
          <cell r="I1436">
            <v>827292</v>
          </cell>
        </row>
        <row r="1437">
          <cell r="A1437" t="str">
            <v>3310|246000</v>
          </cell>
          <cell r="B1437" t="str">
            <v>3310</v>
          </cell>
          <cell r="C1437">
            <v>246000</v>
          </cell>
          <cell r="D1437">
            <v>41426</v>
          </cell>
          <cell r="E1437">
            <v>15000000</v>
          </cell>
          <cell r="F1437">
            <v>7500000</v>
          </cell>
          <cell r="G1437">
            <v>0</v>
          </cell>
          <cell r="H1437">
            <v>1250000</v>
          </cell>
          <cell r="I1437">
            <v>0</v>
          </cell>
        </row>
        <row r="1438">
          <cell r="A1438" t="str">
            <v>3310|400040</v>
          </cell>
          <cell r="B1438" t="str">
            <v>3310</v>
          </cell>
          <cell r="C1438">
            <v>400040</v>
          </cell>
          <cell r="D1438">
            <v>41426</v>
          </cell>
          <cell r="E1438">
            <v>20000000</v>
          </cell>
          <cell r="F1438">
            <v>10000000</v>
          </cell>
          <cell r="G1438">
            <v>24697569</v>
          </cell>
          <cell r="H1438">
            <v>1666667</v>
          </cell>
          <cell r="I1438">
            <v>3446495</v>
          </cell>
        </row>
        <row r="1439">
          <cell r="A1439" t="str">
            <v>3310|405251</v>
          </cell>
          <cell r="B1439" t="str">
            <v>3310</v>
          </cell>
          <cell r="C1439">
            <v>405251</v>
          </cell>
          <cell r="D1439">
            <v>41426</v>
          </cell>
          <cell r="E1439">
            <v>0</v>
          </cell>
          <cell r="F1439">
            <v>0</v>
          </cell>
          <cell r="G1439">
            <v>17134087</v>
          </cell>
          <cell r="H1439">
            <v>0</v>
          </cell>
          <cell r="I1439">
            <v>0</v>
          </cell>
        </row>
        <row r="1440">
          <cell r="A1440" t="str">
            <v>3310|405252</v>
          </cell>
          <cell r="B1440" t="str">
            <v>3310</v>
          </cell>
          <cell r="C1440">
            <v>405252</v>
          </cell>
          <cell r="D1440">
            <v>41426</v>
          </cell>
          <cell r="E1440">
            <v>2500000000</v>
          </cell>
          <cell r="F1440">
            <v>1250000000</v>
          </cell>
          <cell r="G1440">
            <v>135804400</v>
          </cell>
          <cell r="H1440">
            <v>208333333</v>
          </cell>
          <cell r="I1440">
            <v>94614400</v>
          </cell>
        </row>
        <row r="1441">
          <cell r="A1441" t="str">
            <v>3310|405300</v>
          </cell>
          <cell r="B1441" t="str">
            <v>3310</v>
          </cell>
          <cell r="C1441">
            <v>405300</v>
          </cell>
          <cell r="D1441">
            <v>41426</v>
          </cell>
          <cell r="E1441">
            <v>0</v>
          </cell>
          <cell r="F1441">
            <v>0</v>
          </cell>
          <cell r="G1441">
            <v>71886380</v>
          </cell>
          <cell r="H1441">
            <v>0</v>
          </cell>
          <cell r="I1441">
            <v>0</v>
          </cell>
        </row>
        <row r="1442">
          <cell r="A1442" t="str">
            <v>3310|420002</v>
          </cell>
          <cell r="B1442" t="str">
            <v>3310</v>
          </cell>
          <cell r="C1442">
            <v>420002</v>
          </cell>
          <cell r="D1442">
            <v>41426</v>
          </cell>
          <cell r="E1442">
            <v>0</v>
          </cell>
          <cell r="F1442">
            <v>0</v>
          </cell>
          <cell r="G1442">
            <v>49310500</v>
          </cell>
          <cell r="H1442">
            <v>0</v>
          </cell>
          <cell r="I1442">
            <v>10309000</v>
          </cell>
        </row>
        <row r="1443">
          <cell r="A1443" t="str">
            <v>3310|420003</v>
          </cell>
          <cell r="B1443" t="str">
            <v>3310</v>
          </cell>
          <cell r="C1443">
            <v>420003</v>
          </cell>
          <cell r="D1443">
            <v>41426</v>
          </cell>
          <cell r="E1443">
            <v>2247764387</v>
          </cell>
          <cell r="F1443">
            <v>1123882194</v>
          </cell>
          <cell r="G1443">
            <v>946532676</v>
          </cell>
          <cell r="H1443">
            <v>187313699</v>
          </cell>
          <cell r="I1443">
            <v>150713783</v>
          </cell>
        </row>
        <row r="1444">
          <cell r="A1444" t="str">
            <v>3310|422003</v>
          </cell>
          <cell r="B1444" t="str">
            <v>3310</v>
          </cell>
          <cell r="C1444">
            <v>422003</v>
          </cell>
          <cell r="D1444">
            <v>41426</v>
          </cell>
          <cell r="E1444">
            <v>1000491307</v>
          </cell>
          <cell r="F1444">
            <v>500245654</v>
          </cell>
          <cell r="G1444">
            <v>737301331</v>
          </cell>
          <cell r="H1444">
            <v>83374276</v>
          </cell>
          <cell r="I1444">
            <v>107334993</v>
          </cell>
        </row>
        <row r="1445">
          <cell r="A1445" t="str">
            <v>3310|431001</v>
          </cell>
          <cell r="B1445" t="str">
            <v>3310</v>
          </cell>
          <cell r="C1445">
            <v>431001</v>
          </cell>
          <cell r="D1445">
            <v>41426</v>
          </cell>
          <cell r="E1445">
            <v>25000000</v>
          </cell>
          <cell r="F1445">
            <v>12500000</v>
          </cell>
          <cell r="G1445">
            <v>11304557</v>
          </cell>
          <cell r="H1445">
            <v>2083333</v>
          </cell>
          <cell r="I1445">
            <v>5342852</v>
          </cell>
        </row>
        <row r="1446">
          <cell r="A1446" t="str">
            <v>3310|431002</v>
          </cell>
          <cell r="B1446" t="str">
            <v>3310</v>
          </cell>
          <cell r="C1446">
            <v>431002</v>
          </cell>
          <cell r="D1446">
            <v>41426</v>
          </cell>
          <cell r="E1446">
            <v>11039723</v>
          </cell>
          <cell r="F1446">
            <v>5519862</v>
          </cell>
          <cell r="G1446">
            <v>20246887</v>
          </cell>
          <cell r="H1446">
            <v>919977</v>
          </cell>
          <cell r="I1446">
            <v>8735883</v>
          </cell>
        </row>
        <row r="1447">
          <cell r="A1447" t="str">
            <v>3310|434012</v>
          </cell>
          <cell r="B1447" t="str">
            <v>3310</v>
          </cell>
          <cell r="C1447">
            <v>434012</v>
          </cell>
          <cell r="D1447">
            <v>41426</v>
          </cell>
          <cell r="E1447">
            <v>0</v>
          </cell>
          <cell r="F1447">
            <v>0</v>
          </cell>
          <cell r="G1447">
            <v>1481177</v>
          </cell>
          <cell r="H1447">
            <v>0</v>
          </cell>
          <cell r="I1447">
            <v>332496</v>
          </cell>
        </row>
        <row r="1448">
          <cell r="A1448" t="str">
            <v>3310|434013</v>
          </cell>
          <cell r="B1448" t="str">
            <v>3310</v>
          </cell>
          <cell r="C1448">
            <v>434013</v>
          </cell>
          <cell r="D1448">
            <v>41426</v>
          </cell>
          <cell r="E1448">
            <v>0</v>
          </cell>
          <cell r="F1448">
            <v>0</v>
          </cell>
          <cell r="G1448">
            <v>21297459</v>
          </cell>
          <cell r="H1448">
            <v>0</v>
          </cell>
          <cell r="I1448">
            <v>3002440</v>
          </cell>
        </row>
        <row r="1449">
          <cell r="A1449" t="str">
            <v>3310|435002</v>
          </cell>
          <cell r="B1449" t="str">
            <v>3310</v>
          </cell>
          <cell r="C1449">
            <v>435002</v>
          </cell>
          <cell r="D1449">
            <v>41426</v>
          </cell>
          <cell r="E1449">
            <v>0</v>
          </cell>
          <cell r="F1449">
            <v>0</v>
          </cell>
          <cell r="G1449">
            <v>4917000</v>
          </cell>
          <cell r="H1449">
            <v>0</v>
          </cell>
          <cell r="I1449">
            <v>0</v>
          </cell>
        </row>
        <row r="1450">
          <cell r="A1450" t="str">
            <v>3310|435003</v>
          </cell>
          <cell r="B1450" t="str">
            <v>3310</v>
          </cell>
          <cell r="C1450">
            <v>435003</v>
          </cell>
          <cell r="D1450">
            <v>41426</v>
          </cell>
          <cell r="E1450">
            <v>768977536</v>
          </cell>
          <cell r="F1450">
            <v>384488768</v>
          </cell>
          <cell r="G1450">
            <v>160144088</v>
          </cell>
          <cell r="H1450">
            <v>64081461</v>
          </cell>
          <cell r="I1450">
            <v>0</v>
          </cell>
        </row>
        <row r="1451">
          <cell r="A1451" t="str">
            <v>3310|439003</v>
          </cell>
          <cell r="B1451" t="str">
            <v>3310</v>
          </cell>
          <cell r="C1451">
            <v>439003</v>
          </cell>
          <cell r="D1451">
            <v>41426</v>
          </cell>
          <cell r="E1451">
            <v>315599034</v>
          </cell>
          <cell r="F1451">
            <v>157799517</v>
          </cell>
          <cell r="G1451">
            <v>113972094</v>
          </cell>
          <cell r="H1451">
            <v>26299919</v>
          </cell>
          <cell r="I1451">
            <v>16113026</v>
          </cell>
        </row>
        <row r="1452">
          <cell r="A1452" t="str">
            <v>3310|439006</v>
          </cell>
          <cell r="B1452" t="str">
            <v>3310</v>
          </cell>
          <cell r="C1452">
            <v>439006</v>
          </cell>
          <cell r="D1452">
            <v>41426</v>
          </cell>
          <cell r="E1452">
            <v>107671723</v>
          </cell>
          <cell r="F1452">
            <v>53835862</v>
          </cell>
          <cell r="G1452">
            <v>0</v>
          </cell>
          <cell r="H1452">
            <v>8972644</v>
          </cell>
          <cell r="I1452">
            <v>0</v>
          </cell>
        </row>
        <row r="1453">
          <cell r="A1453" t="str">
            <v>3310|439008</v>
          </cell>
          <cell r="B1453" t="str">
            <v>3310</v>
          </cell>
          <cell r="C1453">
            <v>439008</v>
          </cell>
          <cell r="D1453">
            <v>41426</v>
          </cell>
          <cell r="E1453">
            <v>0</v>
          </cell>
          <cell r="F1453">
            <v>0</v>
          </cell>
          <cell r="G1453">
            <v>14257884</v>
          </cell>
          <cell r="H1453">
            <v>0</v>
          </cell>
          <cell r="I1453">
            <v>3196509</v>
          </cell>
        </row>
        <row r="1454">
          <cell r="A1454" t="str">
            <v>3310|439202</v>
          </cell>
          <cell r="B1454" t="str">
            <v>3310</v>
          </cell>
          <cell r="C1454">
            <v>439202</v>
          </cell>
          <cell r="D1454">
            <v>41426</v>
          </cell>
          <cell r="E1454">
            <v>0</v>
          </cell>
          <cell r="F1454">
            <v>0</v>
          </cell>
          <cell r="G1454">
            <v>4525000</v>
          </cell>
          <cell r="H1454">
            <v>0</v>
          </cell>
          <cell r="I1454">
            <v>975000</v>
          </cell>
        </row>
        <row r="1455">
          <cell r="A1455" t="str">
            <v>3310|439203</v>
          </cell>
          <cell r="B1455" t="str">
            <v>3310</v>
          </cell>
          <cell r="C1455">
            <v>439203</v>
          </cell>
          <cell r="D1455">
            <v>41426</v>
          </cell>
          <cell r="E1455">
            <v>46080000</v>
          </cell>
          <cell r="F1455">
            <v>23040000</v>
          </cell>
          <cell r="G1455">
            <v>15800000</v>
          </cell>
          <cell r="H1455">
            <v>3840000</v>
          </cell>
          <cell r="I1455">
            <v>2350000</v>
          </cell>
        </row>
        <row r="1456">
          <cell r="A1456" t="str">
            <v>3310|440002</v>
          </cell>
          <cell r="B1456" t="str">
            <v>3310</v>
          </cell>
          <cell r="C1456">
            <v>440002</v>
          </cell>
          <cell r="D1456">
            <v>41426</v>
          </cell>
          <cell r="E1456">
            <v>0</v>
          </cell>
          <cell r="F1456">
            <v>0</v>
          </cell>
          <cell r="G1456">
            <v>4881100</v>
          </cell>
          <cell r="H1456">
            <v>0</v>
          </cell>
          <cell r="I1456">
            <v>795238</v>
          </cell>
        </row>
        <row r="1457">
          <cell r="A1457" t="str">
            <v>3310|440003</v>
          </cell>
          <cell r="B1457" t="str">
            <v>3310</v>
          </cell>
          <cell r="C1457">
            <v>440003</v>
          </cell>
          <cell r="D1457">
            <v>41426</v>
          </cell>
          <cell r="E1457">
            <v>125091295</v>
          </cell>
          <cell r="F1457">
            <v>62545648</v>
          </cell>
          <cell r="G1457">
            <v>59776972</v>
          </cell>
          <cell r="H1457">
            <v>10424275</v>
          </cell>
          <cell r="I1457">
            <v>8198874</v>
          </cell>
        </row>
        <row r="1458">
          <cell r="A1458" t="str">
            <v>3310|446002</v>
          </cell>
          <cell r="B1458" t="str">
            <v>3310</v>
          </cell>
          <cell r="C1458">
            <v>446002</v>
          </cell>
          <cell r="D1458">
            <v>41426</v>
          </cell>
          <cell r="E1458">
            <v>0</v>
          </cell>
          <cell r="F1458">
            <v>0</v>
          </cell>
          <cell r="G1458">
            <v>1500000</v>
          </cell>
          <cell r="H1458">
            <v>0</v>
          </cell>
          <cell r="I1458">
            <v>250000</v>
          </cell>
        </row>
        <row r="1459">
          <cell r="A1459" t="str">
            <v>3310|447002</v>
          </cell>
          <cell r="B1459" t="str">
            <v>3310</v>
          </cell>
          <cell r="C1459">
            <v>447002</v>
          </cell>
          <cell r="D1459">
            <v>41426</v>
          </cell>
          <cell r="E1459">
            <v>0</v>
          </cell>
          <cell r="F1459">
            <v>0</v>
          </cell>
          <cell r="G1459">
            <v>316302</v>
          </cell>
          <cell r="H1459">
            <v>0</v>
          </cell>
          <cell r="I1459">
            <v>55669</v>
          </cell>
        </row>
        <row r="1460">
          <cell r="A1460" t="str">
            <v>3310|447003</v>
          </cell>
          <cell r="B1460" t="str">
            <v>3310</v>
          </cell>
          <cell r="C1460">
            <v>447003</v>
          </cell>
          <cell r="D1460">
            <v>41426</v>
          </cell>
          <cell r="E1460">
            <v>23567014</v>
          </cell>
          <cell r="F1460">
            <v>11783507</v>
          </cell>
          <cell r="G1460">
            <v>5374937</v>
          </cell>
          <cell r="H1460">
            <v>1963918</v>
          </cell>
          <cell r="I1460">
            <v>802935</v>
          </cell>
        </row>
        <row r="1461">
          <cell r="A1461" t="str">
            <v>3310|447012</v>
          </cell>
          <cell r="B1461" t="str">
            <v>3310</v>
          </cell>
          <cell r="C1461">
            <v>447012</v>
          </cell>
          <cell r="D1461">
            <v>41426</v>
          </cell>
          <cell r="E1461">
            <v>0</v>
          </cell>
          <cell r="F1461">
            <v>0</v>
          </cell>
          <cell r="G1461">
            <v>1824489</v>
          </cell>
          <cell r="H1461">
            <v>0</v>
          </cell>
          <cell r="I1461">
            <v>381433</v>
          </cell>
        </row>
        <row r="1462">
          <cell r="A1462" t="str">
            <v>3310|447013</v>
          </cell>
          <cell r="B1462" t="str">
            <v>3310</v>
          </cell>
          <cell r="C1462">
            <v>447013</v>
          </cell>
          <cell r="D1462">
            <v>41426</v>
          </cell>
          <cell r="E1462">
            <v>55540535</v>
          </cell>
          <cell r="F1462">
            <v>27770268</v>
          </cell>
          <cell r="G1462">
            <v>16447539</v>
          </cell>
          <cell r="H1462">
            <v>4628378</v>
          </cell>
          <cell r="I1462">
            <v>2458928</v>
          </cell>
        </row>
        <row r="1463">
          <cell r="A1463" t="str">
            <v>3310|447022</v>
          </cell>
          <cell r="B1463" t="str">
            <v>3310</v>
          </cell>
          <cell r="C1463">
            <v>447022</v>
          </cell>
          <cell r="D1463">
            <v>41426</v>
          </cell>
          <cell r="E1463">
            <v>0</v>
          </cell>
          <cell r="F1463">
            <v>0</v>
          </cell>
          <cell r="G1463">
            <v>15747</v>
          </cell>
          <cell r="H1463">
            <v>0</v>
          </cell>
          <cell r="I1463">
            <v>2750</v>
          </cell>
        </row>
        <row r="1464">
          <cell r="A1464" t="str">
            <v>3310|447023</v>
          </cell>
          <cell r="B1464" t="str">
            <v>3310</v>
          </cell>
          <cell r="C1464">
            <v>447023</v>
          </cell>
          <cell r="D1464">
            <v>41426</v>
          </cell>
          <cell r="E1464">
            <v>1950330</v>
          </cell>
          <cell r="F1464">
            <v>975165</v>
          </cell>
          <cell r="G1464">
            <v>925123</v>
          </cell>
          <cell r="H1464">
            <v>162527</v>
          </cell>
          <cell r="I1464">
            <v>141825</v>
          </cell>
        </row>
        <row r="1465">
          <cell r="A1465" t="str">
            <v>3310|448002</v>
          </cell>
          <cell r="B1465" t="str">
            <v>3310</v>
          </cell>
          <cell r="C1465">
            <v>448002</v>
          </cell>
          <cell r="D1465">
            <v>41426</v>
          </cell>
          <cell r="E1465">
            <v>0</v>
          </cell>
          <cell r="F1465">
            <v>0</v>
          </cell>
          <cell r="G1465">
            <v>9668480</v>
          </cell>
          <cell r="H1465">
            <v>0</v>
          </cell>
          <cell r="I1465">
            <v>1903500</v>
          </cell>
        </row>
        <row r="1466">
          <cell r="A1466" t="str">
            <v>3310|448003</v>
          </cell>
          <cell r="B1466" t="str">
            <v>3310</v>
          </cell>
          <cell r="C1466">
            <v>448003</v>
          </cell>
          <cell r="D1466">
            <v>41426</v>
          </cell>
          <cell r="E1466">
            <v>90022674</v>
          </cell>
          <cell r="F1466">
            <v>45011337</v>
          </cell>
          <cell r="G1466">
            <v>10803865</v>
          </cell>
          <cell r="H1466">
            <v>7501889</v>
          </cell>
          <cell r="I1466">
            <v>1383300</v>
          </cell>
        </row>
        <row r="1467">
          <cell r="A1467" t="str">
            <v>3310|449011</v>
          </cell>
          <cell r="B1467" t="str">
            <v>3310</v>
          </cell>
          <cell r="C1467">
            <v>449011</v>
          </cell>
          <cell r="D1467">
            <v>41426</v>
          </cell>
          <cell r="E1467">
            <v>75000000</v>
          </cell>
          <cell r="F1467">
            <v>37500000</v>
          </cell>
          <cell r="G1467">
            <v>0</v>
          </cell>
          <cell r="H1467">
            <v>6250000</v>
          </cell>
          <cell r="I1467">
            <v>0</v>
          </cell>
        </row>
        <row r="1468">
          <cell r="A1468" t="str">
            <v>3310|449022</v>
          </cell>
          <cell r="B1468" t="str">
            <v>3310</v>
          </cell>
          <cell r="C1468">
            <v>449022</v>
          </cell>
          <cell r="D1468">
            <v>41426</v>
          </cell>
          <cell r="E1468">
            <v>0</v>
          </cell>
          <cell r="F1468">
            <v>0</v>
          </cell>
          <cell r="G1468">
            <v>4737000</v>
          </cell>
          <cell r="H1468">
            <v>0</v>
          </cell>
          <cell r="I1468">
            <v>883000</v>
          </cell>
        </row>
        <row r="1469">
          <cell r="A1469" t="str">
            <v>3310|449023</v>
          </cell>
          <cell r="B1469" t="str">
            <v>3310</v>
          </cell>
          <cell r="C1469">
            <v>449023</v>
          </cell>
          <cell r="D1469">
            <v>41426</v>
          </cell>
          <cell r="E1469">
            <v>108108000</v>
          </cell>
          <cell r="F1469">
            <v>54054000</v>
          </cell>
          <cell r="G1469">
            <v>27317950</v>
          </cell>
          <cell r="H1469">
            <v>9009000</v>
          </cell>
          <cell r="I1469">
            <v>4458000</v>
          </cell>
        </row>
        <row r="1470">
          <cell r="A1470" t="str">
            <v>3310|449032</v>
          </cell>
          <cell r="B1470" t="str">
            <v>3310</v>
          </cell>
          <cell r="C1470">
            <v>449032</v>
          </cell>
          <cell r="D1470">
            <v>41426</v>
          </cell>
          <cell r="E1470">
            <v>20681002</v>
          </cell>
          <cell r="F1470">
            <v>10340501</v>
          </cell>
          <cell r="G1470">
            <v>12938228</v>
          </cell>
          <cell r="H1470">
            <v>1723417</v>
          </cell>
          <cell r="I1470">
            <v>0</v>
          </cell>
        </row>
        <row r="1471">
          <cell r="A1471" t="str">
            <v>3310|449040</v>
          </cell>
          <cell r="B1471" t="str">
            <v>3310</v>
          </cell>
          <cell r="C1471">
            <v>449040</v>
          </cell>
          <cell r="D1471">
            <v>41426</v>
          </cell>
          <cell r="E1471">
            <v>51522328</v>
          </cell>
          <cell r="F1471">
            <v>25761164</v>
          </cell>
          <cell r="G1471">
            <v>219733359</v>
          </cell>
          <cell r="H1471">
            <v>4293527</v>
          </cell>
          <cell r="I1471">
            <v>172400566</v>
          </cell>
        </row>
        <row r="1472">
          <cell r="A1472" t="str">
            <v>3310|449050</v>
          </cell>
          <cell r="B1472" t="str">
            <v>3310</v>
          </cell>
          <cell r="C1472">
            <v>449050</v>
          </cell>
          <cell r="D1472">
            <v>41426</v>
          </cell>
          <cell r="E1472">
            <v>526024081</v>
          </cell>
          <cell r="F1472">
            <v>263012041</v>
          </cell>
          <cell r="G1472">
            <v>218178648</v>
          </cell>
          <cell r="H1472">
            <v>43835341</v>
          </cell>
          <cell r="I1472">
            <v>37679753</v>
          </cell>
        </row>
        <row r="1473">
          <cell r="A1473" t="str">
            <v>3310|449061</v>
          </cell>
          <cell r="B1473" t="str">
            <v>3310</v>
          </cell>
          <cell r="C1473">
            <v>449061</v>
          </cell>
          <cell r="D1473">
            <v>41426</v>
          </cell>
          <cell r="E1473">
            <v>74231914</v>
          </cell>
          <cell r="F1473">
            <v>37115957</v>
          </cell>
          <cell r="G1473">
            <v>42725200</v>
          </cell>
          <cell r="H1473">
            <v>6185993</v>
          </cell>
          <cell r="I1473">
            <v>10130000</v>
          </cell>
        </row>
        <row r="1474">
          <cell r="A1474" t="str">
            <v>3310|459000</v>
          </cell>
          <cell r="B1474" t="str">
            <v>3310</v>
          </cell>
          <cell r="C1474">
            <v>459000</v>
          </cell>
          <cell r="D1474">
            <v>41426</v>
          </cell>
          <cell r="E1474">
            <v>1501017</v>
          </cell>
          <cell r="F1474">
            <v>750509</v>
          </cell>
          <cell r="G1474">
            <v>425000</v>
          </cell>
          <cell r="H1474">
            <v>125085</v>
          </cell>
          <cell r="I1474">
            <v>0</v>
          </cell>
        </row>
        <row r="1475">
          <cell r="A1475" t="str">
            <v>3310|459002</v>
          </cell>
          <cell r="B1475" t="str">
            <v>3310</v>
          </cell>
          <cell r="C1475">
            <v>459002</v>
          </cell>
          <cell r="D1475">
            <v>41426</v>
          </cell>
          <cell r="E1475">
            <v>27792672</v>
          </cell>
          <cell r="F1475">
            <v>13896336</v>
          </cell>
          <cell r="G1475">
            <v>13645269</v>
          </cell>
          <cell r="H1475">
            <v>2316056</v>
          </cell>
          <cell r="I1475">
            <v>0</v>
          </cell>
        </row>
        <row r="1476">
          <cell r="A1476" t="str">
            <v>3310|470001</v>
          </cell>
          <cell r="B1476" t="str">
            <v>3310</v>
          </cell>
          <cell r="C1476">
            <v>470001</v>
          </cell>
          <cell r="D1476">
            <v>41426</v>
          </cell>
          <cell r="E1476">
            <v>601937148</v>
          </cell>
          <cell r="F1476">
            <v>300968574</v>
          </cell>
          <cell r="G1476">
            <v>0</v>
          </cell>
          <cell r="H1476">
            <v>50161429</v>
          </cell>
          <cell r="I1476">
            <v>0</v>
          </cell>
        </row>
        <row r="1477">
          <cell r="A1477" t="str">
            <v>3310|470102</v>
          </cell>
          <cell r="B1477" t="str">
            <v>3310</v>
          </cell>
          <cell r="C1477">
            <v>470102</v>
          </cell>
          <cell r="D1477">
            <v>41426</v>
          </cell>
          <cell r="E1477">
            <v>10235002</v>
          </cell>
          <cell r="F1477">
            <v>5117501</v>
          </cell>
          <cell r="G1477">
            <v>5009642</v>
          </cell>
          <cell r="H1477">
            <v>852917</v>
          </cell>
          <cell r="I1477">
            <v>0</v>
          </cell>
        </row>
        <row r="1478">
          <cell r="A1478" t="str">
            <v>3310|471000</v>
          </cell>
          <cell r="B1478" t="str">
            <v>3310</v>
          </cell>
          <cell r="C1478">
            <v>471000</v>
          </cell>
          <cell r="D1478">
            <v>41426</v>
          </cell>
          <cell r="E1478">
            <v>25677923</v>
          </cell>
          <cell r="F1478">
            <v>12838962</v>
          </cell>
          <cell r="G1478">
            <v>10048475</v>
          </cell>
          <cell r="H1478">
            <v>2139827</v>
          </cell>
          <cell r="I1478">
            <v>2351130</v>
          </cell>
        </row>
        <row r="1479">
          <cell r="A1479" t="str">
            <v>3310|472000</v>
          </cell>
          <cell r="B1479" t="str">
            <v>3310</v>
          </cell>
          <cell r="C1479">
            <v>472000</v>
          </cell>
          <cell r="D1479">
            <v>41426</v>
          </cell>
          <cell r="E1479">
            <v>140000000</v>
          </cell>
          <cell r="F1479">
            <v>70000000</v>
          </cell>
          <cell r="G1479">
            <v>25659833</v>
          </cell>
          <cell r="H1479">
            <v>11666667</v>
          </cell>
          <cell r="I1479">
            <v>-23839952</v>
          </cell>
        </row>
        <row r="1480">
          <cell r="A1480" t="str">
            <v>3310|473120</v>
          </cell>
          <cell r="B1480" t="str">
            <v>3310</v>
          </cell>
          <cell r="C1480">
            <v>473120</v>
          </cell>
          <cell r="D1480">
            <v>41426</v>
          </cell>
          <cell r="E1480">
            <v>37843347</v>
          </cell>
          <cell r="F1480">
            <v>18921674</v>
          </cell>
          <cell r="G1480">
            <v>20253479</v>
          </cell>
          <cell r="H1480">
            <v>3153613</v>
          </cell>
          <cell r="I1480">
            <v>5020918</v>
          </cell>
        </row>
        <row r="1481">
          <cell r="A1481" t="str">
            <v>3310|474100</v>
          </cell>
          <cell r="B1481" t="str">
            <v>3310</v>
          </cell>
          <cell r="C1481">
            <v>474100</v>
          </cell>
          <cell r="D1481">
            <v>41426</v>
          </cell>
          <cell r="E1481">
            <v>69547446</v>
          </cell>
          <cell r="F1481">
            <v>34773723</v>
          </cell>
          <cell r="G1481">
            <v>32611759</v>
          </cell>
          <cell r="H1481">
            <v>5795620</v>
          </cell>
          <cell r="I1481">
            <v>-6293376</v>
          </cell>
        </row>
        <row r="1482">
          <cell r="A1482" t="str">
            <v>3310|474101</v>
          </cell>
          <cell r="B1482" t="str">
            <v>3310</v>
          </cell>
          <cell r="C1482">
            <v>474101</v>
          </cell>
          <cell r="D1482">
            <v>41426</v>
          </cell>
          <cell r="E1482">
            <v>129103531</v>
          </cell>
          <cell r="F1482">
            <v>64551766</v>
          </cell>
          <cell r="G1482">
            <v>35135356</v>
          </cell>
          <cell r="H1482">
            <v>10758628</v>
          </cell>
          <cell r="I1482">
            <v>1672135</v>
          </cell>
        </row>
        <row r="1483">
          <cell r="A1483" t="str">
            <v>3310|475002</v>
          </cell>
          <cell r="B1483" t="str">
            <v>3310</v>
          </cell>
          <cell r="C1483">
            <v>475002</v>
          </cell>
          <cell r="D1483">
            <v>41426</v>
          </cell>
          <cell r="E1483">
            <v>7454652</v>
          </cell>
          <cell r="F1483">
            <v>3727326</v>
          </cell>
          <cell r="G1483">
            <v>273918</v>
          </cell>
          <cell r="H1483">
            <v>621221</v>
          </cell>
          <cell r="I1483">
            <v>0</v>
          </cell>
        </row>
        <row r="1484">
          <cell r="A1484" t="str">
            <v>3310|475003</v>
          </cell>
          <cell r="B1484" t="str">
            <v>3310</v>
          </cell>
          <cell r="C1484">
            <v>475003</v>
          </cell>
          <cell r="D1484">
            <v>41426</v>
          </cell>
          <cell r="E1484">
            <v>7522744</v>
          </cell>
          <cell r="F1484">
            <v>3761372</v>
          </cell>
          <cell r="G1484">
            <v>7100009</v>
          </cell>
          <cell r="H1484">
            <v>626895</v>
          </cell>
          <cell r="I1484">
            <v>1330000</v>
          </cell>
        </row>
        <row r="1485">
          <cell r="A1485" t="str">
            <v>3310|475004</v>
          </cell>
          <cell r="B1485" t="str">
            <v>3310</v>
          </cell>
          <cell r="C1485">
            <v>475004</v>
          </cell>
          <cell r="D1485">
            <v>41426</v>
          </cell>
          <cell r="E1485">
            <v>44625512</v>
          </cell>
          <cell r="F1485">
            <v>22312756</v>
          </cell>
          <cell r="G1485">
            <v>23073516</v>
          </cell>
          <cell r="H1485">
            <v>3718793</v>
          </cell>
          <cell r="I1485">
            <v>3960000</v>
          </cell>
        </row>
        <row r="1486">
          <cell r="A1486" t="str">
            <v>3310|475005</v>
          </cell>
          <cell r="B1486" t="str">
            <v>3310</v>
          </cell>
          <cell r="C1486">
            <v>475005</v>
          </cell>
          <cell r="D1486">
            <v>41426</v>
          </cell>
          <cell r="E1486">
            <v>3405410</v>
          </cell>
          <cell r="F1486">
            <v>1702705</v>
          </cell>
          <cell r="G1486">
            <v>603281</v>
          </cell>
          <cell r="H1486">
            <v>283784</v>
          </cell>
          <cell r="I1486">
            <v>0</v>
          </cell>
        </row>
        <row r="1487">
          <cell r="A1487" t="str">
            <v>3310|475006</v>
          </cell>
          <cell r="B1487" t="str">
            <v>3310</v>
          </cell>
          <cell r="C1487">
            <v>475006</v>
          </cell>
          <cell r="D1487">
            <v>41426</v>
          </cell>
          <cell r="E1487">
            <v>4320111</v>
          </cell>
          <cell r="F1487">
            <v>2160056</v>
          </cell>
          <cell r="G1487">
            <v>3869539</v>
          </cell>
          <cell r="H1487">
            <v>360010</v>
          </cell>
          <cell r="I1487">
            <v>210313</v>
          </cell>
        </row>
        <row r="1488">
          <cell r="A1488" t="str">
            <v>3310|476000</v>
          </cell>
          <cell r="B1488" t="str">
            <v>3310</v>
          </cell>
          <cell r="C1488">
            <v>476000</v>
          </cell>
          <cell r="D1488">
            <v>41426</v>
          </cell>
          <cell r="E1488">
            <v>11859435</v>
          </cell>
          <cell r="F1488">
            <v>5929718</v>
          </cell>
          <cell r="G1488">
            <v>3373867</v>
          </cell>
          <cell r="H1488">
            <v>988287</v>
          </cell>
          <cell r="I1488">
            <v>71500</v>
          </cell>
        </row>
        <row r="1489">
          <cell r="A1489" t="str">
            <v>3310|476001</v>
          </cell>
          <cell r="B1489" t="str">
            <v>3310</v>
          </cell>
          <cell r="C1489">
            <v>476001</v>
          </cell>
          <cell r="D1489">
            <v>41426</v>
          </cell>
          <cell r="E1489">
            <v>14867428</v>
          </cell>
          <cell r="F1489">
            <v>7433714</v>
          </cell>
          <cell r="G1489">
            <v>14231433</v>
          </cell>
          <cell r="H1489">
            <v>1238952</v>
          </cell>
          <cell r="I1489">
            <v>0</v>
          </cell>
        </row>
        <row r="1490">
          <cell r="A1490" t="str">
            <v>3310|476002</v>
          </cell>
          <cell r="B1490" t="str">
            <v>3310</v>
          </cell>
          <cell r="C1490">
            <v>476002</v>
          </cell>
          <cell r="D1490">
            <v>41426</v>
          </cell>
          <cell r="E1490">
            <v>0</v>
          </cell>
          <cell r="F1490">
            <v>0</v>
          </cell>
          <cell r="G1490">
            <v>6965625</v>
          </cell>
          <cell r="H1490">
            <v>0</v>
          </cell>
          <cell r="I1490">
            <v>0</v>
          </cell>
        </row>
        <row r="1491">
          <cell r="A1491" t="str">
            <v>3310|476201</v>
          </cell>
          <cell r="B1491" t="str">
            <v>3310</v>
          </cell>
          <cell r="C1491">
            <v>476201</v>
          </cell>
          <cell r="D1491">
            <v>41426</v>
          </cell>
          <cell r="E1491">
            <v>6100810</v>
          </cell>
          <cell r="F1491">
            <v>3050405</v>
          </cell>
          <cell r="G1491">
            <v>-15361880</v>
          </cell>
          <cell r="H1491">
            <v>508401</v>
          </cell>
          <cell r="I1491">
            <v>0</v>
          </cell>
        </row>
        <row r="1492">
          <cell r="A1492" t="str">
            <v>3310|476220</v>
          </cell>
          <cell r="B1492" t="str">
            <v>3310</v>
          </cell>
          <cell r="C1492">
            <v>476220</v>
          </cell>
          <cell r="D1492">
            <v>41426</v>
          </cell>
          <cell r="E1492">
            <v>16090496</v>
          </cell>
          <cell r="F1492">
            <v>8045248</v>
          </cell>
          <cell r="G1492">
            <v>2402703</v>
          </cell>
          <cell r="H1492">
            <v>1340875</v>
          </cell>
          <cell r="I1492">
            <v>2053928</v>
          </cell>
        </row>
        <row r="1493">
          <cell r="A1493" t="str">
            <v>3310|476900</v>
          </cell>
          <cell r="B1493" t="str">
            <v>3310</v>
          </cell>
          <cell r="C1493">
            <v>476900</v>
          </cell>
          <cell r="D1493">
            <v>41426</v>
          </cell>
          <cell r="E1493">
            <v>11451060</v>
          </cell>
          <cell r="F1493">
            <v>5725530</v>
          </cell>
          <cell r="G1493">
            <v>10113688</v>
          </cell>
          <cell r="H1493">
            <v>954255</v>
          </cell>
          <cell r="I1493">
            <v>399000</v>
          </cell>
        </row>
        <row r="1494">
          <cell r="A1494" t="str">
            <v>3310|476910</v>
          </cell>
          <cell r="B1494" t="str">
            <v>3310</v>
          </cell>
          <cell r="C1494">
            <v>476910</v>
          </cell>
          <cell r="D1494">
            <v>41426</v>
          </cell>
          <cell r="E1494">
            <v>3126439</v>
          </cell>
          <cell r="F1494">
            <v>1563220</v>
          </cell>
          <cell r="G1494">
            <v>1262000</v>
          </cell>
          <cell r="H1494">
            <v>260537</v>
          </cell>
          <cell r="I1494">
            <v>290000</v>
          </cell>
        </row>
        <row r="1495">
          <cell r="A1495" t="str">
            <v>3310|477001</v>
          </cell>
          <cell r="B1495" t="str">
            <v>3310</v>
          </cell>
          <cell r="C1495">
            <v>477001</v>
          </cell>
          <cell r="D1495">
            <v>41426</v>
          </cell>
          <cell r="E1495">
            <v>2300000000</v>
          </cell>
          <cell r="F1495">
            <v>1150000000</v>
          </cell>
          <cell r="G1495">
            <v>467453600</v>
          </cell>
          <cell r="H1495">
            <v>191666667</v>
          </cell>
          <cell r="I1495">
            <v>316214000</v>
          </cell>
        </row>
        <row r="1496">
          <cell r="A1496" t="str">
            <v>3310|477100</v>
          </cell>
          <cell r="B1496" t="str">
            <v>3310</v>
          </cell>
          <cell r="C1496">
            <v>477100</v>
          </cell>
          <cell r="D1496">
            <v>41426</v>
          </cell>
          <cell r="E1496">
            <v>0</v>
          </cell>
          <cell r="F1496">
            <v>0</v>
          </cell>
          <cell r="G1496">
            <v>85063</v>
          </cell>
          <cell r="H1496">
            <v>0</v>
          </cell>
          <cell r="I1496">
            <v>0</v>
          </cell>
        </row>
        <row r="1497">
          <cell r="A1497" t="str">
            <v>3310|477310</v>
          </cell>
          <cell r="B1497" t="str">
            <v>3310</v>
          </cell>
          <cell r="C1497">
            <v>477310</v>
          </cell>
          <cell r="D1497">
            <v>41426</v>
          </cell>
          <cell r="E1497">
            <v>300000000</v>
          </cell>
          <cell r="F1497">
            <v>150000000</v>
          </cell>
          <cell r="G1497">
            <v>-1309981</v>
          </cell>
          <cell r="H1497">
            <v>25000000</v>
          </cell>
          <cell r="I1497">
            <v>-1679081</v>
          </cell>
        </row>
        <row r="1498">
          <cell r="A1498" t="str">
            <v>3310|477450</v>
          </cell>
          <cell r="B1498" t="str">
            <v>3310</v>
          </cell>
          <cell r="C1498">
            <v>477450</v>
          </cell>
          <cell r="D1498">
            <v>41426</v>
          </cell>
          <cell r="E1498">
            <v>1350000000</v>
          </cell>
          <cell r="F1498">
            <v>675000000</v>
          </cell>
          <cell r="G1498">
            <v>1503458664</v>
          </cell>
          <cell r="H1498">
            <v>112500000</v>
          </cell>
          <cell r="I1498">
            <v>110046853</v>
          </cell>
        </row>
        <row r="1499">
          <cell r="A1499" t="str">
            <v>3320|405300</v>
          </cell>
          <cell r="B1499" t="str">
            <v>3320</v>
          </cell>
          <cell r="C1499">
            <v>405300</v>
          </cell>
          <cell r="D1499">
            <v>41426</v>
          </cell>
          <cell r="E1499">
            <v>200000000</v>
          </cell>
          <cell r="F1499">
            <v>100000000</v>
          </cell>
          <cell r="G1499">
            <v>0</v>
          </cell>
          <cell r="H1499">
            <v>16666667</v>
          </cell>
          <cell r="I1499">
            <v>0</v>
          </cell>
        </row>
        <row r="1500">
          <cell r="A1500" t="str">
            <v>3400|211100</v>
          </cell>
          <cell r="B1500" t="str">
            <v>3400</v>
          </cell>
          <cell r="C1500">
            <v>211100</v>
          </cell>
          <cell r="D1500">
            <v>41426</v>
          </cell>
          <cell r="E1500">
            <v>576807057</v>
          </cell>
          <cell r="F1500">
            <v>288403529</v>
          </cell>
          <cell r="G1500">
            <v>116428448</v>
          </cell>
          <cell r="H1500">
            <v>48067255</v>
          </cell>
          <cell r="I1500">
            <v>20158004</v>
          </cell>
        </row>
        <row r="1501">
          <cell r="A1501" t="str">
            <v>3400|246000</v>
          </cell>
          <cell r="B1501" t="str">
            <v>3400</v>
          </cell>
          <cell r="C1501">
            <v>246000</v>
          </cell>
          <cell r="D1501">
            <v>41426</v>
          </cell>
          <cell r="E1501">
            <v>120099472</v>
          </cell>
          <cell r="F1501">
            <v>60049736</v>
          </cell>
          <cell r="G1501">
            <v>0</v>
          </cell>
          <cell r="H1501">
            <v>10008289</v>
          </cell>
          <cell r="I1501">
            <v>0</v>
          </cell>
        </row>
        <row r="1502">
          <cell r="A1502" t="str">
            <v>3400|405200</v>
          </cell>
          <cell r="B1502" t="str">
            <v>3400</v>
          </cell>
          <cell r="C1502">
            <v>405200</v>
          </cell>
          <cell r="D1502">
            <v>41426</v>
          </cell>
          <cell r="E1502">
            <v>6228036</v>
          </cell>
          <cell r="F1502">
            <v>3114018</v>
          </cell>
          <cell r="G1502">
            <v>3658000</v>
          </cell>
          <cell r="H1502">
            <v>519003</v>
          </cell>
          <cell r="I1502">
            <v>0</v>
          </cell>
        </row>
        <row r="1503">
          <cell r="A1503" t="str">
            <v>3400|416103</v>
          </cell>
          <cell r="B1503" t="str">
            <v>3400</v>
          </cell>
          <cell r="C1503">
            <v>416103</v>
          </cell>
          <cell r="D1503">
            <v>41426</v>
          </cell>
          <cell r="E1503">
            <v>468846587</v>
          </cell>
          <cell r="F1503">
            <v>234423294</v>
          </cell>
          <cell r="G1503">
            <v>262566584</v>
          </cell>
          <cell r="H1503">
            <v>39070549</v>
          </cell>
          <cell r="I1503">
            <v>46951804</v>
          </cell>
        </row>
        <row r="1504">
          <cell r="A1504" t="str">
            <v>3400|420002</v>
          </cell>
          <cell r="B1504" t="str">
            <v>3400</v>
          </cell>
          <cell r="C1504">
            <v>420002</v>
          </cell>
          <cell r="D1504">
            <v>41426</v>
          </cell>
          <cell r="E1504">
            <v>235823659</v>
          </cell>
          <cell r="F1504">
            <v>117911830</v>
          </cell>
          <cell r="G1504">
            <v>22902000</v>
          </cell>
          <cell r="H1504">
            <v>19651972</v>
          </cell>
          <cell r="I1504">
            <v>0</v>
          </cell>
        </row>
        <row r="1505">
          <cell r="A1505" t="str">
            <v>3400|420003</v>
          </cell>
          <cell r="B1505" t="str">
            <v>3400</v>
          </cell>
          <cell r="C1505">
            <v>420003</v>
          </cell>
          <cell r="D1505">
            <v>41426</v>
          </cell>
          <cell r="E1505">
            <v>1027636734</v>
          </cell>
          <cell r="F1505">
            <v>513818367</v>
          </cell>
          <cell r="G1505">
            <v>560674308</v>
          </cell>
          <cell r="H1505">
            <v>85636394</v>
          </cell>
          <cell r="I1505">
            <v>93659150</v>
          </cell>
        </row>
        <row r="1506">
          <cell r="A1506" t="str">
            <v>3400|422003</v>
          </cell>
          <cell r="B1506" t="str">
            <v>3400</v>
          </cell>
          <cell r="C1506">
            <v>422003</v>
          </cell>
          <cell r="D1506">
            <v>41426</v>
          </cell>
          <cell r="E1506">
            <v>1554614569</v>
          </cell>
          <cell r="F1506">
            <v>777307285</v>
          </cell>
          <cell r="G1506">
            <v>832752440</v>
          </cell>
          <cell r="H1506">
            <v>129551215</v>
          </cell>
          <cell r="I1506">
            <v>112739647</v>
          </cell>
        </row>
        <row r="1507">
          <cell r="A1507" t="str">
            <v>3400|431002</v>
          </cell>
          <cell r="B1507" t="str">
            <v>3400</v>
          </cell>
          <cell r="C1507">
            <v>431002</v>
          </cell>
          <cell r="D1507">
            <v>41426</v>
          </cell>
          <cell r="E1507">
            <v>1883813</v>
          </cell>
          <cell r="F1507">
            <v>941907</v>
          </cell>
          <cell r="G1507">
            <v>0</v>
          </cell>
          <cell r="H1507">
            <v>156985</v>
          </cell>
          <cell r="I1507">
            <v>0</v>
          </cell>
        </row>
        <row r="1508">
          <cell r="A1508" t="str">
            <v>3400|434012</v>
          </cell>
          <cell r="B1508" t="str">
            <v>3400</v>
          </cell>
          <cell r="C1508">
            <v>434012</v>
          </cell>
          <cell r="D1508">
            <v>41426</v>
          </cell>
          <cell r="E1508">
            <v>0</v>
          </cell>
          <cell r="F1508">
            <v>0</v>
          </cell>
          <cell r="G1508">
            <v>655909</v>
          </cell>
          <cell r="H1508">
            <v>0</v>
          </cell>
          <cell r="I1508">
            <v>0</v>
          </cell>
        </row>
        <row r="1509">
          <cell r="A1509" t="str">
            <v>3400|434013</v>
          </cell>
          <cell r="B1509" t="str">
            <v>3400</v>
          </cell>
          <cell r="C1509">
            <v>434013</v>
          </cell>
          <cell r="D1509">
            <v>41426</v>
          </cell>
          <cell r="E1509">
            <v>0</v>
          </cell>
          <cell r="F1509">
            <v>0</v>
          </cell>
          <cell r="G1509">
            <v>3750402</v>
          </cell>
          <cell r="H1509">
            <v>0</v>
          </cell>
          <cell r="I1509">
            <v>600488</v>
          </cell>
        </row>
        <row r="1510">
          <cell r="A1510" t="str">
            <v>3400|435002</v>
          </cell>
          <cell r="B1510" t="str">
            <v>3400</v>
          </cell>
          <cell r="C1510">
            <v>435002</v>
          </cell>
          <cell r="D1510">
            <v>41426</v>
          </cell>
          <cell r="E1510">
            <v>68132375</v>
          </cell>
          <cell r="F1510">
            <v>34066188</v>
          </cell>
          <cell r="G1510">
            <v>6415000</v>
          </cell>
          <cell r="H1510">
            <v>5677698</v>
          </cell>
          <cell r="I1510">
            <v>0</v>
          </cell>
        </row>
        <row r="1511">
          <cell r="A1511" t="str">
            <v>3400|435003</v>
          </cell>
          <cell r="B1511" t="str">
            <v>3400</v>
          </cell>
          <cell r="C1511">
            <v>435003</v>
          </cell>
          <cell r="D1511">
            <v>41426</v>
          </cell>
          <cell r="E1511">
            <v>599703931</v>
          </cell>
          <cell r="F1511">
            <v>299851966</v>
          </cell>
          <cell r="G1511">
            <v>19740000</v>
          </cell>
          <cell r="H1511">
            <v>49975328</v>
          </cell>
          <cell r="I1511">
            <v>0</v>
          </cell>
        </row>
        <row r="1512">
          <cell r="A1512" t="str">
            <v>3400|439003</v>
          </cell>
          <cell r="B1512" t="str">
            <v>3400</v>
          </cell>
          <cell r="C1512">
            <v>439003</v>
          </cell>
          <cell r="D1512">
            <v>41426</v>
          </cell>
          <cell r="E1512">
            <v>39449879</v>
          </cell>
          <cell r="F1512">
            <v>19724940</v>
          </cell>
          <cell r="G1512">
            <v>20073108</v>
          </cell>
          <cell r="H1512">
            <v>3287490</v>
          </cell>
          <cell r="I1512">
            <v>3222605</v>
          </cell>
        </row>
        <row r="1513">
          <cell r="A1513" t="str">
            <v>3400|439006</v>
          </cell>
          <cell r="B1513" t="str">
            <v>3400</v>
          </cell>
          <cell r="C1513">
            <v>439006</v>
          </cell>
          <cell r="D1513">
            <v>41426</v>
          </cell>
          <cell r="E1513">
            <v>107671723</v>
          </cell>
          <cell r="F1513">
            <v>53835862</v>
          </cell>
          <cell r="G1513">
            <v>98008137</v>
          </cell>
          <cell r="H1513">
            <v>8972644</v>
          </cell>
          <cell r="I1513">
            <v>0</v>
          </cell>
        </row>
        <row r="1514">
          <cell r="A1514" t="str">
            <v>3400|439008</v>
          </cell>
          <cell r="B1514" t="str">
            <v>3400</v>
          </cell>
          <cell r="C1514">
            <v>439008</v>
          </cell>
          <cell r="D1514">
            <v>41426</v>
          </cell>
          <cell r="E1514">
            <v>82110313</v>
          </cell>
          <cell r="F1514">
            <v>41055157</v>
          </cell>
          <cell r="G1514">
            <v>6324024</v>
          </cell>
          <cell r="H1514">
            <v>6842527</v>
          </cell>
          <cell r="I1514">
            <v>0</v>
          </cell>
        </row>
        <row r="1515">
          <cell r="A1515" t="str">
            <v>3400|439202</v>
          </cell>
          <cell r="B1515" t="str">
            <v>3400</v>
          </cell>
          <cell r="C1515">
            <v>439202</v>
          </cell>
          <cell r="D1515">
            <v>41426</v>
          </cell>
          <cell r="E1515">
            <v>5760000</v>
          </cell>
          <cell r="F1515">
            <v>2880000</v>
          </cell>
          <cell r="G1515">
            <v>2025000</v>
          </cell>
          <cell r="H1515">
            <v>480000</v>
          </cell>
          <cell r="I1515">
            <v>0</v>
          </cell>
        </row>
        <row r="1516">
          <cell r="A1516" t="str">
            <v>3400|439203</v>
          </cell>
          <cell r="B1516" t="str">
            <v>3400</v>
          </cell>
          <cell r="C1516">
            <v>439203</v>
          </cell>
          <cell r="D1516">
            <v>41426</v>
          </cell>
          <cell r="E1516">
            <v>5760000</v>
          </cell>
          <cell r="F1516">
            <v>2880000</v>
          </cell>
          <cell r="G1516">
            <v>2925000</v>
          </cell>
          <cell r="H1516">
            <v>480000</v>
          </cell>
          <cell r="I1516">
            <v>400000</v>
          </cell>
        </row>
        <row r="1517">
          <cell r="A1517" t="str">
            <v>3400|440002</v>
          </cell>
          <cell r="B1517" t="str">
            <v>3400</v>
          </cell>
          <cell r="C1517">
            <v>440002</v>
          </cell>
          <cell r="D1517">
            <v>41426</v>
          </cell>
          <cell r="E1517">
            <v>33235305</v>
          </cell>
          <cell r="F1517">
            <v>16617653</v>
          </cell>
          <cell r="G1517">
            <v>2566372</v>
          </cell>
          <cell r="H1517">
            <v>2769609</v>
          </cell>
          <cell r="I1517">
            <v>0</v>
          </cell>
        </row>
        <row r="1518">
          <cell r="A1518" t="str">
            <v>3400|440003</v>
          </cell>
          <cell r="B1518" t="str">
            <v>3400</v>
          </cell>
          <cell r="C1518">
            <v>440003</v>
          </cell>
          <cell r="D1518">
            <v>41426</v>
          </cell>
          <cell r="E1518">
            <v>12242225</v>
          </cell>
          <cell r="F1518">
            <v>6121113</v>
          </cell>
          <cell r="G1518">
            <v>6894237</v>
          </cell>
          <cell r="H1518">
            <v>1020186</v>
          </cell>
          <cell r="I1518">
            <v>1417877</v>
          </cell>
        </row>
        <row r="1519">
          <cell r="A1519" t="str">
            <v>3400|446002</v>
          </cell>
          <cell r="B1519" t="str">
            <v>3400</v>
          </cell>
          <cell r="C1519">
            <v>446002</v>
          </cell>
          <cell r="D1519">
            <v>41426</v>
          </cell>
          <cell r="E1519">
            <v>16617652</v>
          </cell>
          <cell r="F1519">
            <v>8308826</v>
          </cell>
          <cell r="G1519">
            <v>0</v>
          </cell>
          <cell r="H1519">
            <v>1384804</v>
          </cell>
          <cell r="I1519">
            <v>0</v>
          </cell>
        </row>
        <row r="1520">
          <cell r="A1520" t="str">
            <v>3400|447002</v>
          </cell>
          <cell r="B1520" t="str">
            <v>3400</v>
          </cell>
          <cell r="C1520">
            <v>447002</v>
          </cell>
          <cell r="D1520">
            <v>41426</v>
          </cell>
          <cell r="E1520">
            <v>6261531</v>
          </cell>
          <cell r="F1520">
            <v>3130766</v>
          </cell>
          <cell r="G1520">
            <v>123672</v>
          </cell>
          <cell r="H1520">
            <v>521795</v>
          </cell>
          <cell r="I1520">
            <v>0</v>
          </cell>
        </row>
        <row r="1521">
          <cell r="A1521" t="str">
            <v>3400|447003</v>
          </cell>
          <cell r="B1521" t="str">
            <v>3400</v>
          </cell>
          <cell r="C1521">
            <v>447003</v>
          </cell>
          <cell r="D1521">
            <v>41426</v>
          </cell>
          <cell r="E1521">
            <v>2306058</v>
          </cell>
          <cell r="F1521">
            <v>1153029</v>
          </cell>
          <cell r="G1521">
            <v>277362</v>
          </cell>
          <cell r="H1521">
            <v>192171</v>
          </cell>
          <cell r="I1521">
            <v>46227</v>
          </cell>
        </row>
        <row r="1522">
          <cell r="A1522" t="str">
            <v>3400|447012</v>
          </cell>
          <cell r="B1522" t="str">
            <v>3400</v>
          </cell>
          <cell r="C1522">
            <v>447012</v>
          </cell>
          <cell r="D1522">
            <v>41426</v>
          </cell>
          <cell r="E1522">
            <v>14756475</v>
          </cell>
          <cell r="F1522">
            <v>7378238</v>
          </cell>
          <cell r="G1522">
            <v>847376</v>
          </cell>
          <cell r="H1522">
            <v>1229707</v>
          </cell>
          <cell r="I1522">
            <v>0</v>
          </cell>
        </row>
        <row r="1523">
          <cell r="A1523" t="str">
            <v>3400|447013</v>
          </cell>
          <cell r="B1523" t="str">
            <v>3400</v>
          </cell>
          <cell r="C1523">
            <v>447013</v>
          </cell>
          <cell r="D1523">
            <v>41426</v>
          </cell>
          <cell r="E1523">
            <v>5435548</v>
          </cell>
          <cell r="F1523">
            <v>2717774</v>
          </cell>
          <cell r="G1523">
            <v>1900434</v>
          </cell>
          <cell r="H1523">
            <v>452962</v>
          </cell>
          <cell r="I1523">
            <v>316739</v>
          </cell>
        </row>
        <row r="1524">
          <cell r="A1524" t="str">
            <v>3400|447022</v>
          </cell>
          <cell r="B1524" t="str">
            <v>3400</v>
          </cell>
          <cell r="C1524">
            <v>447022</v>
          </cell>
          <cell r="D1524">
            <v>41426</v>
          </cell>
          <cell r="E1524">
            <v>626153</v>
          </cell>
          <cell r="F1524">
            <v>313077</v>
          </cell>
          <cell r="G1524">
            <v>6154</v>
          </cell>
          <cell r="H1524">
            <v>52180</v>
          </cell>
          <cell r="I1524">
            <v>0</v>
          </cell>
        </row>
        <row r="1525">
          <cell r="A1525" t="str">
            <v>3400|447023</v>
          </cell>
          <cell r="B1525" t="str">
            <v>3400</v>
          </cell>
          <cell r="C1525">
            <v>447023</v>
          </cell>
          <cell r="D1525">
            <v>41426</v>
          </cell>
          <cell r="E1525">
            <v>190842</v>
          </cell>
          <cell r="F1525">
            <v>95421</v>
          </cell>
          <cell r="G1525">
            <v>46124</v>
          </cell>
          <cell r="H1525">
            <v>15903</v>
          </cell>
          <cell r="I1525">
            <v>7725</v>
          </cell>
        </row>
        <row r="1526">
          <cell r="A1526" t="str">
            <v>3400|448002</v>
          </cell>
          <cell r="B1526" t="str">
            <v>3400</v>
          </cell>
          <cell r="C1526">
            <v>448002</v>
          </cell>
          <cell r="D1526">
            <v>41426</v>
          </cell>
          <cell r="E1526">
            <v>29838954</v>
          </cell>
          <cell r="F1526">
            <v>14919477</v>
          </cell>
          <cell r="G1526">
            <v>3145025</v>
          </cell>
          <cell r="H1526">
            <v>2486579</v>
          </cell>
          <cell r="I1526">
            <v>793000</v>
          </cell>
        </row>
        <row r="1527">
          <cell r="A1527" t="str">
            <v>3400|448003</v>
          </cell>
          <cell r="B1527" t="str">
            <v>3400</v>
          </cell>
          <cell r="C1527">
            <v>448003</v>
          </cell>
          <cell r="D1527">
            <v>41426</v>
          </cell>
          <cell r="E1527">
            <v>9322276</v>
          </cell>
          <cell r="F1527">
            <v>4661138</v>
          </cell>
          <cell r="G1527">
            <v>1301195</v>
          </cell>
          <cell r="H1527">
            <v>776856</v>
          </cell>
          <cell r="I1527">
            <v>697000</v>
          </cell>
        </row>
        <row r="1528">
          <cell r="A1528" t="str">
            <v>3400|449004</v>
          </cell>
          <cell r="B1528" t="str">
            <v>3400</v>
          </cell>
          <cell r="C1528">
            <v>449004</v>
          </cell>
          <cell r="D1528">
            <v>41426</v>
          </cell>
          <cell r="E1528">
            <v>1404000</v>
          </cell>
          <cell r="F1528">
            <v>702000</v>
          </cell>
          <cell r="G1528">
            <v>0</v>
          </cell>
          <cell r="H1528">
            <v>117000</v>
          </cell>
          <cell r="I1528">
            <v>0</v>
          </cell>
        </row>
        <row r="1529">
          <cell r="A1529" t="str">
            <v>3400|449011</v>
          </cell>
          <cell r="B1529" t="str">
            <v>3400</v>
          </cell>
          <cell r="C1529">
            <v>449011</v>
          </cell>
          <cell r="D1529">
            <v>41426</v>
          </cell>
          <cell r="E1529">
            <v>75000000</v>
          </cell>
          <cell r="F1529">
            <v>37500000</v>
          </cell>
          <cell r="G1529">
            <v>36399135</v>
          </cell>
          <cell r="H1529">
            <v>6250000</v>
          </cell>
          <cell r="I1529">
            <v>36399135</v>
          </cell>
        </row>
        <row r="1530">
          <cell r="A1530" t="str">
            <v>3400|449022</v>
          </cell>
          <cell r="B1530" t="str">
            <v>3400</v>
          </cell>
          <cell r="C1530">
            <v>449022</v>
          </cell>
          <cell r="D1530">
            <v>41426</v>
          </cell>
          <cell r="E1530">
            <v>19800000</v>
          </cell>
          <cell r="F1530">
            <v>9900000</v>
          </cell>
          <cell r="G1530">
            <v>1539000</v>
          </cell>
          <cell r="H1530">
            <v>1650000</v>
          </cell>
          <cell r="I1530">
            <v>0</v>
          </cell>
        </row>
        <row r="1531">
          <cell r="A1531" t="str">
            <v>3400|449023</v>
          </cell>
          <cell r="B1531" t="str">
            <v>3400</v>
          </cell>
          <cell r="C1531">
            <v>449023</v>
          </cell>
          <cell r="D1531">
            <v>41426</v>
          </cell>
          <cell r="E1531">
            <v>3960000</v>
          </cell>
          <cell r="F1531">
            <v>1980000</v>
          </cell>
          <cell r="G1531">
            <v>1989000</v>
          </cell>
          <cell r="H1531">
            <v>330000</v>
          </cell>
          <cell r="I1531">
            <v>272000</v>
          </cell>
        </row>
        <row r="1532">
          <cell r="A1532" t="str">
            <v>3400|449032</v>
          </cell>
          <cell r="B1532" t="str">
            <v>3400</v>
          </cell>
          <cell r="C1532">
            <v>449032</v>
          </cell>
          <cell r="D1532">
            <v>41426</v>
          </cell>
          <cell r="E1532">
            <v>47774500</v>
          </cell>
          <cell r="F1532">
            <v>23887250</v>
          </cell>
          <cell r="G1532">
            <v>11000000</v>
          </cell>
          <cell r="H1532">
            <v>3981208</v>
          </cell>
          <cell r="I1532">
            <v>0</v>
          </cell>
        </row>
        <row r="1533">
          <cell r="A1533" t="str">
            <v>3400|449040</v>
          </cell>
          <cell r="B1533" t="str">
            <v>3400</v>
          </cell>
          <cell r="C1533">
            <v>449040</v>
          </cell>
          <cell r="D1533">
            <v>41426</v>
          </cell>
          <cell r="E1533">
            <v>24718413</v>
          </cell>
          <cell r="F1533">
            <v>12359207</v>
          </cell>
          <cell r="G1533">
            <v>70847455</v>
          </cell>
          <cell r="H1533">
            <v>2059868</v>
          </cell>
          <cell r="I1533">
            <v>30997331</v>
          </cell>
        </row>
        <row r="1534">
          <cell r="A1534" t="str">
            <v>3400|449050</v>
          </cell>
          <cell r="B1534" t="str">
            <v>3400</v>
          </cell>
          <cell r="C1534">
            <v>449050</v>
          </cell>
          <cell r="D1534">
            <v>41426</v>
          </cell>
          <cell r="E1534">
            <v>287194500</v>
          </cell>
          <cell r="F1534">
            <v>143597250</v>
          </cell>
          <cell r="G1534">
            <v>69954098</v>
          </cell>
          <cell r="H1534">
            <v>23932875</v>
          </cell>
          <cell r="I1534">
            <v>8830157</v>
          </cell>
        </row>
        <row r="1535">
          <cell r="A1535" t="str">
            <v>3400|449060</v>
          </cell>
          <cell r="B1535" t="str">
            <v>3400</v>
          </cell>
          <cell r="C1535">
            <v>449060</v>
          </cell>
          <cell r="D1535">
            <v>41426</v>
          </cell>
          <cell r="E1535">
            <v>73084</v>
          </cell>
          <cell r="F1535">
            <v>36542</v>
          </cell>
          <cell r="G1535">
            <v>0</v>
          </cell>
          <cell r="H1535">
            <v>6090</v>
          </cell>
          <cell r="I1535">
            <v>0</v>
          </cell>
        </row>
        <row r="1536">
          <cell r="A1536" t="str">
            <v>3400|449061</v>
          </cell>
          <cell r="B1536" t="str">
            <v>3400</v>
          </cell>
          <cell r="C1536">
            <v>449061</v>
          </cell>
          <cell r="D1536">
            <v>41426</v>
          </cell>
          <cell r="E1536">
            <v>9800410</v>
          </cell>
          <cell r="F1536">
            <v>4900205</v>
          </cell>
          <cell r="G1536">
            <v>4597050</v>
          </cell>
          <cell r="H1536">
            <v>816701</v>
          </cell>
          <cell r="I1536">
            <v>695200</v>
          </cell>
        </row>
        <row r="1537">
          <cell r="A1537" t="str">
            <v>3400|451000</v>
          </cell>
          <cell r="B1537" t="str">
            <v>3400</v>
          </cell>
          <cell r="C1537">
            <v>451000</v>
          </cell>
          <cell r="D1537">
            <v>41426</v>
          </cell>
          <cell r="E1537">
            <v>33518700</v>
          </cell>
          <cell r="F1537">
            <v>16759350</v>
          </cell>
          <cell r="G1537">
            <v>1232500</v>
          </cell>
          <cell r="H1537">
            <v>2793225</v>
          </cell>
          <cell r="I1537">
            <v>84500</v>
          </cell>
        </row>
        <row r="1538">
          <cell r="A1538" t="str">
            <v>3400|465001</v>
          </cell>
          <cell r="B1538" t="str">
            <v>3400</v>
          </cell>
          <cell r="C1538">
            <v>465001</v>
          </cell>
          <cell r="D1538">
            <v>41426</v>
          </cell>
          <cell r="E1538">
            <v>3504600</v>
          </cell>
          <cell r="F1538">
            <v>1752300</v>
          </cell>
          <cell r="G1538">
            <v>0</v>
          </cell>
          <cell r="H1538">
            <v>292050</v>
          </cell>
          <cell r="I1538">
            <v>0</v>
          </cell>
        </row>
        <row r="1539">
          <cell r="A1539" t="str">
            <v>3400|470001</v>
          </cell>
          <cell r="B1539" t="str">
            <v>3400</v>
          </cell>
          <cell r="C1539">
            <v>470001</v>
          </cell>
          <cell r="D1539">
            <v>41426</v>
          </cell>
          <cell r="E1539">
            <v>375104880</v>
          </cell>
          <cell r="F1539">
            <v>187552440</v>
          </cell>
          <cell r="G1539">
            <v>187552440</v>
          </cell>
          <cell r="H1539">
            <v>31258740</v>
          </cell>
          <cell r="I1539">
            <v>31258740</v>
          </cell>
        </row>
        <row r="1540">
          <cell r="A1540" t="str">
            <v>3400|470102</v>
          </cell>
          <cell r="B1540" t="str">
            <v>3400</v>
          </cell>
          <cell r="C1540">
            <v>470102</v>
          </cell>
          <cell r="D1540">
            <v>41426</v>
          </cell>
          <cell r="E1540">
            <v>2684191</v>
          </cell>
          <cell r="F1540">
            <v>1342096</v>
          </cell>
          <cell r="G1540">
            <v>1221000</v>
          </cell>
          <cell r="H1540">
            <v>223683</v>
          </cell>
          <cell r="I1540">
            <v>390000</v>
          </cell>
        </row>
        <row r="1541">
          <cell r="A1541" t="str">
            <v>3400|472000</v>
          </cell>
          <cell r="B1541" t="str">
            <v>3400</v>
          </cell>
          <cell r="C1541">
            <v>472000</v>
          </cell>
          <cell r="D1541">
            <v>41426</v>
          </cell>
          <cell r="E1541">
            <v>2029655</v>
          </cell>
          <cell r="F1541">
            <v>1014828</v>
          </cell>
          <cell r="G1541">
            <v>187650</v>
          </cell>
          <cell r="H1541">
            <v>169138</v>
          </cell>
          <cell r="I1541">
            <v>0</v>
          </cell>
        </row>
        <row r="1542">
          <cell r="A1542" t="str">
            <v>3400|473000</v>
          </cell>
          <cell r="B1542" t="str">
            <v>3400</v>
          </cell>
          <cell r="C1542">
            <v>473000</v>
          </cell>
          <cell r="D1542">
            <v>41426</v>
          </cell>
          <cell r="E1542">
            <v>45653</v>
          </cell>
          <cell r="F1542">
            <v>22827</v>
          </cell>
          <cell r="G1542">
            <v>96000</v>
          </cell>
          <cell r="H1542">
            <v>3805</v>
          </cell>
          <cell r="I1542">
            <v>66000</v>
          </cell>
        </row>
        <row r="1543">
          <cell r="A1543" t="str">
            <v>3400|473120</v>
          </cell>
          <cell r="B1543" t="str">
            <v>3400</v>
          </cell>
          <cell r="C1543">
            <v>473120</v>
          </cell>
          <cell r="D1543">
            <v>41426</v>
          </cell>
          <cell r="E1543">
            <v>19566244</v>
          </cell>
          <cell r="F1543">
            <v>9783122</v>
          </cell>
          <cell r="G1543">
            <v>7732494</v>
          </cell>
          <cell r="H1543">
            <v>1630520</v>
          </cell>
          <cell r="I1543">
            <v>1206767</v>
          </cell>
        </row>
        <row r="1544">
          <cell r="A1544" t="str">
            <v>3400|474100</v>
          </cell>
          <cell r="B1544" t="str">
            <v>3400</v>
          </cell>
          <cell r="C1544">
            <v>474100</v>
          </cell>
          <cell r="D1544">
            <v>41426</v>
          </cell>
          <cell r="E1544">
            <v>215603400</v>
          </cell>
          <cell r="F1544">
            <v>107801700</v>
          </cell>
          <cell r="G1544">
            <v>36786158</v>
          </cell>
          <cell r="H1544">
            <v>17966950</v>
          </cell>
          <cell r="I1544">
            <v>28956738</v>
          </cell>
        </row>
        <row r="1545">
          <cell r="A1545" t="str">
            <v>3400|474101</v>
          </cell>
          <cell r="B1545" t="str">
            <v>3400</v>
          </cell>
          <cell r="C1545">
            <v>474101</v>
          </cell>
          <cell r="D1545">
            <v>41426</v>
          </cell>
          <cell r="E1545">
            <v>30004224</v>
          </cell>
          <cell r="F1545">
            <v>15002112</v>
          </cell>
          <cell r="G1545">
            <v>14935510</v>
          </cell>
          <cell r="H1545">
            <v>2500352</v>
          </cell>
          <cell r="I1545">
            <v>0</v>
          </cell>
        </row>
        <row r="1546">
          <cell r="A1546" t="str">
            <v>3400|475003</v>
          </cell>
          <cell r="B1546" t="str">
            <v>3400</v>
          </cell>
          <cell r="C1546">
            <v>475003</v>
          </cell>
          <cell r="D1546">
            <v>41426</v>
          </cell>
          <cell r="E1546">
            <v>4784900</v>
          </cell>
          <cell r="F1546">
            <v>2392450</v>
          </cell>
          <cell r="G1546">
            <v>2165000</v>
          </cell>
          <cell r="H1546">
            <v>398742</v>
          </cell>
          <cell r="I1546">
            <v>150000</v>
          </cell>
        </row>
        <row r="1547">
          <cell r="A1547" t="str">
            <v>3400|475004</v>
          </cell>
          <cell r="B1547" t="str">
            <v>3400</v>
          </cell>
          <cell r="C1547">
            <v>475004</v>
          </cell>
          <cell r="D1547">
            <v>41426</v>
          </cell>
          <cell r="E1547">
            <v>38089731</v>
          </cell>
          <cell r="F1547">
            <v>19044866</v>
          </cell>
          <cell r="G1547">
            <v>19326950</v>
          </cell>
          <cell r="H1547">
            <v>3174145</v>
          </cell>
          <cell r="I1547">
            <v>2200000</v>
          </cell>
        </row>
        <row r="1548">
          <cell r="A1548" t="str">
            <v>3400|475006</v>
          </cell>
          <cell r="B1548" t="str">
            <v>3400</v>
          </cell>
          <cell r="C1548">
            <v>475006</v>
          </cell>
          <cell r="D1548">
            <v>41426</v>
          </cell>
          <cell r="E1548">
            <v>6343424</v>
          </cell>
          <cell r="F1548">
            <v>3171712</v>
          </cell>
          <cell r="G1548">
            <v>3414086</v>
          </cell>
          <cell r="H1548">
            <v>528619</v>
          </cell>
          <cell r="I1548">
            <v>569015</v>
          </cell>
        </row>
        <row r="1549">
          <cell r="A1549" t="str">
            <v>3400|476000</v>
          </cell>
          <cell r="B1549" t="str">
            <v>3400</v>
          </cell>
          <cell r="C1549">
            <v>476000</v>
          </cell>
          <cell r="D1549">
            <v>41426</v>
          </cell>
          <cell r="E1549">
            <v>34171500</v>
          </cell>
          <cell r="F1549">
            <v>17085750</v>
          </cell>
          <cell r="G1549">
            <v>13435721</v>
          </cell>
          <cell r="H1549">
            <v>2847625</v>
          </cell>
          <cell r="I1549">
            <v>2235797</v>
          </cell>
        </row>
        <row r="1550">
          <cell r="A1550" t="str">
            <v>3400|476001</v>
          </cell>
          <cell r="B1550" t="str">
            <v>3400</v>
          </cell>
          <cell r="C1550">
            <v>476001</v>
          </cell>
          <cell r="D1550">
            <v>41426</v>
          </cell>
          <cell r="E1550">
            <v>2431601</v>
          </cell>
          <cell r="F1550">
            <v>1215801</v>
          </cell>
          <cell r="G1550">
            <v>0</v>
          </cell>
          <cell r="H1550">
            <v>202634</v>
          </cell>
          <cell r="I1550">
            <v>0</v>
          </cell>
        </row>
        <row r="1551">
          <cell r="A1551" t="str">
            <v>3400|476002</v>
          </cell>
          <cell r="B1551" t="str">
            <v>3400</v>
          </cell>
          <cell r="C1551">
            <v>476002</v>
          </cell>
          <cell r="D1551">
            <v>41426</v>
          </cell>
          <cell r="E1551">
            <v>309802</v>
          </cell>
          <cell r="F1551">
            <v>154901</v>
          </cell>
          <cell r="G1551">
            <v>4517605</v>
          </cell>
          <cell r="H1551">
            <v>25817</v>
          </cell>
          <cell r="I1551">
            <v>0</v>
          </cell>
        </row>
        <row r="1552">
          <cell r="A1552" t="str">
            <v>3400|476220</v>
          </cell>
          <cell r="B1552" t="str">
            <v>3400</v>
          </cell>
          <cell r="C1552">
            <v>476220</v>
          </cell>
          <cell r="D1552">
            <v>41426</v>
          </cell>
          <cell r="E1552">
            <v>52651707</v>
          </cell>
          <cell r="F1552">
            <v>26325854</v>
          </cell>
          <cell r="G1552">
            <v>39224092</v>
          </cell>
          <cell r="H1552">
            <v>4387643</v>
          </cell>
          <cell r="I1552">
            <v>5943356</v>
          </cell>
        </row>
        <row r="1553">
          <cell r="A1553" t="str">
            <v>3400|476900</v>
          </cell>
          <cell r="B1553" t="str">
            <v>3400</v>
          </cell>
          <cell r="C1553">
            <v>476900</v>
          </cell>
          <cell r="D1553">
            <v>41426</v>
          </cell>
          <cell r="E1553">
            <v>14933509</v>
          </cell>
          <cell r="F1553">
            <v>7466755</v>
          </cell>
          <cell r="G1553">
            <v>9240775</v>
          </cell>
          <cell r="H1553">
            <v>1244460</v>
          </cell>
          <cell r="I1553">
            <v>3601000</v>
          </cell>
        </row>
        <row r="1554">
          <cell r="A1554" t="str">
            <v>3400|476910</v>
          </cell>
          <cell r="B1554" t="str">
            <v>3400</v>
          </cell>
          <cell r="C1554">
            <v>476910</v>
          </cell>
          <cell r="D1554">
            <v>41426</v>
          </cell>
          <cell r="E1554">
            <v>13192402</v>
          </cell>
          <cell r="F1554">
            <v>6596201</v>
          </cell>
          <cell r="G1554">
            <v>0</v>
          </cell>
          <cell r="H1554">
            <v>1099367</v>
          </cell>
          <cell r="I1554">
            <v>0</v>
          </cell>
        </row>
        <row r="1555">
          <cell r="A1555" t="str">
            <v>3400|477001</v>
          </cell>
          <cell r="B1555" t="str">
            <v>3400</v>
          </cell>
          <cell r="C1555">
            <v>477001</v>
          </cell>
          <cell r="D1555">
            <v>41426</v>
          </cell>
          <cell r="E1555">
            <v>265750000</v>
          </cell>
          <cell r="F1555">
            <v>132875000</v>
          </cell>
          <cell r="G1555">
            <v>-2848933</v>
          </cell>
          <cell r="H1555">
            <v>22145833</v>
          </cell>
          <cell r="I1555">
            <v>-2500000</v>
          </cell>
        </row>
        <row r="1556">
          <cell r="A1556" t="str">
            <v>3400|477100</v>
          </cell>
          <cell r="B1556" t="str">
            <v>3400</v>
          </cell>
          <cell r="C1556">
            <v>477100</v>
          </cell>
          <cell r="D1556">
            <v>41426</v>
          </cell>
          <cell r="E1556">
            <v>6180000</v>
          </cell>
          <cell r="F1556">
            <v>3090000</v>
          </cell>
          <cell r="G1556">
            <v>0</v>
          </cell>
          <cell r="H1556">
            <v>515000</v>
          </cell>
          <cell r="I1556">
            <v>0</v>
          </cell>
        </row>
        <row r="1557">
          <cell r="A1557" t="str">
            <v>3400|477300</v>
          </cell>
          <cell r="B1557" t="str">
            <v>3400</v>
          </cell>
          <cell r="C1557">
            <v>477300</v>
          </cell>
          <cell r="D1557">
            <v>41426</v>
          </cell>
          <cell r="E1557">
            <v>17550000</v>
          </cell>
          <cell r="F1557">
            <v>8775000</v>
          </cell>
          <cell r="G1557">
            <v>-220000</v>
          </cell>
          <cell r="H1557">
            <v>1462500</v>
          </cell>
          <cell r="I1557">
            <v>-3660000</v>
          </cell>
        </row>
        <row r="1558">
          <cell r="A1558" t="str">
            <v>3400|477450</v>
          </cell>
          <cell r="B1558" t="str">
            <v>3400</v>
          </cell>
          <cell r="C1558">
            <v>477450</v>
          </cell>
          <cell r="D1558">
            <v>41426</v>
          </cell>
          <cell r="E1558">
            <v>5520000</v>
          </cell>
          <cell r="F1558">
            <v>2760000</v>
          </cell>
          <cell r="G1558">
            <v>0</v>
          </cell>
          <cell r="H1558">
            <v>460000</v>
          </cell>
          <cell r="I1558">
            <v>0</v>
          </cell>
        </row>
        <row r="1559">
          <cell r="A1559" t="str">
            <v>3410|211100</v>
          </cell>
          <cell r="B1559" t="str">
            <v>3410</v>
          </cell>
          <cell r="C1559">
            <v>211100</v>
          </cell>
          <cell r="D1559">
            <v>41426</v>
          </cell>
          <cell r="E1559">
            <v>545926774</v>
          </cell>
          <cell r="F1559">
            <v>272963387</v>
          </cell>
          <cell r="G1559">
            <v>135944925</v>
          </cell>
          <cell r="H1559">
            <v>45493898</v>
          </cell>
          <cell r="I1559">
            <v>21797482</v>
          </cell>
        </row>
        <row r="1560">
          <cell r="A1560" t="str">
            <v>3410|246000</v>
          </cell>
          <cell r="B1560" t="str">
            <v>3410</v>
          </cell>
          <cell r="C1560">
            <v>246000</v>
          </cell>
          <cell r="D1560">
            <v>41426</v>
          </cell>
          <cell r="E1560">
            <v>100000</v>
          </cell>
          <cell r="F1560">
            <v>50000</v>
          </cell>
          <cell r="G1560">
            <v>0</v>
          </cell>
          <cell r="H1560">
            <v>8333</v>
          </cell>
          <cell r="I1560">
            <v>0</v>
          </cell>
        </row>
        <row r="1561">
          <cell r="A1561" t="str">
            <v>3410|405200</v>
          </cell>
          <cell r="B1561" t="str">
            <v>3410</v>
          </cell>
          <cell r="C1561">
            <v>405200</v>
          </cell>
          <cell r="D1561">
            <v>41426</v>
          </cell>
          <cell r="E1561">
            <v>27000000</v>
          </cell>
          <cell r="F1561">
            <v>13500000</v>
          </cell>
          <cell r="G1561">
            <v>4070000</v>
          </cell>
          <cell r="H1561">
            <v>2250000</v>
          </cell>
          <cell r="I1561">
            <v>0</v>
          </cell>
        </row>
        <row r="1562">
          <cell r="A1562" t="str">
            <v>3410|405250</v>
          </cell>
          <cell r="B1562" t="str">
            <v>3410</v>
          </cell>
          <cell r="C1562">
            <v>405250</v>
          </cell>
          <cell r="D1562">
            <v>41426</v>
          </cell>
          <cell r="E1562">
            <v>630000</v>
          </cell>
          <cell r="F1562">
            <v>315000</v>
          </cell>
          <cell r="G1562">
            <v>921060</v>
          </cell>
          <cell r="H1562">
            <v>52500</v>
          </cell>
          <cell r="I1562">
            <v>301000</v>
          </cell>
        </row>
        <row r="1563">
          <cell r="A1563" t="str">
            <v>3410|420002</v>
          </cell>
          <cell r="B1563" t="str">
            <v>3410</v>
          </cell>
          <cell r="C1563">
            <v>420002</v>
          </cell>
          <cell r="D1563">
            <v>41426</v>
          </cell>
          <cell r="E1563">
            <v>398823659</v>
          </cell>
          <cell r="F1563">
            <v>199411830</v>
          </cell>
          <cell r="G1563">
            <v>174264000</v>
          </cell>
          <cell r="H1563">
            <v>33235305</v>
          </cell>
          <cell r="I1563">
            <v>32820000</v>
          </cell>
        </row>
        <row r="1564">
          <cell r="A1564" t="str">
            <v>3410|420003</v>
          </cell>
          <cell r="B1564" t="str">
            <v>3410</v>
          </cell>
          <cell r="C1564">
            <v>420003</v>
          </cell>
          <cell r="D1564">
            <v>41426</v>
          </cell>
          <cell r="E1564">
            <v>549334080</v>
          </cell>
          <cell r="F1564">
            <v>274667040</v>
          </cell>
          <cell r="G1564">
            <v>141576257</v>
          </cell>
          <cell r="H1564">
            <v>45777840</v>
          </cell>
          <cell r="I1564">
            <v>23859755</v>
          </cell>
        </row>
        <row r="1565">
          <cell r="A1565" t="str">
            <v>3410|422002</v>
          </cell>
          <cell r="B1565" t="str">
            <v>3410</v>
          </cell>
          <cell r="C1565">
            <v>422002</v>
          </cell>
          <cell r="D1565">
            <v>41426</v>
          </cell>
          <cell r="E1565">
            <v>13155030</v>
          </cell>
          <cell r="F1565">
            <v>6577515</v>
          </cell>
          <cell r="G1565">
            <v>6688700</v>
          </cell>
          <cell r="H1565">
            <v>1096252</v>
          </cell>
          <cell r="I1565">
            <v>1000000</v>
          </cell>
        </row>
        <row r="1566">
          <cell r="A1566" t="str">
            <v>3410|422003</v>
          </cell>
          <cell r="B1566" t="str">
            <v>3410</v>
          </cell>
          <cell r="C1566">
            <v>422003</v>
          </cell>
          <cell r="D1566">
            <v>41426</v>
          </cell>
          <cell r="E1566">
            <v>785970</v>
          </cell>
          <cell r="F1566">
            <v>392985</v>
          </cell>
          <cell r="G1566">
            <v>318300</v>
          </cell>
          <cell r="H1566">
            <v>65497</v>
          </cell>
          <cell r="I1566">
            <v>0</v>
          </cell>
        </row>
        <row r="1567">
          <cell r="A1567" t="str">
            <v>3410|431002</v>
          </cell>
          <cell r="B1567" t="str">
            <v>3410</v>
          </cell>
          <cell r="C1567">
            <v>431002</v>
          </cell>
          <cell r="D1567">
            <v>41426</v>
          </cell>
          <cell r="E1567">
            <v>12898716</v>
          </cell>
          <cell r="F1567">
            <v>6449358</v>
          </cell>
          <cell r="G1567">
            <v>31200678</v>
          </cell>
          <cell r="H1567">
            <v>1074893</v>
          </cell>
          <cell r="I1567">
            <v>0</v>
          </cell>
        </row>
        <row r="1568">
          <cell r="A1568" t="str">
            <v>3410|433002</v>
          </cell>
          <cell r="B1568" t="str">
            <v>3410</v>
          </cell>
          <cell r="C1568">
            <v>433002</v>
          </cell>
          <cell r="D1568">
            <v>41426</v>
          </cell>
          <cell r="E1568">
            <v>9332319</v>
          </cell>
          <cell r="F1568">
            <v>4666160</v>
          </cell>
          <cell r="G1568">
            <v>4748400</v>
          </cell>
          <cell r="H1568">
            <v>777694</v>
          </cell>
          <cell r="I1568">
            <v>791400</v>
          </cell>
        </row>
        <row r="1569">
          <cell r="A1569" t="str">
            <v>3410|434012</v>
          </cell>
          <cell r="B1569" t="str">
            <v>3410</v>
          </cell>
          <cell r="C1569">
            <v>434012</v>
          </cell>
          <cell r="D1569">
            <v>41426</v>
          </cell>
          <cell r="E1569">
            <v>0</v>
          </cell>
          <cell r="F1569">
            <v>0</v>
          </cell>
          <cell r="G1569">
            <v>4280095</v>
          </cell>
          <cell r="H1569">
            <v>0</v>
          </cell>
          <cell r="I1569">
            <v>831241</v>
          </cell>
        </row>
        <row r="1570">
          <cell r="A1570" t="str">
            <v>3410|434013</v>
          </cell>
          <cell r="B1570" t="str">
            <v>3410</v>
          </cell>
          <cell r="C1570">
            <v>434013</v>
          </cell>
          <cell r="D1570">
            <v>41426</v>
          </cell>
          <cell r="E1570">
            <v>0</v>
          </cell>
          <cell r="F1570">
            <v>0</v>
          </cell>
          <cell r="G1570">
            <v>7500804</v>
          </cell>
          <cell r="H1570">
            <v>0</v>
          </cell>
          <cell r="I1570">
            <v>1200976</v>
          </cell>
        </row>
        <row r="1571">
          <cell r="A1571" t="str">
            <v>3410|435002</v>
          </cell>
          <cell r="B1571" t="str">
            <v>3410</v>
          </cell>
          <cell r="C1571">
            <v>435002</v>
          </cell>
          <cell r="D1571">
            <v>41426</v>
          </cell>
          <cell r="E1571">
            <v>68132375</v>
          </cell>
          <cell r="F1571">
            <v>34066188</v>
          </cell>
          <cell r="G1571">
            <v>27063000</v>
          </cell>
          <cell r="H1571">
            <v>5677698</v>
          </cell>
          <cell r="I1571">
            <v>0</v>
          </cell>
        </row>
        <row r="1572">
          <cell r="A1572" t="str">
            <v>3410|435003</v>
          </cell>
          <cell r="B1572" t="str">
            <v>3410</v>
          </cell>
          <cell r="C1572">
            <v>435003</v>
          </cell>
          <cell r="D1572">
            <v>41426</v>
          </cell>
          <cell r="E1572">
            <v>68666760</v>
          </cell>
          <cell r="F1572">
            <v>34333380</v>
          </cell>
          <cell r="G1572">
            <v>99298147</v>
          </cell>
          <cell r="H1572">
            <v>5722230</v>
          </cell>
          <cell r="I1572">
            <v>16678668</v>
          </cell>
        </row>
        <row r="1573">
          <cell r="A1573" t="str">
            <v>3410|439003</v>
          </cell>
          <cell r="B1573" t="str">
            <v>3410</v>
          </cell>
          <cell r="C1573">
            <v>439003</v>
          </cell>
          <cell r="D1573">
            <v>41426</v>
          </cell>
          <cell r="E1573">
            <v>118349638</v>
          </cell>
          <cell r="F1573">
            <v>59174819</v>
          </cell>
          <cell r="G1573">
            <v>40146216</v>
          </cell>
          <cell r="H1573">
            <v>9862470</v>
          </cell>
          <cell r="I1573">
            <v>6445211</v>
          </cell>
        </row>
        <row r="1574">
          <cell r="A1574" t="str">
            <v>3410|439008</v>
          </cell>
          <cell r="B1574" t="str">
            <v>3410</v>
          </cell>
          <cell r="C1574">
            <v>439008</v>
          </cell>
          <cell r="D1574">
            <v>41426</v>
          </cell>
          <cell r="E1574">
            <v>82110313</v>
          </cell>
          <cell r="F1574">
            <v>41055157</v>
          </cell>
          <cell r="G1574">
            <v>41220731</v>
          </cell>
          <cell r="H1574">
            <v>6842527</v>
          </cell>
          <cell r="I1574">
            <v>7991271</v>
          </cell>
        </row>
        <row r="1575">
          <cell r="A1575" t="str">
            <v>3410|439202</v>
          </cell>
          <cell r="B1575" t="str">
            <v>3410</v>
          </cell>
          <cell r="C1575">
            <v>439202</v>
          </cell>
          <cell r="D1575">
            <v>41426</v>
          </cell>
          <cell r="E1575">
            <v>28800000</v>
          </cell>
          <cell r="F1575">
            <v>14400000</v>
          </cell>
          <cell r="G1575">
            <v>13050000</v>
          </cell>
          <cell r="H1575">
            <v>2400000</v>
          </cell>
          <cell r="I1575">
            <v>2450000</v>
          </cell>
        </row>
        <row r="1576">
          <cell r="A1576" t="str">
            <v>3410|439203</v>
          </cell>
          <cell r="B1576" t="str">
            <v>3410</v>
          </cell>
          <cell r="C1576">
            <v>439203</v>
          </cell>
          <cell r="D1576">
            <v>41426</v>
          </cell>
          <cell r="E1576">
            <v>15280000</v>
          </cell>
          <cell r="F1576">
            <v>7640000</v>
          </cell>
          <cell r="G1576">
            <v>5925000</v>
          </cell>
          <cell r="H1576">
            <v>1273333</v>
          </cell>
          <cell r="I1576">
            <v>1000000</v>
          </cell>
        </row>
        <row r="1577">
          <cell r="A1577" t="str">
            <v>3410|440002</v>
          </cell>
          <cell r="B1577" t="str">
            <v>3410</v>
          </cell>
          <cell r="C1577">
            <v>440002</v>
          </cell>
          <cell r="D1577">
            <v>41426</v>
          </cell>
          <cell r="E1577">
            <v>33235305</v>
          </cell>
          <cell r="F1577">
            <v>16617653</v>
          </cell>
          <cell r="G1577">
            <v>15089872</v>
          </cell>
          <cell r="H1577">
            <v>2769609</v>
          </cell>
          <cell r="I1577">
            <v>1988095</v>
          </cell>
        </row>
        <row r="1578">
          <cell r="A1578" t="str">
            <v>3410|440003</v>
          </cell>
          <cell r="B1578" t="str">
            <v>3410</v>
          </cell>
          <cell r="C1578">
            <v>440003</v>
          </cell>
          <cell r="D1578">
            <v>41426</v>
          </cell>
          <cell r="E1578">
            <v>45777840</v>
          </cell>
          <cell r="F1578">
            <v>22888920</v>
          </cell>
          <cell r="G1578">
            <v>31831724</v>
          </cell>
          <cell r="H1578">
            <v>3814820</v>
          </cell>
          <cell r="I1578">
            <v>15462004</v>
          </cell>
        </row>
        <row r="1579">
          <cell r="A1579" t="str">
            <v>3410|446002</v>
          </cell>
          <cell r="B1579" t="str">
            <v>3410</v>
          </cell>
          <cell r="C1579">
            <v>446002</v>
          </cell>
          <cell r="D1579">
            <v>41426</v>
          </cell>
          <cell r="E1579">
            <v>16617652</v>
          </cell>
          <cell r="F1579">
            <v>8308826</v>
          </cell>
          <cell r="G1579">
            <v>3300000</v>
          </cell>
          <cell r="H1579">
            <v>1384804</v>
          </cell>
          <cell r="I1579">
            <v>550000</v>
          </cell>
        </row>
        <row r="1580">
          <cell r="A1580" t="str">
            <v>3410|447002</v>
          </cell>
          <cell r="B1580" t="str">
            <v>3410</v>
          </cell>
          <cell r="C1580">
            <v>447002</v>
          </cell>
          <cell r="D1580">
            <v>41426</v>
          </cell>
          <cell r="E1580">
            <v>6261531</v>
          </cell>
          <cell r="F1580">
            <v>3130766</v>
          </cell>
          <cell r="G1580">
            <v>941030</v>
          </cell>
          <cell r="H1580">
            <v>521795</v>
          </cell>
          <cell r="I1580">
            <v>177229</v>
          </cell>
        </row>
        <row r="1581">
          <cell r="A1581" t="str">
            <v>3410|447003</v>
          </cell>
          <cell r="B1581" t="str">
            <v>3410</v>
          </cell>
          <cell r="C1581">
            <v>447003</v>
          </cell>
          <cell r="D1581">
            <v>41426</v>
          </cell>
          <cell r="E1581">
            <v>8624358</v>
          </cell>
          <cell r="F1581">
            <v>4312179</v>
          </cell>
          <cell r="G1581">
            <v>1148877</v>
          </cell>
          <cell r="H1581">
            <v>718696</v>
          </cell>
          <cell r="I1581">
            <v>149351</v>
          </cell>
        </row>
        <row r="1582">
          <cell r="A1582" t="str">
            <v>3410|447012</v>
          </cell>
          <cell r="B1582" t="str">
            <v>3410</v>
          </cell>
          <cell r="C1582">
            <v>447012</v>
          </cell>
          <cell r="D1582">
            <v>41426</v>
          </cell>
          <cell r="E1582">
            <v>14756475</v>
          </cell>
          <cell r="F1582">
            <v>7378238</v>
          </cell>
          <cell r="G1582">
            <v>6447768</v>
          </cell>
          <cell r="H1582">
            <v>1229707</v>
          </cell>
          <cell r="I1582">
            <v>1214340</v>
          </cell>
        </row>
        <row r="1583">
          <cell r="A1583" t="str">
            <v>3410|447013</v>
          </cell>
          <cell r="B1583" t="str">
            <v>3410</v>
          </cell>
          <cell r="C1583">
            <v>447013</v>
          </cell>
          <cell r="D1583">
            <v>41426</v>
          </cell>
          <cell r="E1583">
            <v>20325361</v>
          </cell>
          <cell r="F1583">
            <v>10162681</v>
          </cell>
          <cell r="G1583">
            <v>6735672</v>
          </cell>
          <cell r="H1583">
            <v>1693781</v>
          </cell>
          <cell r="I1583">
            <v>1023328</v>
          </cell>
        </row>
        <row r="1584">
          <cell r="A1584" t="str">
            <v>3410|447022</v>
          </cell>
          <cell r="B1584" t="str">
            <v>3410</v>
          </cell>
          <cell r="C1584">
            <v>447022</v>
          </cell>
          <cell r="D1584">
            <v>41426</v>
          </cell>
          <cell r="E1584">
            <v>626153</v>
          </cell>
          <cell r="F1584">
            <v>313077</v>
          </cell>
          <cell r="G1584">
            <v>119680</v>
          </cell>
          <cell r="H1584">
            <v>52180</v>
          </cell>
          <cell r="I1584">
            <v>23075</v>
          </cell>
        </row>
        <row r="1585">
          <cell r="A1585" t="str">
            <v>3410|447023</v>
          </cell>
          <cell r="B1585" t="str">
            <v>3410</v>
          </cell>
          <cell r="C1585">
            <v>447023</v>
          </cell>
          <cell r="D1585">
            <v>41426</v>
          </cell>
          <cell r="E1585">
            <v>713724</v>
          </cell>
          <cell r="F1585">
            <v>356862</v>
          </cell>
          <cell r="G1585">
            <v>143327</v>
          </cell>
          <cell r="H1585">
            <v>59477</v>
          </cell>
          <cell r="I1585">
            <v>12000</v>
          </cell>
        </row>
        <row r="1586">
          <cell r="A1586" t="str">
            <v>3410|448002</v>
          </cell>
          <cell r="B1586" t="str">
            <v>3410</v>
          </cell>
          <cell r="C1586">
            <v>448002</v>
          </cell>
          <cell r="D1586">
            <v>41426</v>
          </cell>
          <cell r="E1586">
            <v>29838954</v>
          </cell>
          <cell r="F1586">
            <v>14919477</v>
          </cell>
          <cell r="G1586">
            <v>97616440</v>
          </cell>
          <cell r="H1586">
            <v>2486579</v>
          </cell>
          <cell r="I1586">
            <v>7062900</v>
          </cell>
        </row>
        <row r="1587">
          <cell r="A1587" t="str">
            <v>3410|448003</v>
          </cell>
          <cell r="B1587" t="str">
            <v>3410</v>
          </cell>
          <cell r="C1587">
            <v>448003</v>
          </cell>
          <cell r="D1587">
            <v>41426</v>
          </cell>
          <cell r="E1587">
            <v>33114983</v>
          </cell>
          <cell r="F1587">
            <v>16557492</v>
          </cell>
          <cell r="G1587">
            <v>1804005</v>
          </cell>
          <cell r="H1587">
            <v>2759582</v>
          </cell>
          <cell r="I1587">
            <v>0</v>
          </cell>
        </row>
        <row r="1588">
          <cell r="A1588" t="str">
            <v>3410|449004</v>
          </cell>
          <cell r="B1588" t="str">
            <v>3410</v>
          </cell>
          <cell r="C1588">
            <v>449004</v>
          </cell>
          <cell r="D1588">
            <v>41426</v>
          </cell>
          <cell r="E1588">
            <v>12000000</v>
          </cell>
          <cell r="F1588">
            <v>6000000</v>
          </cell>
          <cell r="G1588">
            <v>10070458</v>
          </cell>
          <cell r="H1588">
            <v>1000000</v>
          </cell>
          <cell r="I1588">
            <v>0</v>
          </cell>
        </row>
        <row r="1589">
          <cell r="A1589" t="str">
            <v>3410|449022</v>
          </cell>
          <cell r="B1589" t="str">
            <v>3410</v>
          </cell>
          <cell r="C1589">
            <v>449022</v>
          </cell>
          <cell r="D1589">
            <v>41426</v>
          </cell>
          <cell r="E1589">
            <v>19800000</v>
          </cell>
          <cell r="F1589">
            <v>9900000</v>
          </cell>
          <cell r="G1589">
            <v>7687500</v>
          </cell>
          <cell r="H1589">
            <v>1650000</v>
          </cell>
          <cell r="I1589">
            <v>1459000</v>
          </cell>
        </row>
        <row r="1590">
          <cell r="A1590" t="str">
            <v>3410|449023</v>
          </cell>
          <cell r="B1590" t="str">
            <v>3410</v>
          </cell>
          <cell r="C1590">
            <v>449023</v>
          </cell>
          <cell r="D1590">
            <v>41426</v>
          </cell>
          <cell r="E1590">
            <v>37356000</v>
          </cell>
          <cell r="F1590">
            <v>18678000</v>
          </cell>
          <cell r="G1590">
            <v>5345609</v>
          </cell>
          <cell r="H1590">
            <v>3113000</v>
          </cell>
          <cell r="I1590">
            <v>750000</v>
          </cell>
        </row>
        <row r="1591">
          <cell r="A1591" t="str">
            <v>3410|449032</v>
          </cell>
          <cell r="B1591" t="str">
            <v>3410</v>
          </cell>
          <cell r="C1591">
            <v>449032</v>
          </cell>
          <cell r="D1591">
            <v>41426</v>
          </cell>
          <cell r="E1591">
            <v>10265329</v>
          </cell>
          <cell r="F1591">
            <v>5132665</v>
          </cell>
          <cell r="G1591">
            <v>1000000</v>
          </cell>
          <cell r="H1591">
            <v>855445</v>
          </cell>
          <cell r="I1591">
            <v>0</v>
          </cell>
        </row>
        <row r="1592">
          <cell r="A1592" t="str">
            <v>3410|449050</v>
          </cell>
          <cell r="B1592" t="str">
            <v>3410</v>
          </cell>
          <cell r="C1592">
            <v>449050</v>
          </cell>
          <cell r="D1592">
            <v>41426</v>
          </cell>
          <cell r="E1592">
            <v>7400001</v>
          </cell>
          <cell r="F1592">
            <v>3700001</v>
          </cell>
          <cell r="G1592">
            <v>2466667</v>
          </cell>
          <cell r="H1592">
            <v>616667</v>
          </cell>
          <cell r="I1592">
            <v>0</v>
          </cell>
        </row>
        <row r="1593">
          <cell r="A1593" t="str">
            <v>3410|449061</v>
          </cell>
          <cell r="B1593" t="str">
            <v>3410</v>
          </cell>
          <cell r="C1593">
            <v>449061</v>
          </cell>
          <cell r="D1593">
            <v>41426</v>
          </cell>
          <cell r="E1593">
            <v>14698100</v>
          </cell>
          <cell r="F1593">
            <v>7349050</v>
          </cell>
          <cell r="G1593">
            <v>4169200</v>
          </cell>
          <cell r="H1593">
            <v>1224841</v>
          </cell>
          <cell r="I1593">
            <v>872500</v>
          </cell>
        </row>
        <row r="1594">
          <cell r="A1594" t="str">
            <v>3410|451000</v>
          </cell>
          <cell r="B1594" t="str">
            <v>3410</v>
          </cell>
          <cell r="C1594">
            <v>451000</v>
          </cell>
          <cell r="D1594">
            <v>41426</v>
          </cell>
          <cell r="E1594">
            <v>100000</v>
          </cell>
          <cell r="F1594">
            <v>50000</v>
          </cell>
          <cell r="G1594">
            <v>0</v>
          </cell>
          <cell r="H1594">
            <v>8333</v>
          </cell>
          <cell r="I1594">
            <v>0</v>
          </cell>
        </row>
        <row r="1595">
          <cell r="A1595" t="str">
            <v>3410|455002</v>
          </cell>
          <cell r="B1595" t="str">
            <v>3410</v>
          </cell>
          <cell r="C1595">
            <v>455002</v>
          </cell>
          <cell r="D1595">
            <v>41426</v>
          </cell>
          <cell r="E1595">
            <v>4000000</v>
          </cell>
          <cell r="F1595">
            <v>2000000</v>
          </cell>
          <cell r="G1595">
            <v>0</v>
          </cell>
          <cell r="H1595">
            <v>333333</v>
          </cell>
          <cell r="I1595">
            <v>0</v>
          </cell>
        </row>
        <row r="1596">
          <cell r="A1596" t="str">
            <v>3410|459000</v>
          </cell>
          <cell r="B1596" t="str">
            <v>3410</v>
          </cell>
          <cell r="C1596">
            <v>459000</v>
          </cell>
          <cell r="D1596">
            <v>41426</v>
          </cell>
          <cell r="E1596">
            <v>2598651</v>
          </cell>
          <cell r="F1596">
            <v>1299326</v>
          </cell>
          <cell r="G1596">
            <v>1330000</v>
          </cell>
          <cell r="H1596">
            <v>216555</v>
          </cell>
          <cell r="I1596">
            <v>30000</v>
          </cell>
        </row>
        <row r="1597">
          <cell r="A1597" t="str">
            <v>3410|471000</v>
          </cell>
          <cell r="B1597" t="str">
            <v>3410</v>
          </cell>
          <cell r="C1597">
            <v>471000</v>
          </cell>
          <cell r="D1597">
            <v>41426</v>
          </cell>
          <cell r="E1597">
            <v>20202715</v>
          </cell>
          <cell r="F1597">
            <v>10101358</v>
          </cell>
          <cell r="G1597">
            <v>4504099</v>
          </cell>
          <cell r="H1597">
            <v>1683560</v>
          </cell>
          <cell r="I1597">
            <v>0</v>
          </cell>
        </row>
        <row r="1598">
          <cell r="A1598" t="str">
            <v>3410|472000</v>
          </cell>
          <cell r="B1598" t="str">
            <v>3410</v>
          </cell>
          <cell r="C1598">
            <v>472000</v>
          </cell>
          <cell r="D1598">
            <v>41426</v>
          </cell>
          <cell r="E1598">
            <v>6500000</v>
          </cell>
          <cell r="F1598">
            <v>3250000</v>
          </cell>
          <cell r="G1598">
            <v>-106944509</v>
          </cell>
          <cell r="H1598">
            <v>541667</v>
          </cell>
          <cell r="I1598">
            <v>-2814857</v>
          </cell>
        </row>
        <row r="1599">
          <cell r="A1599" t="str">
            <v>3410|473120</v>
          </cell>
          <cell r="B1599" t="str">
            <v>3410</v>
          </cell>
          <cell r="C1599">
            <v>473120</v>
          </cell>
          <cell r="D1599">
            <v>41426</v>
          </cell>
          <cell r="E1599">
            <v>14324898</v>
          </cell>
          <cell r="F1599">
            <v>7162449</v>
          </cell>
          <cell r="G1599">
            <v>10355044</v>
          </cell>
          <cell r="H1599">
            <v>1193741</v>
          </cell>
          <cell r="I1599">
            <v>1847323</v>
          </cell>
        </row>
        <row r="1600">
          <cell r="A1600" t="str">
            <v>3410|474100</v>
          </cell>
          <cell r="B1600" t="str">
            <v>3410</v>
          </cell>
          <cell r="C1600">
            <v>474100</v>
          </cell>
          <cell r="D1600">
            <v>41426</v>
          </cell>
          <cell r="E1600">
            <v>26385218</v>
          </cell>
          <cell r="F1600">
            <v>13192609</v>
          </cell>
          <cell r="G1600">
            <v>15959727</v>
          </cell>
          <cell r="H1600">
            <v>2198768</v>
          </cell>
          <cell r="I1600">
            <v>0</v>
          </cell>
        </row>
        <row r="1601">
          <cell r="A1601" t="str">
            <v>3410|474101</v>
          </cell>
          <cell r="B1601" t="str">
            <v>3410</v>
          </cell>
          <cell r="C1601">
            <v>474101</v>
          </cell>
          <cell r="D1601">
            <v>41426</v>
          </cell>
          <cell r="E1601">
            <v>72016000</v>
          </cell>
          <cell r="F1601">
            <v>36008000</v>
          </cell>
          <cell r="G1601">
            <v>8409180</v>
          </cell>
          <cell r="H1601">
            <v>6001333</v>
          </cell>
          <cell r="I1601">
            <v>4987632</v>
          </cell>
        </row>
        <row r="1602">
          <cell r="A1602" t="str">
            <v>3410|475000</v>
          </cell>
          <cell r="B1602" t="str">
            <v>3410</v>
          </cell>
          <cell r="C1602">
            <v>475000</v>
          </cell>
          <cell r="D1602">
            <v>41426</v>
          </cell>
          <cell r="E1602">
            <v>603628</v>
          </cell>
          <cell r="F1602">
            <v>301814</v>
          </cell>
          <cell r="G1602">
            <v>1264336</v>
          </cell>
          <cell r="H1602">
            <v>50302</v>
          </cell>
          <cell r="I1602">
            <v>0</v>
          </cell>
        </row>
        <row r="1603">
          <cell r="A1603" t="str">
            <v>3410|475001</v>
          </cell>
          <cell r="B1603" t="str">
            <v>3410</v>
          </cell>
          <cell r="C1603">
            <v>475001</v>
          </cell>
          <cell r="D1603">
            <v>41426</v>
          </cell>
          <cell r="E1603">
            <v>6000000</v>
          </cell>
          <cell r="F1603">
            <v>3000000</v>
          </cell>
          <cell r="G1603">
            <v>3243000</v>
          </cell>
          <cell r="H1603">
            <v>500000</v>
          </cell>
          <cell r="I1603">
            <v>0</v>
          </cell>
        </row>
        <row r="1604">
          <cell r="A1604" t="str">
            <v>3410|475003</v>
          </cell>
          <cell r="B1604" t="str">
            <v>3410</v>
          </cell>
          <cell r="C1604">
            <v>475003</v>
          </cell>
          <cell r="D1604">
            <v>41426</v>
          </cell>
          <cell r="E1604">
            <v>7867500</v>
          </cell>
          <cell r="F1604">
            <v>3933750</v>
          </cell>
          <cell r="G1604">
            <v>4753545</v>
          </cell>
          <cell r="H1604">
            <v>655626</v>
          </cell>
          <cell r="I1604">
            <v>150000</v>
          </cell>
        </row>
        <row r="1605">
          <cell r="A1605" t="str">
            <v>3410|475006</v>
          </cell>
          <cell r="B1605" t="str">
            <v>3410</v>
          </cell>
          <cell r="C1605">
            <v>475006</v>
          </cell>
          <cell r="D1605">
            <v>41426</v>
          </cell>
          <cell r="E1605">
            <v>5017979</v>
          </cell>
          <cell r="F1605">
            <v>2508990</v>
          </cell>
          <cell r="G1605">
            <v>1614617</v>
          </cell>
          <cell r="H1605">
            <v>418165</v>
          </cell>
          <cell r="I1605">
            <v>214438</v>
          </cell>
        </row>
        <row r="1606">
          <cell r="A1606" t="str">
            <v>3410|476000</v>
          </cell>
          <cell r="B1606" t="str">
            <v>3410</v>
          </cell>
          <cell r="C1606">
            <v>476000</v>
          </cell>
          <cell r="D1606">
            <v>41426</v>
          </cell>
          <cell r="E1606">
            <v>21188080</v>
          </cell>
          <cell r="F1606">
            <v>10594040</v>
          </cell>
          <cell r="G1606">
            <v>6835727</v>
          </cell>
          <cell r="H1606">
            <v>1765673</v>
          </cell>
          <cell r="I1606">
            <v>1691350</v>
          </cell>
        </row>
        <row r="1607">
          <cell r="A1607" t="str">
            <v>3410|476001</v>
          </cell>
          <cell r="B1607" t="str">
            <v>3410</v>
          </cell>
          <cell r="C1607">
            <v>476001</v>
          </cell>
          <cell r="D1607">
            <v>41426</v>
          </cell>
          <cell r="E1607">
            <v>4410965</v>
          </cell>
          <cell r="F1607">
            <v>2205483</v>
          </cell>
          <cell r="G1607">
            <v>-30000</v>
          </cell>
          <cell r="H1607">
            <v>367581</v>
          </cell>
          <cell r="I1607">
            <v>0</v>
          </cell>
        </row>
        <row r="1608">
          <cell r="A1608" t="str">
            <v>3410|476002</v>
          </cell>
          <cell r="B1608" t="str">
            <v>3410</v>
          </cell>
          <cell r="C1608">
            <v>476002</v>
          </cell>
          <cell r="D1608">
            <v>41426</v>
          </cell>
          <cell r="E1608">
            <v>109779</v>
          </cell>
          <cell r="F1608">
            <v>54890</v>
          </cell>
          <cell r="G1608">
            <v>1633870</v>
          </cell>
          <cell r="H1608">
            <v>9149</v>
          </cell>
          <cell r="I1608">
            <v>0</v>
          </cell>
        </row>
        <row r="1609">
          <cell r="A1609" t="str">
            <v>3410|476900</v>
          </cell>
          <cell r="B1609" t="str">
            <v>3410</v>
          </cell>
          <cell r="C1609">
            <v>476900</v>
          </cell>
          <cell r="D1609">
            <v>41426</v>
          </cell>
          <cell r="E1609">
            <v>3200000</v>
          </cell>
          <cell r="F1609">
            <v>1600000</v>
          </cell>
          <cell r="G1609">
            <v>336785</v>
          </cell>
          <cell r="H1609">
            <v>266667</v>
          </cell>
          <cell r="I1609">
            <v>118085</v>
          </cell>
        </row>
        <row r="1610">
          <cell r="A1610" t="str">
            <v>3410|477310</v>
          </cell>
          <cell r="B1610" t="str">
            <v>3410</v>
          </cell>
          <cell r="C1610">
            <v>477310</v>
          </cell>
          <cell r="D1610">
            <v>41426</v>
          </cell>
          <cell r="E1610">
            <v>0</v>
          </cell>
          <cell r="F1610">
            <v>0</v>
          </cell>
          <cell r="G1610">
            <v>7035343</v>
          </cell>
          <cell r="H1610">
            <v>0</v>
          </cell>
          <cell r="I1610">
            <v>2022237</v>
          </cell>
        </row>
        <row r="1611">
          <cell r="A1611" t="str">
            <v>3410|477350</v>
          </cell>
          <cell r="B1611" t="str">
            <v>3410</v>
          </cell>
          <cell r="C1611">
            <v>477350</v>
          </cell>
          <cell r="D1611">
            <v>41426</v>
          </cell>
          <cell r="E1611">
            <v>169400000</v>
          </cell>
          <cell r="F1611">
            <v>84700000</v>
          </cell>
          <cell r="G1611">
            <v>37000</v>
          </cell>
          <cell r="H1611">
            <v>14116667</v>
          </cell>
          <cell r="I1611">
            <v>0</v>
          </cell>
        </row>
        <row r="1612">
          <cell r="A1612" t="str">
            <v>3410|477500</v>
          </cell>
          <cell r="B1612" t="str">
            <v>3410</v>
          </cell>
          <cell r="C1612">
            <v>477500</v>
          </cell>
          <cell r="D1612">
            <v>41426</v>
          </cell>
          <cell r="E1612">
            <v>4993371</v>
          </cell>
          <cell r="F1612">
            <v>2496686</v>
          </cell>
          <cell r="G1612">
            <v>48235408</v>
          </cell>
          <cell r="H1612">
            <v>416115</v>
          </cell>
          <cell r="I1612">
            <v>230000</v>
          </cell>
        </row>
        <row r="1613">
          <cell r="A1613" t="str">
            <v>3410|477800</v>
          </cell>
          <cell r="B1613" t="str">
            <v>3410</v>
          </cell>
          <cell r="C1613">
            <v>477800</v>
          </cell>
          <cell r="D1613">
            <v>41426</v>
          </cell>
          <cell r="E1613">
            <v>820000000</v>
          </cell>
          <cell r="F1613">
            <v>410000000</v>
          </cell>
          <cell r="G1613">
            <v>-927059443</v>
          </cell>
          <cell r="H1613">
            <v>68333333</v>
          </cell>
          <cell r="I1613">
            <v>-1231561005</v>
          </cell>
        </row>
        <row r="1614">
          <cell r="A1614" t="str">
            <v>3410|477851</v>
          </cell>
          <cell r="B1614" t="str">
            <v>3410</v>
          </cell>
          <cell r="C1614">
            <v>477851</v>
          </cell>
          <cell r="D1614">
            <v>41426</v>
          </cell>
          <cell r="E1614">
            <v>0</v>
          </cell>
          <cell r="F1614">
            <v>0</v>
          </cell>
          <cell r="G1614">
            <v>6393182</v>
          </cell>
          <cell r="H1614">
            <v>0</v>
          </cell>
          <cell r="I1614">
            <v>2000000</v>
          </cell>
        </row>
        <row r="1615">
          <cell r="A1615" t="str">
            <v>3420|211100</v>
          </cell>
          <cell r="B1615" t="str">
            <v>3420</v>
          </cell>
          <cell r="C1615">
            <v>211100</v>
          </cell>
          <cell r="D1615">
            <v>41426</v>
          </cell>
          <cell r="E1615">
            <v>167493375</v>
          </cell>
          <cell r="F1615">
            <v>83746688</v>
          </cell>
          <cell r="G1615">
            <v>52405155</v>
          </cell>
          <cell r="H1615">
            <v>13957782</v>
          </cell>
          <cell r="I1615">
            <v>8054380</v>
          </cell>
        </row>
        <row r="1616">
          <cell r="A1616" t="str">
            <v>3420|405200</v>
          </cell>
          <cell r="B1616" t="str">
            <v>3420</v>
          </cell>
          <cell r="C1616">
            <v>405200</v>
          </cell>
          <cell r="D1616">
            <v>41426</v>
          </cell>
          <cell r="E1616">
            <v>1000000</v>
          </cell>
          <cell r="F1616">
            <v>500000</v>
          </cell>
          <cell r="G1616">
            <v>0</v>
          </cell>
          <cell r="H1616">
            <v>83333</v>
          </cell>
          <cell r="I1616">
            <v>0</v>
          </cell>
        </row>
        <row r="1617">
          <cell r="A1617" t="str">
            <v>3420|420002</v>
          </cell>
          <cell r="B1617" t="str">
            <v>3420</v>
          </cell>
          <cell r="C1617">
            <v>420002</v>
          </cell>
          <cell r="D1617">
            <v>41426</v>
          </cell>
          <cell r="E1617">
            <v>877412049</v>
          </cell>
          <cell r="F1617">
            <v>438706025</v>
          </cell>
          <cell r="G1617">
            <v>409251500</v>
          </cell>
          <cell r="H1617">
            <v>73117671</v>
          </cell>
          <cell r="I1617">
            <v>60154000</v>
          </cell>
        </row>
        <row r="1618">
          <cell r="A1618" t="str">
            <v>3420|420003</v>
          </cell>
          <cell r="B1618" t="str">
            <v>3420</v>
          </cell>
          <cell r="C1618">
            <v>420003</v>
          </cell>
          <cell r="D1618">
            <v>41426</v>
          </cell>
          <cell r="E1618">
            <v>549334080</v>
          </cell>
          <cell r="F1618">
            <v>274667040</v>
          </cell>
          <cell r="G1618">
            <v>267756061</v>
          </cell>
          <cell r="H1618">
            <v>45777840</v>
          </cell>
          <cell r="I1618">
            <v>45124756</v>
          </cell>
        </row>
        <row r="1619">
          <cell r="A1619" t="str">
            <v>3420|422002</v>
          </cell>
          <cell r="B1619" t="str">
            <v>3420</v>
          </cell>
          <cell r="C1619">
            <v>422002</v>
          </cell>
          <cell r="D1619">
            <v>41426</v>
          </cell>
          <cell r="E1619">
            <v>1128780</v>
          </cell>
          <cell r="F1619">
            <v>564390</v>
          </cell>
          <cell r="G1619">
            <v>1395450</v>
          </cell>
          <cell r="H1619">
            <v>94065</v>
          </cell>
          <cell r="I1619">
            <v>0</v>
          </cell>
        </row>
        <row r="1620">
          <cell r="A1620" t="str">
            <v>3420|431002</v>
          </cell>
          <cell r="B1620" t="str">
            <v>3420</v>
          </cell>
          <cell r="C1620">
            <v>431002</v>
          </cell>
          <cell r="D1620">
            <v>41426</v>
          </cell>
          <cell r="E1620">
            <v>35998965</v>
          </cell>
          <cell r="F1620">
            <v>17999483</v>
          </cell>
          <cell r="G1620">
            <v>26352884</v>
          </cell>
          <cell r="H1620">
            <v>2999914</v>
          </cell>
          <cell r="I1620">
            <v>1661712</v>
          </cell>
        </row>
        <row r="1621">
          <cell r="A1621" t="str">
            <v>3420|433002</v>
          </cell>
          <cell r="B1621" t="str">
            <v>3420</v>
          </cell>
          <cell r="C1621">
            <v>433002</v>
          </cell>
          <cell r="D1621">
            <v>41426</v>
          </cell>
          <cell r="E1621">
            <v>9293525</v>
          </cell>
          <cell r="F1621">
            <v>4646763</v>
          </cell>
          <cell r="G1621">
            <v>4850550</v>
          </cell>
          <cell r="H1621">
            <v>774461</v>
          </cell>
          <cell r="I1621">
            <v>808425</v>
          </cell>
        </row>
        <row r="1622">
          <cell r="A1622" t="str">
            <v>3420|434012</v>
          </cell>
          <cell r="B1622" t="str">
            <v>3420</v>
          </cell>
          <cell r="C1622">
            <v>434012</v>
          </cell>
          <cell r="D1622">
            <v>41426</v>
          </cell>
          <cell r="E1622">
            <v>0</v>
          </cell>
          <cell r="F1622">
            <v>0</v>
          </cell>
          <cell r="G1622">
            <v>9705759</v>
          </cell>
          <cell r="H1622">
            <v>0</v>
          </cell>
          <cell r="I1622">
            <v>1496234</v>
          </cell>
        </row>
        <row r="1623">
          <cell r="A1623" t="str">
            <v>3420|434013</v>
          </cell>
          <cell r="B1623" t="str">
            <v>3420</v>
          </cell>
          <cell r="C1623">
            <v>434013</v>
          </cell>
          <cell r="D1623">
            <v>41426</v>
          </cell>
          <cell r="E1623">
            <v>16108191</v>
          </cell>
          <cell r="F1623">
            <v>8054096</v>
          </cell>
          <cell r="G1623">
            <v>11251205</v>
          </cell>
          <cell r="H1623">
            <v>1342350</v>
          </cell>
          <cell r="I1623">
            <v>1801464</v>
          </cell>
        </row>
        <row r="1624">
          <cell r="A1624" t="str">
            <v>3420|435002</v>
          </cell>
          <cell r="B1624" t="str">
            <v>3420</v>
          </cell>
          <cell r="C1624">
            <v>435002</v>
          </cell>
          <cell r="D1624">
            <v>41426</v>
          </cell>
          <cell r="E1624">
            <v>149891225</v>
          </cell>
          <cell r="F1624">
            <v>74945613</v>
          </cell>
          <cell r="G1624">
            <v>60335500</v>
          </cell>
          <cell r="H1624">
            <v>12490936</v>
          </cell>
          <cell r="I1624">
            <v>0</v>
          </cell>
        </row>
        <row r="1625">
          <cell r="A1625" t="str">
            <v>3420|435003</v>
          </cell>
          <cell r="B1625" t="str">
            <v>3420</v>
          </cell>
          <cell r="C1625">
            <v>435003</v>
          </cell>
          <cell r="D1625">
            <v>41426</v>
          </cell>
          <cell r="E1625">
            <v>68666760</v>
          </cell>
          <cell r="F1625">
            <v>34333380</v>
          </cell>
          <cell r="G1625">
            <v>100984500</v>
          </cell>
          <cell r="H1625">
            <v>5722230</v>
          </cell>
          <cell r="I1625">
            <v>0</v>
          </cell>
        </row>
        <row r="1626">
          <cell r="A1626" t="str">
            <v>3420|439003</v>
          </cell>
          <cell r="B1626" t="str">
            <v>3420</v>
          </cell>
          <cell r="C1626">
            <v>439003</v>
          </cell>
          <cell r="D1626">
            <v>41426</v>
          </cell>
          <cell r="E1626">
            <v>118349638</v>
          </cell>
          <cell r="F1626">
            <v>59174819</v>
          </cell>
          <cell r="G1626">
            <v>60219324</v>
          </cell>
          <cell r="H1626">
            <v>9862470</v>
          </cell>
          <cell r="I1626">
            <v>9667816</v>
          </cell>
        </row>
        <row r="1627">
          <cell r="A1627" t="str">
            <v>3420|439008</v>
          </cell>
          <cell r="B1627" t="str">
            <v>3420</v>
          </cell>
          <cell r="C1627">
            <v>439008</v>
          </cell>
          <cell r="D1627">
            <v>41426</v>
          </cell>
          <cell r="E1627">
            <v>180642688</v>
          </cell>
          <cell r="F1627">
            <v>90321344</v>
          </cell>
          <cell r="G1627">
            <v>93491256</v>
          </cell>
          <cell r="H1627">
            <v>15053557</v>
          </cell>
          <cell r="I1627">
            <v>14384288</v>
          </cell>
        </row>
        <row r="1628">
          <cell r="A1628" t="str">
            <v>3420|439202</v>
          </cell>
          <cell r="B1628" t="str">
            <v>3420</v>
          </cell>
          <cell r="C1628">
            <v>439202</v>
          </cell>
          <cell r="D1628">
            <v>41426</v>
          </cell>
          <cell r="E1628">
            <v>46080000</v>
          </cell>
          <cell r="F1628">
            <v>23040000</v>
          </cell>
          <cell r="G1628">
            <v>29175000</v>
          </cell>
          <cell r="H1628">
            <v>3840000</v>
          </cell>
          <cell r="I1628">
            <v>4250000</v>
          </cell>
        </row>
        <row r="1629">
          <cell r="A1629" t="str">
            <v>3420|439203</v>
          </cell>
          <cell r="B1629" t="str">
            <v>3420</v>
          </cell>
          <cell r="C1629">
            <v>439203</v>
          </cell>
          <cell r="D1629">
            <v>41426</v>
          </cell>
          <cell r="E1629">
            <v>15280000</v>
          </cell>
          <cell r="F1629">
            <v>7640000</v>
          </cell>
          <cell r="G1629">
            <v>9129822</v>
          </cell>
          <cell r="H1629">
            <v>1273333</v>
          </cell>
          <cell r="I1629">
            <v>1779822</v>
          </cell>
        </row>
        <row r="1630">
          <cell r="A1630" t="str">
            <v>3420|440002</v>
          </cell>
          <cell r="B1630" t="str">
            <v>3420</v>
          </cell>
          <cell r="C1630">
            <v>440002</v>
          </cell>
          <cell r="D1630">
            <v>41426</v>
          </cell>
          <cell r="E1630">
            <v>73117671</v>
          </cell>
          <cell r="F1630">
            <v>36558836</v>
          </cell>
          <cell r="G1630">
            <v>34914868</v>
          </cell>
          <cell r="H1630">
            <v>6093140</v>
          </cell>
          <cell r="I1630">
            <v>3578570</v>
          </cell>
        </row>
        <row r="1631">
          <cell r="A1631" t="str">
            <v>3420|440003</v>
          </cell>
          <cell r="B1631" t="str">
            <v>3420</v>
          </cell>
          <cell r="C1631">
            <v>440003</v>
          </cell>
          <cell r="D1631">
            <v>41426</v>
          </cell>
          <cell r="E1631">
            <v>45777840</v>
          </cell>
          <cell r="F1631">
            <v>22888920</v>
          </cell>
          <cell r="G1631">
            <v>26077451</v>
          </cell>
          <cell r="H1631">
            <v>3814820</v>
          </cell>
          <cell r="I1631">
            <v>5363120</v>
          </cell>
        </row>
        <row r="1632">
          <cell r="A1632" t="str">
            <v>3420|446002</v>
          </cell>
          <cell r="B1632" t="str">
            <v>3420</v>
          </cell>
          <cell r="C1632">
            <v>446002</v>
          </cell>
          <cell r="D1632">
            <v>41426</v>
          </cell>
          <cell r="E1632">
            <v>36558835</v>
          </cell>
          <cell r="F1632">
            <v>18279418</v>
          </cell>
          <cell r="G1632">
            <v>7050000</v>
          </cell>
          <cell r="H1632">
            <v>3046570</v>
          </cell>
          <cell r="I1632">
            <v>1050000</v>
          </cell>
        </row>
        <row r="1633">
          <cell r="A1633" t="str">
            <v>3420|447002</v>
          </cell>
          <cell r="B1633" t="str">
            <v>3420</v>
          </cell>
          <cell r="C1633">
            <v>447002</v>
          </cell>
          <cell r="D1633">
            <v>41426</v>
          </cell>
          <cell r="E1633">
            <v>13775369</v>
          </cell>
          <cell r="F1633">
            <v>6887685</v>
          </cell>
          <cell r="G1633">
            <v>2209980</v>
          </cell>
          <cell r="H1633">
            <v>1147948</v>
          </cell>
          <cell r="I1633">
            <v>324835</v>
          </cell>
        </row>
        <row r="1634">
          <cell r="A1634" t="str">
            <v>3420|447003</v>
          </cell>
          <cell r="B1634" t="str">
            <v>3420</v>
          </cell>
          <cell r="C1634">
            <v>447003</v>
          </cell>
          <cell r="D1634">
            <v>41426</v>
          </cell>
          <cell r="E1634">
            <v>8624358</v>
          </cell>
          <cell r="F1634">
            <v>4312179</v>
          </cell>
          <cell r="G1634">
            <v>1512966</v>
          </cell>
          <cell r="H1634">
            <v>718696</v>
          </cell>
          <cell r="I1634">
            <v>252161</v>
          </cell>
        </row>
        <row r="1635">
          <cell r="A1635" t="str">
            <v>3420|447012</v>
          </cell>
          <cell r="B1635" t="str">
            <v>3420</v>
          </cell>
          <cell r="C1635">
            <v>447012</v>
          </cell>
          <cell r="D1635">
            <v>41426</v>
          </cell>
          <cell r="E1635">
            <v>32464246</v>
          </cell>
          <cell r="F1635">
            <v>16232123</v>
          </cell>
          <cell r="G1635">
            <v>15142314</v>
          </cell>
          <cell r="H1635">
            <v>2705354</v>
          </cell>
          <cell r="I1635">
            <v>2225699</v>
          </cell>
        </row>
        <row r="1636">
          <cell r="A1636" t="str">
            <v>3420|447013</v>
          </cell>
          <cell r="B1636" t="str">
            <v>3420</v>
          </cell>
          <cell r="C1636">
            <v>447013</v>
          </cell>
          <cell r="D1636">
            <v>41426</v>
          </cell>
          <cell r="E1636">
            <v>20325361</v>
          </cell>
          <cell r="F1636">
            <v>10162681</v>
          </cell>
          <cell r="G1636">
            <v>10366626</v>
          </cell>
          <cell r="H1636">
            <v>1693781</v>
          </cell>
          <cell r="I1636">
            <v>1727771</v>
          </cell>
        </row>
        <row r="1637">
          <cell r="A1637" t="str">
            <v>3420|447022</v>
          </cell>
          <cell r="B1637" t="str">
            <v>3420</v>
          </cell>
          <cell r="C1637">
            <v>447022</v>
          </cell>
          <cell r="D1637">
            <v>41426</v>
          </cell>
          <cell r="E1637">
            <v>1377537</v>
          </cell>
          <cell r="F1637">
            <v>688769</v>
          </cell>
          <cell r="G1637">
            <v>281980</v>
          </cell>
          <cell r="H1637">
            <v>114795</v>
          </cell>
          <cell r="I1637">
            <v>38950</v>
          </cell>
        </row>
        <row r="1638">
          <cell r="A1638" t="str">
            <v>3420|447023</v>
          </cell>
          <cell r="B1638" t="str">
            <v>3420</v>
          </cell>
          <cell r="C1638">
            <v>447023</v>
          </cell>
          <cell r="D1638">
            <v>41426</v>
          </cell>
          <cell r="E1638">
            <v>713724</v>
          </cell>
          <cell r="F1638">
            <v>356862</v>
          </cell>
          <cell r="G1638">
            <v>266373</v>
          </cell>
          <cell r="H1638">
            <v>59477</v>
          </cell>
          <cell r="I1638">
            <v>44550</v>
          </cell>
        </row>
        <row r="1639">
          <cell r="A1639" t="str">
            <v>3420|448002</v>
          </cell>
          <cell r="B1639" t="str">
            <v>3420</v>
          </cell>
          <cell r="C1639">
            <v>448002</v>
          </cell>
          <cell r="D1639">
            <v>41426</v>
          </cell>
          <cell r="E1639">
            <v>65645699</v>
          </cell>
          <cell r="F1639">
            <v>32822850</v>
          </cell>
          <cell r="G1639">
            <v>41714186</v>
          </cell>
          <cell r="H1639">
            <v>5470475</v>
          </cell>
          <cell r="I1639">
            <v>27231400</v>
          </cell>
        </row>
        <row r="1640">
          <cell r="A1640" t="str">
            <v>3420|448003</v>
          </cell>
          <cell r="B1640" t="str">
            <v>3420</v>
          </cell>
          <cell r="C1640">
            <v>448003</v>
          </cell>
          <cell r="D1640">
            <v>41426</v>
          </cell>
          <cell r="E1640">
            <v>33114983</v>
          </cell>
          <cell r="F1640">
            <v>16557492</v>
          </cell>
          <cell r="G1640">
            <v>16756155</v>
          </cell>
          <cell r="H1640">
            <v>2759582</v>
          </cell>
          <cell r="I1640">
            <v>1271100</v>
          </cell>
        </row>
        <row r="1641">
          <cell r="A1641" t="str">
            <v>3420|449004</v>
          </cell>
          <cell r="B1641" t="str">
            <v>3420</v>
          </cell>
          <cell r="C1641">
            <v>449004</v>
          </cell>
          <cell r="D1641">
            <v>41426</v>
          </cell>
          <cell r="E1641">
            <v>9500000</v>
          </cell>
          <cell r="F1641">
            <v>4750000</v>
          </cell>
          <cell r="G1641">
            <v>0</v>
          </cell>
          <cell r="H1641">
            <v>791667</v>
          </cell>
          <cell r="I1641">
            <v>0</v>
          </cell>
        </row>
        <row r="1642">
          <cell r="A1642" t="str">
            <v>3420|449022</v>
          </cell>
          <cell r="B1642" t="str">
            <v>3420</v>
          </cell>
          <cell r="C1642">
            <v>449022</v>
          </cell>
          <cell r="D1642">
            <v>41426</v>
          </cell>
          <cell r="E1642">
            <v>43560000</v>
          </cell>
          <cell r="F1642">
            <v>21780000</v>
          </cell>
          <cell r="G1642">
            <v>18475000</v>
          </cell>
          <cell r="H1642">
            <v>3630000</v>
          </cell>
          <cell r="I1642">
            <v>2641000</v>
          </cell>
        </row>
        <row r="1643">
          <cell r="A1643" t="str">
            <v>3420|449023</v>
          </cell>
          <cell r="B1643" t="str">
            <v>3420</v>
          </cell>
          <cell r="C1643">
            <v>449023</v>
          </cell>
          <cell r="D1643">
            <v>41426</v>
          </cell>
          <cell r="E1643">
            <v>37356000</v>
          </cell>
          <cell r="F1643">
            <v>18678000</v>
          </cell>
          <cell r="G1643">
            <v>23359000</v>
          </cell>
          <cell r="H1643">
            <v>3113000</v>
          </cell>
          <cell r="I1643">
            <v>3762500</v>
          </cell>
        </row>
        <row r="1644">
          <cell r="A1644" t="str">
            <v>3420|449032</v>
          </cell>
          <cell r="B1644" t="str">
            <v>3420</v>
          </cell>
          <cell r="C1644">
            <v>449032</v>
          </cell>
          <cell r="D1644">
            <v>41426</v>
          </cell>
          <cell r="E1644">
            <v>14802617</v>
          </cell>
          <cell r="F1644">
            <v>7401309</v>
          </cell>
          <cell r="G1644">
            <v>4800000</v>
          </cell>
          <cell r="H1644">
            <v>1233552</v>
          </cell>
          <cell r="I1644">
            <v>0</v>
          </cell>
        </row>
        <row r="1645">
          <cell r="A1645" t="str">
            <v>3420|449040</v>
          </cell>
          <cell r="B1645" t="str">
            <v>3420</v>
          </cell>
          <cell r="C1645">
            <v>449040</v>
          </cell>
          <cell r="D1645">
            <v>41426</v>
          </cell>
          <cell r="E1645">
            <v>18621020</v>
          </cell>
          <cell r="F1645">
            <v>9310510</v>
          </cell>
          <cell r="G1645">
            <v>8668000</v>
          </cell>
          <cell r="H1645">
            <v>1551752</v>
          </cell>
          <cell r="I1645">
            <v>0</v>
          </cell>
        </row>
        <row r="1646">
          <cell r="A1646" t="str">
            <v>3420|449050</v>
          </cell>
          <cell r="B1646" t="str">
            <v>3420</v>
          </cell>
          <cell r="C1646">
            <v>449050</v>
          </cell>
          <cell r="D1646">
            <v>41426</v>
          </cell>
          <cell r="E1646">
            <v>26907540</v>
          </cell>
          <cell r="F1646">
            <v>13453770</v>
          </cell>
          <cell r="G1646">
            <v>14799982</v>
          </cell>
          <cell r="H1646">
            <v>2242295</v>
          </cell>
          <cell r="I1646">
            <v>2466667</v>
          </cell>
        </row>
        <row r="1647">
          <cell r="A1647" t="str">
            <v>3420|449061</v>
          </cell>
          <cell r="B1647" t="str">
            <v>3420</v>
          </cell>
          <cell r="C1647">
            <v>449061</v>
          </cell>
          <cell r="D1647">
            <v>41426</v>
          </cell>
          <cell r="E1647">
            <v>115396931</v>
          </cell>
          <cell r="F1647">
            <v>57698466</v>
          </cell>
          <cell r="G1647">
            <v>59478150</v>
          </cell>
          <cell r="H1647">
            <v>9616411</v>
          </cell>
          <cell r="I1647">
            <v>17559350</v>
          </cell>
        </row>
        <row r="1648">
          <cell r="A1648" t="str">
            <v>3420|451000</v>
          </cell>
          <cell r="B1648" t="str">
            <v>3420</v>
          </cell>
          <cell r="C1648">
            <v>451000</v>
          </cell>
          <cell r="D1648">
            <v>41426</v>
          </cell>
          <cell r="E1648">
            <v>169262</v>
          </cell>
          <cell r="F1648">
            <v>84631</v>
          </cell>
          <cell r="G1648">
            <v>0</v>
          </cell>
          <cell r="H1648">
            <v>14105</v>
          </cell>
          <cell r="I1648">
            <v>0</v>
          </cell>
        </row>
        <row r="1649">
          <cell r="A1649" t="str">
            <v>3420|471000</v>
          </cell>
          <cell r="B1649" t="str">
            <v>3420</v>
          </cell>
          <cell r="C1649">
            <v>471000</v>
          </cell>
          <cell r="D1649">
            <v>41426</v>
          </cell>
          <cell r="E1649">
            <v>26765216</v>
          </cell>
          <cell r="F1649">
            <v>13382608</v>
          </cell>
          <cell r="G1649">
            <v>8985950</v>
          </cell>
          <cell r="H1649">
            <v>2230435</v>
          </cell>
          <cell r="I1649">
            <v>0</v>
          </cell>
        </row>
        <row r="1650">
          <cell r="A1650" t="str">
            <v>3420|472000</v>
          </cell>
          <cell r="B1650" t="str">
            <v>3420</v>
          </cell>
          <cell r="C1650">
            <v>472000</v>
          </cell>
          <cell r="D1650">
            <v>41426</v>
          </cell>
          <cell r="E1650">
            <v>1000000</v>
          </cell>
          <cell r="F1650">
            <v>500000</v>
          </cell>
          <cell r="G1650">
            <v>0</v>
          </cell>
          <cell r="H1650">
            <v>83333</v>
          </cell>
          <cell r="I1650">
            <v>0</v>
          </cell>
        </row>
        <row r="1651">
          <cell r="A1651" t="str">
            <v>3420|473000</v>
          </cell>
          <cell r="B1651" t="str">
            <v>3420</v>
          </cell>
          <cell r="C1651">
            <v>473000</v>
          </cell>
          <cell r="D1651">
            <v>41426</v>
          </cell>
          <cell r="E1651">
            <v>159175</v>
          </cell>
          <cell r="F1651">
            <v>79588</v>
          </cell>
          <cell r="G1651">
            <v>240000</v>
          </cell>
          <cell r="H1651">
            <v>13265</v>
          </cell>
          <cell r="I1651">
            <v>0</v>
          </cell>
        </row>
        <row r="1652">
          <cell r="A1652" t="str">
            <v>3420|473120</v>
          </cell>
          <cell r="B1652" t="str">
            <v>3420</v>
          </cell>
          <cell r="C1652">
            <v>473120</v>
          </cell>
          <cell r="D1652">
            <v>41426</v>
          </cell>
          <cell r="E1652">
            <v>16853009</v>
          </cell>
          <cell r="F1652">
            <v>8426505</v>
          </cell>
          <cell r="G1652">
            <v>5454299</v>
          </cell>
          <cell r="H1652">
            <v>1404418</v>
          </cell>
          <cell r="I1652">
            <v>1033490</v>
          </cell>
        </row>
        <row r="1653">
          <cell r="A1653" t="str">
            <v>3420|474100</v>
          </cell>
          <cell r="B1653" t="str">
            <v>3420</v>
          </cell>
          <cell r="C1653">
            <v>474100</v>
          </cell>
          <cell r="D1653">
            <v>41426</v>
          </cell>
          <cell r="E1653">
            <v>35821941</v>
          </cell>
          <cell r="F1653">
            <v>17910971</v>
          </cell>
          <cell r="G1653">
            <v>7408073</v>
          </cell>
          <cell r="H1653">
            <v>2985162</v>
          </cell>
          <cell r="I1653">
            <v>-3000000</v>
          </cell>
        </row>
        <row r="1654">
          <cell r="A1654" t="str">
            <v>3420|474101</v>
          </cell>
          <cell r="B1654" t="str">
            <v>3420</v>
          </cell>
          <cell r="C1654">
            <v>474101</v>
          </cell>
          <cell r="D1654">
            <v>41426</v>
          </cell>
          <cell r="E1654">
            <v>91348533</v>
          </cell>
          <cell r="F1654">
            <v>45674267</v>
          </cell>
          <cell r="G1654">
            <v>25239423</v>
          </cell>
          <cell r="H1654">
            <v>7612378</v>
          </cell>
          <cell r="I1654">
            <v>-2108000</v>
          </cell>
        </row>
        <row r="1655">
          <cell r="A1655" t="str">
            <v>3420|475001</v>
          </cell>
          <cell r="B1655" t="str">
            <v>3420</v>
          </cell>
          <cell r="C1655">
            <v>475001</v>
          </cell>
          <cell r="D1655">
            <v>41426</v>
          </cell>
          <cell r="E1655">
            <v>4106629</v>
          </cell>
          <cell r="F1655">
            <v>2053315</v>
          </cell>
          <cell r="G1655">
            <v>3243000</v>
          </cell>
          <cell r="H1655">
            <v>342220</v>
          </cell>
          <cell r="I1655">
            <v>0</v>
          </cell>
        </row>
        <row r="1656">
          <cell r="A1656" t="str">
            <v>3420|475003</v>
          </cell>
          <cell r="B1656" t="str">
            <v>3420</v>
          </cell>
          <cell r="C1656">
            <v>475003</v>
          </cell>
          <cell r="D1656">
            <v>41426</v>
          </cell>
          <cell r="E1656">
            <v>6199105</v>
          </cell>
          <cell r="F1656">
            <v>3099553</v>
          </cell>
          <cell r="G1656">
            <v>1821500</v>
          </cell>
          <cell r="H1656">
            <v>516593</v>
          </cell>
          <cell r="I1656">
            <v>0</v>
          </cell>
        </row>
        <row r="1657">
          <cell r="A1657" t="str">
            <v>3420|475006</v>
          </cell>
          <cell r="B1657" t="str">
            <v>3420</v>
          </cell>
          <cell r="C1657">
            <v>475006</v>
          </cell>
          <cell r="D1657">
            <v>41426</v>
          </cell>
          <cell r="E1657">
            <v>2583178</v>
          </cell>
          <cell r="F1657">
            <v>1291589</v>
          </cell>
          <cell r="G1657">
            <v>1298436</v>
          </cell>
          <cell r="H1657">
            <v>215265</v>
          </cell>
          <cell r="I1657">
            <v>216406</v>
          </cell>
        </row>
        <row r="1658">
          <cell r="A1658" t="str">
            <v>3420|476000</v>
          </cell>
          <cell r="B1658" t="str">
            <v>3420</v>
          </cell>
          <cell r="C1658">
            <v>476000</v>
          </cell>
          <cell r="D1658">
            <v>41426</v>
          </cell>
          <cell r="E1658">
            <v>7882123</v>
          </cell>
          <cell r="F1658">
            <v>3941062</v>
          </cell>
          <cell r="G1658">
            <v>723000</v>
          </cell>
          <cell r="H1658">
            <v>656844</v>
          </cell>
          <cell r="I1658">
            <v>545750</v>
          </cell>
        </row>
        <row r="1659">
          <cell r="A1659" t="str">
            <v>3420|476001</v>
          </cell>
          <cell r="B1659" t="str">
            <v>3420</v>
          </cell>
          <cell r="C1659">
            <v>476001</v>
          </cell>
          <cell r="D1659">
            <v>41426</v>
          </cell>
          <cell r="E1659">
            <v>6317761</v>
          </cell>
          <cell r="F1659">
            <v>3158881</v>
          </cell>
          <cell r="G1659">
            <v>286183</v>
          </cell>
          <cell r="H1659">
            <v>526481</v>
          </cell>
          <cell r="I1659">
            <v>0</v>
          </cell>
        </row>
        <row r="1660">
          <cell r="A1660" t="str">
            <v>3420|476220</v>
          </cell>
          <cell r="B1660" t="str">
            <v>3420</v>
          </cell>
          <cell r="C1660">
            <v>476220</v>
          </cell>
          <cell r="D1660">
            <v>41426</v>
          </cell>
          <cell r="E1660">
            <v>48590882</v>
          </cell>
          <cell r="F1660">
            <v>24295441</v>
          </cell>
          <cell r="G1660">
            <v>-2320513</v>
          </cell>
          <cell r="H1660">
            <v>4049240</v>
          </cell>
          <cell r="I1660">
            <v>0</v>
          </cell>
        </row>
        <row r="1661">
          <cell r="A1661" t="str">
            <v>3420|477001</v>
          </cell>
          <cell r="B1661" t="str">
            <v>3420</v>
          </cell>
          <cell r="C1661">
            <v>477001</v>
          </cell>
          <cell r="D1661">
            <v>41426</v>
          </cell>
          <cell r="E1661">
            <v>1300000000</v>
          </cell>
          <cell r="F1661">
            <v>650000000</v>
          </cell>
          <cell r="G1661">
            <v>-128772874</v>
          </cell>
          <cell r="H1661">
            <v>108333333</v>
          </cell>
          <cell r="I1661">
            <v>-46884826</v>
          </cell>
        </row>
        <row r="1662">
          <cell r="A1662" t="str">
            <v>3420|477100</v>
          </cell>
          <cell r="B1662" t="str">
            <v>3420</v>
          </cell>
          <cell r="C1662">
            <v>477100</v>
          </cell>
          <cell r="D1662">
            <v>41426</v>
          </cell>
          <cell r="E1662">
            <v>0</v>
          </cell>
          <cell r="F1662">
            <v>0</v>
          </cell>
          <cell r="G1662">
            <v>-89706876</v>
          </cell>
          <cell r="H1662">
            <v>0</v>
          </cell>
          <cell r="I1662">
            <v>-7950000</v>
          </cell>
        </row>
        <row r="1663">
          <cell r="A1663" t="str">
            <v>3420|477310</v>
          </cell>
          <cell r="B1663" t="str">
            <v>3420</v>
          </cell>
          <cell r="C1663">
            <v>477310</v>
          </cell>
          <cell r="D1663">
            <v>41426</v>
          </cell>
          <cell r="E1663">
            <v>292764500</v>
          </cell>
          <cell r="F1663">
            <v>146382250</v>
          </cell>
          <cell r="G1663">
            <v>-2373702</v>
          </cell>
          <cell r="H1663">
            <v>24397042</v>
          </cell>
          <cell r="I1663">
            <v>-475395</v>
          </cell>
        </row>
        <row r="1664">
          <cell r="A1664" t="str">
            <v>3420|477350</v>
          </cell>
          <cell r="B1664" t="str">
            <v>3420</v>
          </cell>
          <cell r="C1664">
            <v>477350</v>
          </cell>
          <cell r="D1664">
            <v>41426</v>
          </cell>
          <cell r="E1664">
            <v>400000000</v>
          </cell>
          <cell r="F1664">
            <v>200000000</v>
          </cell>
          <cell r="G1664">
            <v>0</v>
          </cell>
          <cell r="H1664">
            <v>33333333</v>
          </cell>
          <cell r="I1664">
            <v>0</v>
          </cell>
        </row>
        <row r="1665">
          <cell r="A1665" t="str">
            <v>3420|477400</v>
          </cell>
          <cell r="B1665" t="str">
            <v>3420</v>
          </cell>
          <cell r="C1665">
            <v>477400</v>
          </cell>
          <cell r="D1665">
            <v>41426</v>
          </cell>
          <cell r="E1665">
            <v>573263700</v>
          </cell>
          <cell r="F1665">
            <v>286631850</v>
          </cell>
          <cell r="G1665">
            <v>-10710000</v>
          </cell>
          <cell r="H1665">
            <v>47771975</v>
          </cell>
          <cell r="I1665">
            <v>-149710000</v>
          </cell>
        </row>
        <row r="1666">
          <cell r="A1666" t="str">
            <v>3420|477450</v>
          </cell>
          <cell r="B1666" t="str">
            <v>3420</v>
          </cell>
          <cell r="C1666">
            <v>477450</v>
          </cell>
          <cell r="D1666">
            <v>41426</v>
          </cell>
          <cell r="E1666">
            <v>400000000</v>
          </cell>
          <cell r="F1666">
            <v>200000000</v>
          </cell>
          <cell r="G1666">
            <v>355909353</v>
          </cell>
          <cell r="H1666">
            <v>33333333</v>
          </cell>
          <cell r="I1666">
            <v>217818720</v>
          </cell>
        </row>
        <row r="1667">
          <cell r="A1667" t="str">
            <v>3420|477500</v>
          </cell>
          <cell r="B1667" t="str">
            <v>3420</v>
          </cell>
          <cell r="C1667">
            <v>477500</v>
          </cell>
          <cell r="D1667">
            <v>41426</v>
          </cell>
          <cell r="E1667">
            <v>3298141</v>
          </cell>
          <cell r="F1667">
            <v>1649071</v>
          </cell>
          <cell r="G1667">
            <v>1092500</v>
          </cell>
          <cell r="H1667">
            <v>274846</v>
          </cell>
          <cell r="I1667">
            <v>0</v>
          </cell>
        </row>
        <row r="1668">
          <cell r="A1668" t="str">
            <v>3420|477800</v>
          </cell>
          <cell r="B1668" t="str">
            <v>3420</v>
          </cell>
          <cell r="C1668">
            <v>477800</v>
          </cell>
          <cell r="D1668">
            <v>41426</v>
          </cell>
          <cell r="E1668">
            <v>2866374</v>
          </cell>
          <cell r="F1668">
            <v>1433187</v>
          </cell>
          <cell r="G1668">
            <v>748767</v>
          </cell>
          <cell r="H1668">
            <v>238864</v>
          </cell>
          <cell r="I1668">
            <v>0</v>
          </cell>
        </row>
        <row r="1669">
          <cell r="A1669" t="str">
            <v>3420|477851</v>
          </cell>
          <cell r="B1669" t="str">
            <v>3420</v>
          </cell>
          <cell r="C1669">
            <v>477851</v>
          </cell>
          <cell r="D1669">
            <v>41426</v>
          </cell>
          <cell r="E1669">
            <v>0</v>
          </cell>
          <cell r="F1669">
            <v>0</v>
          </cell>
          <cell r="G1669">
            <v>3909091</v>
          </cell>
          <cell r="H1669">
            <v>0</v>
          </cell>
          <cell r="I1669">
            <v>0</v>
          </cell>
        </row>
        <row r="1670">
          <cell r="A1670" t="str">
            <v>3430|211100</v>
          </cell>
          <cell r="B1670" t="str">
            <v>3430</v>
          </cell>
          <cell r="C1670">
            <v>211100</v>
          </cell>
          <cell r="D1670">
            <v>41426</v>
          </cell>
          <cell r="E1670">
            <v>1288239521</v>
          </cell>
          <cell r="F1670">
            <v>644119761</v>
          </cell>
          <cell r="G1670">
            <v>602127760</v>
          </cell>
          <cell r="H1670">
            <v>107353294</v>
          </cell>
          <cell r="I1670">
            <v>100495321</v>
          </cell>
        </row>
        <row r="1671">
          <cell r="A1671" t="str">
            <v>3430|246000</v>
          </cell>
          <cell r="B1671" t="str">
            <v>3430</v>
          </cell>
          <cell r="C1671">
            <v>246000</v>
          </cell>
          <cell r="D1671">
            <v>41426</v>
          </cell>
          <cell r="E1671">
            <v>2000000</v>
          </cell>
          <cell r="F1671">
            <v>1000000</v>
          </cell>
          <cell r="G1671">
            <v>0</v>
          </cell>
          <cell r="H1671">
            <v>166667</v>
          </cell>
          <cell r="I1671">
            <v>0</v>
          </cell>
        </row>
        <row r="1672">
          <cell r="A1672" t="str">
            <v>3430|400040</v>
          </cell>
          <cell r="B1672" t="str">
            <v>3430</v>
          </cell>
          <cell r="C1672">
            <v>400040</v>
          </cell>
          <cell r="D1672">
            <v>41426</v>
          </cell>
          <cell r="E1672">
            <v>5000000</v>
          </cell>
          <cell r="F1672">
            <v>2500000</v>
          </cell>
          <cell r="G1672">
            <v>4994750</v>
          </cell>
          <cell r="H1672">
            <v>416667</v>
          </cell>
          <cell r="I1672">
            <v>0</v>
          </cell>
        </row>
        <row r="1673">
          <cell r="A1673" t="str">
            <v>3430|416103</v>
          </cell>
          <cell r="B1673" t="str">
            <v>3430</v>
          </cell>
          <cell r="C1673">
            <v>416103</v>
          </cell>
          <cell r="D1673">
            <v>41426</v>
          </cell>
          <cell r="E1673">
            <v>16000000</v>
          </cell>
          <cell r="F1673">
            <v>8000000</v>
          </cell>
          <cell r="G1673">
            <v>3521380</v>
          </cell>
          <cell r="H1673">
            <v>1333333</v>
          </cell>
          <cell r="I1673">
            <v>589922</v>
          </cell>
        </row>
        <row r="1674">
          <cell r="A1674" t="str">
            <v>3430|420002</v>
          </cell>
          <cell r="B1674" t="str">
            <v>3430</v>
          </cell>
          <cell r="C1674">
            <v>420002</v>
          </cell>
          <cell r="D1674">
            <v>41426</v>
          </cell>
          <cell r="E1674">
            <v>957176781</v>
          </cell>
          <cell r="F1674">
            <v>478588391</v>
          </cell>
          <cell r="G1674">
            <v>473895391</v>
          </cell>
          <cell r="H1674">
            <v>79764732</v>
          </cell>
          <cell r="I1674">
            <v>84603000</v>
          </cell>
        </row>
        <row r="1675">
          <cell r="A1675" t="str">
            <v>3430|420003</v>
          </cell>
          <cell r="B1675" t="str">
            <v>3430</v>
          </cell>
          <cell r="C1675">
            <v>420003</v>
          </cell>
          <cell r="D1675">
            <v>41426</v>
          </cell>
          <cell r="E1675">
            <v>1154859942</v>
          </cell>
          <cell r="F1675">
            <v>577429971</v>
          </cell>
          <cell r="G1675">
            <v>545842651</v>
          </cell>
          <cell r="H1675">
            <v>96238328</v>
          </cell>
          <cell r="I1675">
            <v>93837544</v>
          </cell>
        </row>
        <row r="1676">
          <cell r="A1676" t="str">
            <v>3430|422002</v>
          </cell>
          <cell r="B1676" t="str">
            <v>3430</v>
          </cell>
          <cell r="C1676">
            <v>422002</v>
          </cell>
          <cell r="D1676">
            <v>41426</v>
          </cell>
          <cell r="E1676">
            <v>2666790</v>
          </cell>
          <cell r="F1676">
            <v>1333395</v>
          </cell>
          <cell r="G1676">
            <v>2370650</v>
          </cell>
          <cell r="H1676">
            <v>222232</v>
          </cell>
          <cell r="I1676">
            <v>0</v>
          </cell>
        </row>
        <row r="1677">
          <cell r="A1677" t="str">
            <v>3430|422003</v>
          </cell>
          <cell r="B1677" t="str">
            <v>3430</v>
          </cell>
          <cell r="C1677">
            <v>422003</v>
          </cell>
          <cell r="D1677">
            <v>41426</v>
          </cell>
          <cell r="E1677">
            <v>2247480</v>
          </cell>
          <cell r="F1677">
            <v>1123740</v>
          </cell>
          <cell r="G1677">
            <v>571500</v>
          </cell>
          <cell r="H1677">
            <v>187290</v>
          </cell>
          <cell r="I1677">
            <v>0</v>
          </cell>
        </row>
        <row r="1678">
          <cell r="A1678" t="str">
            <v>3430|431002</v>
          </cell>
          <cell r="B1678" t="str">
            <v>3430</v>
          </cell>
          <cell r="C1678">
            <v>431002</v>
          </cell>
          <cell r="D1678">
            <v>41426</v>
          </cell>
          <cell r="E1678">
            <v>5000000</v>
          </cell>
          <cell r="F1678">
            <v>2500000</v>
          </cell>
          <cell r="G1678">
            <v>16737995</v>
          </cell>
          <cell r="H1678">
            <v>416667</v>
          </cell>
          <cell r="I1678">
            <v>1615738</v>
          </cell>
        </row>
        <row r="1679">
          <cell r="A1679" t="str">
            <v>3430|433002</v>
          </cell>
          <cell r="B1679" t="str">
            <v>3430</v>
          </cell>
          <cell r="C1679">
            <v>433002</v>
          </cell>
          <cell r="D1679">
            <v>41426</v>
          </cell>
          <cell r="E1679">
            <v>4009332</v>
          </cell>
          <cell r="F1679">
            <v>2004666</v>
          </cell>
          <cell r="G1679">
            <v>2050050</v>
          </cell>
          <cell r="H1679">
            <v>334111</v>
          </cell>
          <cell r="I1679">
            <v>341675</v>
          </cell>
        </row>
        <row r="1680">
          <cell r="A1680" t="str">
            <v>3430|433003</v>
          </cell>
          <cell r="B1680" t="str">
            <v>3430</v>
          </cell>
          <cell r="C1680">
            <v>433003</v>
          </cell>
          <cell r="D1680">
            <v>41426</v>
          </cell>
          <cell r="E1680">
            <v>40575752</v>
          </cell>
          <cell r="F1680">
            <v>20287876</v>
          </cell>
          <cell r="G1680">
            <v>16850400</v>
          </cell>
          <cell r="H1680">
            <v>3381313</v>
          </cell>
          <cell r="I1680">
            <v>2808400</v>
          </cell>
        </row>
        <row r="1681">
          <cell r="A1681" t="str">
            <v>3430|434012</v>
          </cell>
          <cell r="B1681" t="str">
            <v>3430</v>
          </cell>
          <cell r="C1681">
            <v>434012</v>
          </cell>
          <cell r="D1681">
            <v>41426</v>
          </cell>
          <cell r="E1681">
            <v>8746133</v>
          </cell>
          <cell r="F1681">
            <v>4373067</v>
          </cell>
          <cell r="G1681">
            <v>10741399</v>
          </cell>
          <cell r="H1681">
            <v>728845</v>
          </cell>
          <cell r="I1681">
            <v>1994978</v>
          </cell>
        </row>
        <row r="1682">
          <cell r="A1682" t="str">
            <v>3430|434013</v>
          </cell>
          <cell r="B1682" t="str">
            <v>3430</v>
          </cell>
          <cell r="C1682">
            <v>434013</v>
          </cell>
          <cell r="D1682">
            <v>41426</v>
          </cell>
          <cell r="E1682">
            <v>16108191</v>
          </cell>
          <cell r="F1682">
            <v>8054096</v>
          </cell>
          <cell r="G1682">
            <v>22139135</v>
          </cell>
          <cell r="H1682">
            <v>1342350</v>
          </cell>
          <cell r="I1682">
            <v>3602928</v>
          </cell>
        </row>
        <row r="1683">
          <cell r="A1683" t="str">
            <v>3430|435002</v>
          </cell>
          <cell r="B1683" t="str">
            <v>3430</v>
          </cell>
          <cell r="C1683">
            <v>435002</v>
          </cell>
          <cell r="D1683">
            <v>41426</v>
          </cell>
          <cell r="E1683">
            <v>163517700</v>
          </cell>
          <cell r="F1683">
            <v>81758850</v>
          </cell>
          <cell r="G1683">
            <v>65890563</v>
          </cell>
          <cell r="H1683">
            <v>13626475</v>
          </cell>
          <cell r="I1683">
            <v>0</v>
          </cell>
        </row>
        <row r="1684">
          <cell r="A1684" t="str">
            <v>3430|435003</v>
          </cell>
          <cell r="B1684" t="str">
            <v>3430</v>
          </cell>
          <cell r="C1684">
            <v>435003</v>
          </cell>
          <cell r="D1684">
            <v>41426</v>
          </cell>
          <cell r="E1684">
            <v>144357493</v>
          </cell>
          <cell r="F1684">
            <v>72178747</v>
          </cell>
          <cell r="G1684">
            <v>182099500</v>
          </cell>
          <cell r="H1684">
            <v>12029792</v>
          </cell>
          <cell r="I1684">
            <v>0</v>
          </cell>
        </row>
        <row r="1685">
          <cell r="A1685" t="str">
            <v>3430|439003</v>
          </cell>
          <cell r="B1685" t="str">
            <v>3430</v>
          </cell>
          <cell r="C1685">
            <v>439003</v>
          </cell>
          <cell r="D1685">
            <v>41426</v>
          </cell>
          <cell r="E1685">
            <v>236699275</v>
          </cell>
          <cell r="F1685">
            <v>118349638</v>
          </cell>
          <cell r="G1685">
            <v>120438647</v>
          </cell>
          <cell r="H1685">
            <v>19724940</v>
          </cell>
          <cell r="I1685">
            <v>19335632</v>
          </cell>
        </row>
        <row r="1686">
          <cell r="A1686" t="str">
            <v>3430|439008</v>
          </cell>
          <cell r="B1686" t="str">
            <v>3430</v>
          </cell>
          <cell r="C1686">
            <v>439008</v>
          </cell>
          <cell r="D1686">
            <v>41426</v>
          </cell>
          <cell r="E1686">
            <v>197064750</v>
          </cell>
          <cell r="F1686">
            <v>98532375</v>
          </cell>
          <cell r="G1686">
            <v>106196715</v>
          </cell>
          <cell r="H1686">
            <v>16422062</v>
          </cell>
          <cell r="I1686">
            <v>19179051</v>
          </cell>
        </row>
        <row r="1687">
          <cell r="A1687" t="str">
            <v>3430|439202</v>
          </cell>
          <cell r="B1687" t="str">
            <v>3430</v>
          </cell>
          <cell r="C1687">
            <v>439202</v>
          </cell>
          <cell r="D1687">
            <v>41426</v>
          </cell>
          <cell r="E1687">
            <v>57600000</v>
          </cell>
          <cell r="F1687">
            <v>28800000</v>
          </cell>
          <cell r="G1687">
            <v>32950000</v>
          </cell>
          <cell r="H1687">
            <v>4800000</v>
          </cell>
          <cell r="I1687">
            <v>5425000</v>
          </cell>
        </row>
        <row r="1688">
          <cell r="A1688" t="str">
            <v>3430|439203</v>
          </cell>
          <cell r="B1688" t="str">
            <v>3430</v>
          </cell>
          <cell r="C1688">
            <v>439203</v>
          </cell>
          <cell r="D1688">
            <v>41426</v>
          </cell>
          <cell r="E1688">
            <v>26800000</v>
          </cell>
          <cell r="F1688">
            <v>13400000</v>
          </cell>
          <cell r="G1688">
            <v>16825000</v>
          </cell>
          <cell r="H1688">
            <v>2233333</v>
          </cell>
          <cell r="I1688">
            <v>2625000</v>
          </cell>
        </row>
        <row r="1689">
          <cell r="A1689" t="str">
            <v>3430|440002</v>
          </cell>
          <cell r="B1689" t="str">
            <v>3430</v>
          </cell>
          <cell r="C1689">
            <v>440002</v>
          </cell>
          <cell r="D1689">
            <v>41426</v>
          </cell>
          <cell r="E1689">
            <v>79764732</v>
          </cell>
          <cell r="F1689">
            <v>39882366</v>
          </cell>
          <cell r="G1689">
            <v>38701846</v>
          </cell>
          <cell r="H1689">
            <v>6647061</v>
          </cell>
          <cell r="I1689">
            <v>4771427</v>
          </cell>
        </row>
        <row r="1690">
          <cell r="A1690" t="str">
            <v>3430|440003</v>
          </cell>
          <cell r="B1690" t="str">
            <v>3430</v>
          </cell>
          <cell r="C1690">
            <v>440003</v>
          </cell>
          <cell r="D1690">
            <v>41426</v>
          </cell>
          <cell r="E1690">
            <v>96238328</v>
          </cell>
          <cell r="F1690">
            <v>48119164</v>
          </cell>
          <cell r="G1690">
            <v>53295052</v>
          </cell>
          <cell r="H1690">
            <v>8019861</v>
          </cell>
          <cell r="I1690">
            <v>11152680</v>
          </cell>
        </row>
        <row r="1691">
          <cell r="A1691" t="str">
            <v>3430|446002</v>
          </cell>
          <cell r="B1691" t="str">
            <v>3430</v>
          </cell>
          <cell r="C1691">
            <v>446002</v>
          </cell>
          <cell r="D1691">
            <v>41426</v>
          </cell>
          <cell r="E1691">
            <v>48312366</v>
          </cell>
          <cell r="F1691">
            <v>24156183</v>
          </cell>
          <cell r="G1691">
            <v>4850000</v>
          </cell>
          <cell r="H1691">
            <v>4026030</v>
          </cell>
          <cell r="I1691">
            <v>800000</v>
          </cell>
        </row>
        <row r="1692">
          <cell r="A1692" t="str">
            <v>3430|447002</v>
          </cell>
          <cell r="B1692" t="str">
            <v>3430</v>
          </cell>
          <cell r="C1692">
            <v>447002</v>
          </cell>
          <cell r="D1692">
            <v>41426</v>
          </cell>
          <cell r="E1692">
            <v>15027675</v>
          </cell>
          <cell r="F1692">
            <v>7513838</v>
          </cell>
          <cell r="G1692">
            <v>3024549</v>
          </cell>
          <cell r="H1692">
            <v>1252307</v>
          </cell>
          <cell r="I1692">
            <v>531738</v>
          </cell>
        </row>
        <row r="1693">
          <cell r="A1693" t="str">
            <v>3430|447003</v>
          </cell>
          <cell r="B1693" t="str">
            <v>3430</v>
          </cell>
          <cell r="C1693">
            <v>447003</v>
          </cell>
          <cell r="D1693">
            <v>41426</v>
          </cell>
          <cell r="E1693">
            <v>18129761</v>
          </cell>
          <cell r="F1693">
            <v>9064881</v>
          </cell>
          <cell r="G1693">
            <v>2995854</v>
          </cell>
          <cell r="H1693">
            <v>1510814</v>
          </cell>
          <cell r="I1693">
            <v>509569</v>
          </cell>
        </row>
        <row r="1694">
          <cell r="A1694" t="str">
            <v>3430|447012</v>
          </cell>
          <cell r="B1694" t="str">
            <v>3430</v>
          </cell>
          <cell r="C1694">
            <v>447012</v>
          </cell>
          <cell r="D1694">
            <v>41426</v>
          </cell>
          <cell r="E1694">
            <v>35415541</v>
          </cell>
          <cell r="F1694">
            <v>17707771</v>
          </cell>
          <cell r="G1694">
            <v>17645294</v>
          </cell>
          <cell r="H1694">
            <v>2951296</v>
          </cell>
          <cell r="I1694">
            <v>3130313</v>
          </cell>
        </row>
        <row r="1695">
          <cell r="A1695" t="str">
            <v>3430|447013</v>
          </cell>
          <cell r="B1695" t="str">
            <v>3430</v>
          </cell>
          <cell r="C1695">
            <v>447013</v>
          </cell>
          <cell r="D1695">
            <v>41426</v>
          </cell>
          <cell r="E1695">
            <v>42752800</v>
          </cell>
          <cell r="F1695">
            <v>21376400</v>
          </cell>
          <cell r="G1695">
            <v>20527128</v>
          </cell>
          <cell r="H1695">
            <v>3562733</v>
          </cell>
          <cell r="I1695">
            <v>3491488</v>
          </cell>
        </row>
        <row r="1696">
          <cell r="A1696" t="str">
            <v>3430|447022</v>
          </cell>
          <cell r="B1696" t="str">
            <v>3430</v>
          </cell>
          <cell r="C1696">
            <v>447022</v>
          </cell>
          <cell r="D1696">
            <v>41426</v>
          </cell>
          <cell r="E1696">
            <v>1502768</v>
          </cell>
          <cell r="F1696">
            <v>751384</v>
          </cell>
          <cell r="G1696">
            <v>445840</v>
          </cell>
          <cell r="H1696">
            <v>125231</v>
          </cell>
          <cell r="I1696">
            <v>81807</v>
          </cell>
        </row>
        <row r="1697">
          <cell r="A1697" t="str">
            <v>3430|447023</v>
          </cell>
          <cell r="B1697" t="str">
            <v>3430</v>
          </cell>
          <cell r="C1697">
            <v>447023</v>
          </cell>
          <cell r="D1697">
            <v>41426</v>
          </cell>
          <cell r="E1697">
            <v>1523342</v>
          </cell>
          <cell r="F1697">
            <v>761671</v>
          </cell>
          <cell r="G1697">
            <v>661808</v>
          </cell>
          <cell r="H1697">
            <v>126945</v>
          </cell>
          <cell r="I1697">
            <v>113541</v>
          </cell>
        </row>
        <row r="1698">
          <cell r="A1698" t="str">
            <v>3430|448002</v>
          </cell>
          <cell r="B1698" t="str">
            <v>3430</v>
          </cell>
          <cell r="C1698">
            <v>448002</v>
          </cell>
          <cell r="D1698">
            <v>41426</v>
          </cell>
          <cell r="E1698">
            <v>71613490</v>
          </cell>
          <cell r="F1698">
            <v>35806745</v>
          </cell>
          <cell r="G1698">
            <v>26107131</v>
          </cell>
          <cell r="H1698">
            <v>5967791</v>
          </cell>
          <cell r="I1698">
            <v>801000</v>
          </cell>
        </row>
        <row r="1699">
          <cell r="A1699" t="str">
            <v>3430|448003</v>
          </cell>
          <cell r="B1699" t="str">
            <v>3430</v>
          </cell>
          <cell r="C1699">
            <v>448003</v>
          </cell>
          <cell r="D1699">
            <v>41426</v>
          </cell>
          <cell r="E1699">
            <v>68410752</v>
          </cell>
          <cell r="F1699">
            <v>34205376</v>
          </cell>
          <cell r="G1699">
            <v>4672950</v>
          </cell>
          <cell r="H1699">
            <v>5700896</v>
          </cell>
          <cell r="I1699">
            <v>978800</v>
          </cell>
        </row>
        <row r="1700">
          <cell r="A1700" t="str">
            <v>3430|449004</v>
          </cell>
          <cell r="B1700" t="str">
            <v>3430</v>
          </cell>
          <cell r="C1700">
            <v>449004</v>
          </cell>
          <cell r="D1700">
            <v>41426</v>
          </cell>
          <cell r="E1700">
            <v>20000000</v>
          </cell>
          <cell r="F1700">
            <v>10000000</v>
          </cell>
          <cell r="G1700">
            <v>0</v>
          </cell>
          <cell r="H1700">
            <v>1666667</v>
          </cell>
          <cell r="I1700">
            <v>0</v>
          </cell>
        </row>
        <row r="1701">
          <cell r="A1701" t="str">
            <v>3430|449022</v>
          </cell>
          <cell r="B1701" t="str">
            <v>3430</v>
          </cell>
          <cell r="C1701">
            <v>449022</v>
          </cell>
          <cell r="D1701">
            <v>41426</v>
          </cell>
          <cell r="E1701">
            <v>47520000</v>
          </cell>
          <cell r="F1701">
            <v>23760000</v>
          </cell>
          <cell r="G1701">
            <v>23274000</v>
          </cell>
          <cell r="H1701">
            <v>3960000</v>
          </cell>
          <cell r="I1701">
            <v>3795000</v>
          </cell>
        </row>
        <row r="1702">
          <cell r="A1702" t="str">
            <v>3430|449023</v>
          </cell>
          <cell r="B1702" t="str">
            <v>3430</v>
          </cell>
          <cell r="C1702">
            <v>449023</v>
          </cell>
          <cell r="D1702">
            <v>41426</v>
          </cell>
          <cell r="E1702">
            <v>19800000</v>
          </cell>
          <cell r="F1702">
            <v>9900000</v>
          </cell>
          <cell r="G1702">
            <v>9926000</v>
          </cell>
          <cell r="H1702">
            <v>1650000</v>
          </cell>
          <cell r="I1702">
            <v>1664500</v>
          </cell>
        </row>
        <row r="1703">
          <cell r="A1703" t="str">
            <v>3430|449032</v>
          </cell>
          <cell r="B1703" t="str">
            <v>3430</v>
          </cell>
          <cell r="C1703">
            <v>449032</v>
          </cell>
          <cell r="D1703">
            <v>41426</v>
          </cell>
          <cell r="E1703">
            <v>26800000</v>
          </cell>
          <cell r="F1703">
            <v>13400000</v>
          </cell>
          <cell r="G1703">
            <v>0</v>
          </cell>
          <cell r="H1703">
            <v>2233334</v>
          </cell>
          <cell r="I1703">
            <v>0</v>
          </cell>
        </row>
        <row r="1704">
          <cell r="A1704" t="str">
            <v>3430|449040</v>
          </cell>
          <cell r="B1704" t="str">
            <v>3430</v>
          </cell>
          <cell r="C1704">
            <v>449040</v>
          </cell>
          <cell r="D1704">
            <v>41426</v>
          </cell>
          <cell r="E1704">
            <v>12316707</v>
          </cell>
          <cell r="F1704">
            <v>6158354</v>
          </cell>
          <cell r="G1704">
            <v>4153250</v>
          </cell>
          <cell r="H1704">
            <v>1026393</v>
          </cell>
          <cell r="I1704">
            <v>1140000</v>
          </cell>
        </row>
        <row r="1705">
          <cell r="A1705" t="str">
            <v>3430|449061</v>
          </cell>
          <cell r="B1705" t="str">
            <v>3430</v>
          </cell>
          <cell r="C1705">
            <v>449061</v>
          </cell>
          <cell r="D1705">
            <v>41426</v>
          </cell>
          <cell r="E1705">
            <v>50000000</v>
          </cell>
          <cell r="F1705">
            <v>25000000</v>
          </cell>
          <cell r="G1705">
            <v>13088100</v>
          </cell>
          <cell r="H1705">
            <v>4166667</v>
          </cell>
          <cell r="I1705">
            <v>5105500</v>
          </cell>
        </row>
        <row r="1706">
          <cell r="A1706" t="str">
            <v>3430|451000</v>
          </cell>
          <cell r="B1706" t="str">
            <v>3430</v>
          </cell>
          <cell r="C1706">
            <v>451000</v>
          </cell>
          <cell r="D1706">
            <v>41426</v>
          </cell>
          <cell r="E1706">
            <v>7500000</v>
          </cell>
          <cell r="F1706">
            <v>3750000</v>
          </cell>
          <cell r="G1706">
            <v>12960000</v>
          </cell>
          <cell r="H1706">
            <v>625000</v>
          </cell>
          <cell r="I1706">
            <v>7200000</v>
          </cell>
        </row>
        <row r="1707">
          <cell r="A1707" t="str">
            <v>3430|455000</v>
          </cell>
          <cell r="B1707" t="str">
            <v>3430</v>
          </cell>
          <cell r="C1707">
            <v>455000</v>
          </cell>
          <cell r="D1707">
            <v>41426</v>
          </cell>
          <cell r="E1707">
            <v>0</v>
          </cell>
          <cell r="F1707">
            <v>0</v>
          </cell>
          <cell r="G1707">
            <v>1130159</v>
          </cell>
          <cell r="H1707">
            <v>0</v>
          </cell>
          <cell r="I1707">
            <v>0</v>
          </cell>
        </row>
        <row r="1708">
          <cell r="A1708" t="str">
            <v>3430|455001</v>
          </cell>
          <cell r="B1708" t="str">
            <v>3430</v>
          </cell>
          <cell r="C1708">
            <v>455001</v>
          </cell>
          <cell r="D1708">
            <v>41426</v>
          </cell>
          <cell r="E1708">
            <v>0</v>
          </cell>
          <cell r="F1708">
            <v>0</v>
          </cell>
          <cell r="G1708">
            <v>2280000</v>
          </cell>
          <cell r="H1708">
            <v>0</v>
          </cell>
          <cell r="I1708">
            <v>0</v>
          </cell>
        </row>
        <row r="1709">
          <cell r="A1709" t="str">
            <v>3430|459000</v>
          </cell>
          <cell r="B1709" t="str">
            <v>3430</v>
          </cell>
          <cell r="C1709">
            <v>459000</v>
          </cell>
          <cell r="D1709">
            <v>41426</v>
          </cell>
          <cell r="E1709">
            <v>8000000</v>
          </cell>
          <cell r="F1709">
            <v>4000000</v>
          </cell>
          <cell r="G1709">
            <v>7342050</v>
          </cell>
          <cell r="H1709">
            <v>666667</v>
          </cell>
          <cell r="I1709">
            <v>2642050</v>
          </cell>
        </row>
        <row r="1710">
          <cell r="A1710" t="str">
            <v>3430|459005</v>
          </cell>
          <cell r="B1710" t="str">
            <v>3430</v>
          </cell>
          <cell r="C1710">
            <v>459005</v>
          </cell>
          <cell r="D1710">
            <v>41426</v>
          </cell>
          <cell r="E1710">
            <v>4700000</v>
          </cell>
          <cell r="F1710">
            <v>2350000</v>
          </cell>
          <cell r="G1710">
            <v>0</v>
          </cell>
          <cell r="H1710">
            <v>391666</v>
          </cell>
          <cell r="I1710">
            <v>0</v>
          </cell>
        </row>
        <row r="1711">
          <cell r="A1711" t="str">
            <v>3430|471000</v>
          </cell>
          <cell r="B1711" t="str">
            <v>3430</v>
          </cell>
          <cell r="C1711">
            <v>471000</v>
          </cell>
          <cell r="D1711">
            <v>41426</v>
          </cell>
          <cell r="E1711">
            <v>0</v>
          </cell>
          <cell r="F1711">
            <v>0</v>
          </cell>
          <cell r="G1711">
            <v>19962070</v>
          </cell>
          <cell r="H1711">
            <v>0</v>
          </cell>
          <cell r="I1711">
            <v>0</v>
          </cell>
        </row>
        <row r="1712">
          <cell r="A1712" t="str">
            <v>3430|472000</v>
          </cell>
          <cell r="B1712" t="str">
            <v>3430</v>
          </cell>
          <cell r="C1712">
            <v>472000</v>
          </cell>
          <cell r="D1712">
            <v>41426</v>
          </cell>
          <cell r="E1712">
            <v>15000000</v>
          </cell>
          <cell r="F1712">
            <v>7500000</v>
          </cell>
          <cell r="G1712">
            <v>202000</v>
          </cell>
          <cell r="H1712">
            <v>1250000</v>
          </cell>
          <cell r="I1712">
            <v>202000</v>
          </cell>
        </row>
        <row r="1713">
          <cell r="A1713" t="str">
            <v>3430|473000</v>
          </cell>
          <cell r="B1713" t="str">
            <v>3430</v>
          </cell>
          <cell r="C1713">
            <v>473000</v>
          </cell>
          <cell r="D1713">
            <v>41426</v>
          </cell>
          <cell r="E1713">
            <v>2500000</v>
          </cell>
          <cell r="F1713">
            <v>1250000</v>
          </cell>
          <cell r="G1713">
            <v>1137000</v>
          </cell>
          <cell r="H1713">
            <v>208333</v>
          </cell>
          <cell r="I1713">
            <v>336000</v>
          </cell>
        </row>
        <row r="1714">
          <cell r="A1714" t="str">
            <v>3430|473120</v>
          </cell>
          <cell r="B1714" t="str">
            <v>3430</v>
          </cell>
          <cell r="C1714">
            <v>473120</v>
          </cell>
          <cell r="D1714">
            <v>41426</v>
          </cell>
          <cell r="E1714">
            <v>12000000</v>
          </cell>
          <cell r="F1714">
            <v>6000000</v>
          </cell>
          <cell r="G1714">
            <v>7267989</v>
          </cell>
          <cell r="H1714">
            <v>1000000</v>
          </cell>
          <cell r="I1714">
            <v>1630309</v>
          </cell>
        </row>
        <row r="1715">
          <cell r="A1715" t="str">
            <v>3430|474100</v>
          </cell>
          <cell r="B1715" t="str">
            <v>3430</v>
          </cell>
          <cell r="C1715">
            <v>474100</v>
          </cell>
          <cell r="D1715">
            <v>41426</v>
          </cell>
          <cell r="E1715">
            <v>198684100</v>
          </cell>
          <cell r="F1715">
            <v>99342050</v>
          </cell>
          <cell r="G1715">
            <v>137201909</v>
          </cell>
          <cell r="H1715">
            <v>16557008</v>
          </cell>
          <cell r="I1715">
            <v>51282088</v>
          </cell>
        </row>
        <row r="1716">
          <cell r="A1716" t="str">
            <v>3430|474101</v>
          </cell>
          <cell r="B1716" t="str">
            <v>3430</v>
          </cell>
          <cell r="C1716">
            <v>474101</v>
          </cell>
          <cell r="D1716">
            <v>41426</v>
          </cell>
          <cell r="E1716">
            <v>33387800</v>
          </cell>
          <cell r="F1716">
            <v>16693900</v>
          </cell>
          <cell r="G1716">
            <v>475784</v>
          </cell>
          <cell r="H1716">
            <v>2782317</v>
          </cell>
          <cell r="I1716">
            <v>910000</v>
          </cell>
        </row>
        <row r="1717">
          <cell r="A1717" t="str">
            <v>3430|475000</v>
          </cell>
          <cell r="B1717" t="str">
            <v>3430</v>
          </cell>
          <cell r="C1717">
            <v>475000</v>
          </cell>
          <cell r="D1717">
            <v>41426</v>
          </cell>
          <cell r="E1717">
            <v>40000000</v>
          </cell>
          <cell r="F1717">
            <v>20000000</v>
          </cell>
          <cell r="G1717">
            <v>10177669</v>
          </cell>
          <cell r="H1717">
            <v>3333333</v>
          </cell>
          <cell r="I1717">
            <v>3177692</v>
          </cell>
        </row>
        <row r="1718">
          <cell r="A1718" t="str">
            <v>3430|475001</v>
          </cell>
          <cell r="B1718" t="str">
            <v>3430</v>
          </cell>
          <cell r="C1718">
            <v>475001</v>
          </cell>
          <cell r="D1718">
            <v>41426</v>
          </cell>
          <cell r="E1718">
            <v>22126062</v>
          </cell>
          <cell r="F1718">
            <v>11063031</v>
          </cell>
          <cell r="G1718">
            <v>28981400</v>
          </cell>
          <cell r="H1718">
            <v>1843838</v>
          </cell>
          <cell r="I1718">
            <v>1602500</v>
          </cell>
        </row>
        <row r="1719">
          <cell r="A1719" t="str">
            <v>3430|475002</v>
          </cell>
          <cell r="B1719" t="str">
            <v>3430</v>
          </cell>
          <cell r="C1719">
            <v>475002</v>
          </cell>
          <cell r="D1719">
            <v>41426</v>
          </cell>
          <cell r="E1719">
            <v>761256</v>
          </cell>
          <cell r="F1719">
            <v>380628</v>
          </cell>
          <cell r="G1719">
            <v>5096256</v>
          </cell>
          <cell r="H1719">
            <v>63438</v>
          </cell>
          <cell r="I1719">
            <v>849376</v>
          </cell>
        </row>
        <row r="1720">
          <cell r="A1720" t="str">
            <v>3430|475003</v>
          </cell>
          <cell r="B1720" t="str">
            <v>3430</v>
          </cell>
          <cell r="C1720">
            <v>475003</v>
          </cell>
          <cell r="D1720">
            <v>41426</v>
          </cell>
          <cell r="E1720">
            <v>2398267</v>
          </cell>
          <cell r="F1720">
            <v>1199134</v>
          </cell>
          <cell r="G1720">
            <v>541646</v>
          </cell>
          <cell r="H1720">
            <v>199856</v>
          </cell>
          <cell r="I1720">
            <v>200000</v>
          </cell>
        </row>
        <row r="1721">
          <cell r="A1721" t="str">
            <v>3430|475004</v>
          </cell>
          <cell r="B1721" t="str">
            <v>3430</v>
          </cell>
          <cell r="C1721">
            <v>475004</v>
          </cell>
          <cell r="D1721">
            <v>41426</v>
          </cell>
          <cell r="E1721">
            <v>20514692</v>
          </cell>
          <cell r="F1721">
            <v>10257346</v>
          </cell>
          <cell r="G1721">
            <v>11630206</v>
          </cell>
          <cell r="H1721">
            <v>1709558</v>
          </cell>
          <cell r="I1721">
            <v>1206000</v>
          </cell>
        </row>
        <row r="1722">
          <cell r="A1722" t="str">
            <v>3430|475006</v>
          </cell>
          <cell r="B1722" t="str">
            <v>3430</v>
          </cell>
          <cell r="C1722">
            <v>475006</v>
          </cell>
          <cell r="D1722">
            <v>41426</v>
          </cell>
          <cell r="E1722">
            <v>11764053</v>
          </cell>
          <cell r="F1722">
            <v>5882027</v>
          </cell>
          <cell r="G1722">
            <v>5094373</v>
          </cell>
          <cell r="H1722">
            <v>980338</v>
          </cell>
          <cell r="I1722">
            <v>950562</v>
          </cell>
        </row>
        <row r="1723">
          <cell r="A1723" t="str">
            <v>3430|476000</v>
          </cell>
          <cell r="B1723" t="str">
            <v>3430</v>
          </cell>
          <cell r="C1723">
            <v>476000</v>
          </cell>
          <cell r="D1723">
            <v>41426</v>
          </cell>
          <cell r="E1723">
            <v>75000000</v>
          </cell>
          <cell r="F1723">
            <v>37500000</v>
          </cell>
          <cell r="G1723">
            <v>66318859</v>
          </cell>
          <cell r="H1723">
            <v>6250000</v>
          </cell>
          <cell r="I1723">
            <v>46167659</v>
          </cell>
        </row>
        <row r="1724">
          <cell r="A1724" t="str">
            <v>3430|476001</v>
          </cell>
          <cell r="B1724" t="str">
            <v>3430</v>
          </cell>
          <cell r="C1724">
            <v>476001</v>
          </cell>
          <cell r="D1724">
            <v>41426</v>
          </cell>
          <cell r="E1724">
            <v>4812000</v>
          </cell>
          <cell r="F1724">
            <v>2406000</v>
          </cell>
          <cell r="G1724">
            <v>3012000</v>
          </cell>
          <cell r="H1724">
            <v>401000</v>
          </cell>
          <cell r="I1724">
            <v>0</v>
          </cell>
        </row>
        <row r="1725">
          <cell r="A1725" t="str">
            <v>3430|476002</v>
          </cell>
          <cell r="B1725" t="str">
            <v>3430</v>
          </cell>
          <cell r="C1725">
            <v>476002</v>
          </cell>
          <cell r="D1725">
            <v>41426</v>
          </cell>
          <cell r="E1725">
            <v>1500000</v>
          </cell>
          <cell r="F1725">
            <v>750000</v>
          </cell>
          <cell r="G1725">
            <v>812000</v>
          </cell>
          <cell r="H1725">
            <v>125000</v>
          </cell>
          <cell r="I1725">
            <v>0</v>
          </cell>
        </row>
        <row r="1726">
          <cell r="A1726" t="str">
            <v>3430|476220</v>
          </cell>
          <cell r="B1726" t="str">
            <v>3430</v>
          </cell>
          <cell r="C1726">
            <v>476220</v>
          </cell>
          <cell r="D1726">
            <v>41426</v>
          </cell>
          <cell r="E1726">
            <v>53176324</v>
          </cell>
          <cell r="F1726">
            <v>26588162</v>
          </cell>
          <cell r="G1726">
            <v>23005860</v>
          </cell>
          <cell r="H1726">
            <v>4431360</v>
          </cell>
          <cell r="I1726">
            <v>4374615</v>
          </cell>
        </row>
        <row r="1727">
          <cell r="A1727" t="str">
            <v>3430|477310</v>
          </cell>
          <cell r="B1727" t="str">
            <v>3430</v>
          </cell>
          <cell r="C1727">
            <v>477310</v>
          </cell>
          <cell r="D1727">
            <v>41426</v>
          </cell>
          <cell r="E1727">
            <v>0</v>
          </cell>
          <cell r="F1727">
            <v>0</v>
          </cell>
          <cell r="G1727">
            <v>2947355</v>
          </cell>
          <cell r="H1727">
            <v>0</v>
          </cell>
          <cell r="I1727">
            <v>2022237</v>
          </cell>
        </row>
        <row r="1728">
          <cell r="A1728" t="str">
            <v>3430|477450</v>
          </cell>
          <cell r="B1728" t="str">
            <v>3430</v>
          </cell>
          <cell r="C1728">
            <v>477450</v>
          </cell>
          <cell r="D1728">
            <v>41426</v>
          </cell>
          <cell r="E1728">
            <v>0</v>
          </cell>
          <cell r="F1728">
            <v>0</v>
          </cell>
          <cell r="G1728">
            <v>16606885</v>
          </cell>
          <cell r="H1728">
            <v>0</v>
          </cell>
          <cell r="I1728">
            <v>0</v>
          </cell>
        </row>
        <row r="1729">
          <cell r="A1729" t="str">
            <v>3430|477500</v>
          </cell>
          <cell r="B1729" t="str">
            <v>3430</v>
          </cell>
          <cell r="C1729">
            <v>477500</v>
          </cell>
          <cell r="D1729">
            <v>41426</v>
          </cell>
          <cell r="E1729">
            <v>295207400</v>
          </cell>
          <cell r="F1729">
            <v>147603700</v>
          </cell>
          <cell r="G1729">
            <v>295844084</v>
          </cell>
          <cell r="H1729">
            <v>24600617</v>
          </cell>
          <cell r="I1729">
            <v>-131410952</v>
          </cell>
        </row>
        <row r="1730">
          <cell r="A1730" t="str">
            <v>3430|477800</v>
          </cell>
          <cell r="B1730" t="str">
            <v>3430</v>
          </cell>
          <cell r="C1730">
            <v>477800</v>
          </cell>
          <cell r="D1730">
            <v>41426</v>
          </cell>
          <cell r="E1730">
            <v>600000000</v>
          </cell>
          <cell r="F1730">
            <v>300000000</v>
          </cell>
          <cell r="G1730">
            <v>189536584</v>
          </cell>
          <cell r="H1730">
            <v>50000000</v>
          </cell>
          <cell r="I1730">
            <v>114533241</v>
          </cell>
        </row>
        <row r="1731">
          <cell r="A1731" t="str">
            <v>3440|211100</v>
          </cell>
          <cell r="B1731" t="str">
            <v>3440</v>
          </cell>
          <cell r="C1731">
            <v>211100</v>
          </cell>
          <cell r="D1731">
            <v>41426</v>
          </cell>
          <cell r="E1731">
            <v>683129221</v>
          </cell>
          <cell r="F1731">
            <v>341564611</v>
          </cell>
          <cell r="G1731">
            <v>334613676</v>
          </cell>
          <cell r="H1731">
            <v>56927436</v>
          </cell>
          <cell r="I1731">
            <v>57805633</v>
          </cell>
        </row>
        <row r="1732">
          <cell r="A1732" t="str">
            <v>3440|400040</v>
          </cell>
          <cell r="B1732" t="str">
            <v>3440</v>
          </cell>
          <cell r="C1732">
            <v>400040</v>
          </cell>
          <cell r="D1732">
            <v>41426</v>
          </cell>
          <cell r="E1732">
            <v>70000000</v>
          </cell>
          <cell r="F1732">
            <v>35000000</v>
          </cell>
          <cell r="G1732">
            <v>12444906</v>
          </cell>
          <cell r="H1732">
            <v>5833333</v>
          </cell>
          <cell r="I1732">
            <v>0</v>
          </cell>
        </row>
        <row r="1733">
          <cell r="A1733" t="str">
            <v>3440|405200</v>
          </cell>
          <cell r="B1733" t="str">
            <v>3440</v>
          </cell>
          <cell r="C1733">
            <v>405200</v>
          </cell>
          <cell r="D1733">
            <v>41426</v>
          </cell>
          <cell r="E1733">
            <v>85000000</v>
          </cell>
          <cell r="F1733">
            <v>42500000</v>
          </cell>
          <cell r="G1733">
            <v>29853100</v>
          </cell>
          <cell r="H1733">
            <v>7083333</v>
          </cell>
          <cell r="I1733">
            <v>13182600</v>
          </cell>
        </row>
        <row r="1734">
          <cell r="A1734" t="str">
            <v>3440|405250</v>
          </cell>
          <cell r="B1734" t="str">
            <v>3440</v>
          </cell>
          <cell r="C1734">
            <v>405250</v>
          </cell>
          <cell r="D1734">
            <v>41426</v>
          </cell>
          <cell r="E1734">
            <v>9500000000</v>
          </cell>
          <cell r="F1734">
            <v>4750000000</v>
          </cell>
          <cell r="G1734">
            <v>6437932910</v>
          </cell>
          <cell r="H1734">
            <v>791666667</v>
          </cell>
          <cell r="I1734">
            <v>606470047</v>
          </cell>
        </row>
        <row r="1735">
          <cell r="A1735" t="str">
            <v>3440|405251</v>
          </cell>
          <cell r="B1735" t="str">
            <v>3440</v>
          </cell>
          <cell r="C1735">
            <v>405251</v>
          </cell>
          <cell r="D1735">
            <v>41426</v>
          </cell>
          <cell r="E1735">
            <v>30000000</v>
          </cell>
          <cell r="F1735">
            <v>15000000</v>
          </cell>
          <cell r="G1735">
            <v>2908690</v>
          </cell>
          <cell r="H1735">
            <v>2500000</v>
          </cell>
          <cell r="I1735">
            <v>0</v>
          </cell>
        </row>
        <row r="1736">
          <cell r="A1736" t="str">
            <v>3440|420001</v>
          </cell>
          <cell r="B1736" t="str">
            <v>3440</v>
          </cell>
          <cell r="C1736">
            <v>420001</v>
          </cell>
          <cell r="D1736">
            <v>41426</v>
          </cell>
          <cell r="E1736">
            <v>711982708</v>
          </cell>
          <cell r="F1736">
            <v>355991354</v>
          </cell>
          <cell r="G1736">
            <v>384861081</v>
          </cell>
          <cell r="H1736">
            <v>59331892</v>
          </cell>
          <cell r="I1736">
            <v>68781752</v>
          </cell>
        </row>
        <row r="1737">
          <cell r="A1737" t="str">
            <v>3440|420002</v>
          </cell>
          <cell r="B1737" t="str">
            <v>3440</v>
          </cell>
          <cell r="C1737">
            <v>420002</v>
          </cell>
          <cell r="D1737">
            <v>41426</v>
          </cell>
          <cell r="E1737">
            <v>558353122</v>
          </cell>
          <cell r="F1737">
            <v>279176561</v>
          </cell>
          <cell r="G1737">
            <v>346459000</v>
          </cell>
          <cell r="H1737">
            <v>46529427</v>
          </cell>
          <cell r="I1737">
            <v>42671500</v>
          </cell>
        </row>
        <row r="1738">
          <cell r="A1738" t="str">
            <v>3440|420003</v>
          </cell>
          <cell r="B1738" t="str">
            <v>3440</v>
          </cell>
          <cell r="C1738">
            <v>420003</v>
          </cell>
          <cell r="D1738">
            <v>41426</v>
          </cell>
          <cell r="E1738">
            <v>549334080</v>
          </cell>
          <cell r="F1738">
            <v>274667040</v>
          </cell>
          <cell r="G1738">
            <v>291230009</v>
          </cell>
          <cell r="H1738">
            <v>45777840</v>
          </cell>
          <cell r="I1738">
            <v>57054634</v>
          </cell>
        </row>
        <row r="1739">
          <cell r="A1739" t="str">
            <v>3440|422001</v>
          </cell>
          <cell r="B1739" t="str">
            <v>3440</v>
          </cell>
          <cell r="C1739">
            <v>422001</v>
          </cell>
          <cell r="D1739">
            <v>41426</v>
          </cell>
          <cell r="E1739">
            <v>1088280</v>
          </cell>
          <cell r="F1739">
            <v>544140</v>
          </cell>
          <cell r="G1739">
            <v>912200</v>
          </cell>
          <cell r="H1739">
            <v>90690</v>
          </cell>
          <cell r="I1739">
            <v>0</v>
          </cell>
        </row>
        <row r="1740">
          <cell r="A1740" t="str">
            <v>3440|422002</v>
          </cell>
          <cell r="B1740" t="str">
            <v>3440</v>
          </cell>
          <cell r="C1740">
            <v>422002</v>
          </cell>
          <cell r="D1740">
            <v>41426</v>
          </cell>
          <cell r="E1740">
            <v>31410000</v>
          </cell>
          <cell r="F1740">
            <v>15705000</v>
          </cell>
          <cell r="G1740">
            <v>9908850</v>
          </cell>
          <cell r="H1740">
            <v>2617500</v>
          </cell>
          <cell r="I1740">
            <v>0</v>
          </cell>
        </row>
        <row r="1741">
          <cell r="A1741" t="str">
            <v>3440|422003</v>
          </cell>
          <cell r="B1741" t="str">
            <v>3440</v>
          </cell>
          <cell r="C1741">
            <v>422003</v>
          </cell>
          <cell r="D1741">
            <v>41426</v>
          </cell>
          <cell r="E1741">
            <v>52177500</v>
          </cell>
          <cell r="F1741">
            <v>26088750</v>
          </cell>
          <cell r="G1741">
            <v>20172750</v>
          </cell>
          <cell r="H1741">
            <v>4348125</v>
          </cell>
          <cell r="I1741">
            <v>0</v>
          </cell>
        </row>
        <row r="1742">
          <cell r="A1742" t="str">
            <v>3440|431001</v>
          </cell>
          <cell r="B1742" t="str">
            <v>3440</v>
          </cell>
          <cell r="C1742">
            <v>431001</v>
          </cell>
          <cell r="D1742">
            <v>41426</v>
          </cell>
          <cell r="E1742">
            <v>190000000</v>
          </cell>
          <cell r="F1742">
            <v>95000000</v>
          </cell>
          <cell r="G1742">
            <v>70908893</v>
          </cell>
          <cell r="H1742">
            <v>15833333</v>
          </cell>
          <cell r="I1742">
            <v>14495920</v>
          </cell>
        </row>
        <row r="1743">
          <cell r="A1743" t="str">
            <v>3440|431002</v>
          </cell>
          <cell r="B1743" t="str">
            <v>3440</v>
          </cell>
          <cell r="C1743">
            <v>431002</v>
          </cell>
          <cell r="D1743">
            <v>41426</v>
          </cell>
          <cell r="E1743">
            <v>94714020</v>
          </cell>
          <cell r="F1743">
            <v>47357010</v>
          </cell>
          <cell r="G1743">
            <v>13991568</v>
          </cell>
          <cell r="H1743">
            <v>7892835</v>
          </cell>
          <cell r="I1743">
            <v>0</v>
          </cell>
        </row>
        <row r="1744">
          <cell r="A1744" t="str">
            <v>3440|433001</v>
          </cell>
          <cell r="B1744" t="str">
            <v>3440</v>
          </cell>
          <cell r="C1744">
            <v>433001</v>
          </cell>
          <cell r="D1744">
            <v>41426</v>
          </cell>
          <cell r="E1744">
            <v>7501678</v>
          </cell>
          <cell r="F1744">
            <v>3750839</v>
          </cell>
          <cell r="G1744">
            <v>8099478</v>
          </cell>
          <cell r="H1744">
            <v>625140</v>
          </cell>
          <cell r="I1744">
            <v>1713413</v>
          </cell>
        </row>
        <row r="1745">
          <cell r="A1745" t="str">
            <v>3440|433002</v>
          </cell>
          <cell r="B1745" t="str">
            <v>3440</v>
          </cell>
          <cell r="C1745">
            <v>433002</v>
          </cell>
          <cell r="D1745">
            <v>41426</v>
          </cell>
          <cell r="E1745">
            <v>15658973</v>
          </cell>
          <cell r="F1745">
            <v>7829487</v>
          </cell>
          <cell r="G1745">
            <v>4729800</v>
          </cell>
          <cell r="H1745">
            <v>1304915</v>
          </cell>
          <cell r="I1745">
            <v>424800</v>
          </cell>
        </row>
        <row r="1746">
          <cell r="A1746" t="str">
            <v>3440|433003</v>
          </cell>
          <cell r="B1746" t="str">
            <v>3440</v>
          </cell>
          <cell r="C1746">
            <v>433003</v>
          </cell>
          <cell r="D1746">
            <v>41426</v>
          </cell>
          <cell r="E1746">
            <v>7921950</v>
          </cell>
          <cell r="F1746">
            <v>3960975</v>
          </cell>
          <cell r="G1746">
            <v>4064100</v>
          </cell>
          <cell r="H1746">
            <v>660162</v>
          </cell>
          <cell r="I1746">
            <v>677350</v>
          </cell>
        </row>
        <row r="1747">
          <cell r="A1747" t="str">
            <v>3440|434011</v>
          </cell>
          <cell r="B1747" t="str">
            <v>3440</v>
          </cell>
          <cell r="C1747">
            <v>434011</v>
          </cell>
          <cell r="D1747">
            <v>41426</v>
          </cell>
          <cell r="E1747">
            <v>10409104</v>
          </cell>
          <cell r="F1747">
            <v>5204552</v>
          </cell>
          <cell r="G1747">
            <v>42201287</v>
          </cell>
          <cell r="H1747">
            <v>867425</v>
          </cell>
          <cell r="I1747">
            <v>7391596</v>
          </cell>
        </row>
        <row r="1748">
          <cell r="A1748" t="str">
            <v>3440|434012</v>
          </cell>
          <cell r="B1748" t="str">
            <v>3440</v>
          </cell>
          <cell r="C1748">
            <v>434012</v>
          </cell>
          <cell r="D1748">
            <v>41426</v>
          </cell>
          <cell r="E1748">
            <v>17492266</v>
          </cell>
          <cell r="F1748">
            <v>8746133</v>
          </cell>
          <cell r="G1748">
            <v>7715346</v>
          </cell>
          <cell r="H1748">
            <v>1457689</v>
          </cell>
          <cell r="I1748">
            <v>997489</v>
          </cell>
        </row>
        <row r="1749">
          <cell r="A1749" t="str">
            <v>3440|434013</v>
          </cell>
          <cell r="B1749" t="str">
            <v>3440</v>
          </cell>
          <cell r="C1749">
            <v>434013</v>
          </cell>
          <cell r="D1749">
            <v>41426</v>
          </cell>
          <cell r="E1749">
            <v>0</v>
          </cell>
          <cell r="F1749">
            <v>0</v>
          </cell>
          <cell r="G1749">
            <v>12456158</v>
          </cell>
          <cell r="H1749">
            <v>0</v>
          </cell>
          <cell r="I1749">
            <v>2401952</v>
          </cell>
        </row>
        <row r="1750">
          <cell r="A1750" t="str">
            <v>3440|435001</v>
          </cell>
          <cell r="B1750" t="str">
            <v>3440</v>
          </cell>
          <cell r="C1750">
            <v>435001</v>
          </cell>
          <cell r="D1750">
            <v>41426</v>
          </cell>
          <cell r="E1750">
            <v>59331892</v>
          </cell>
          <cell r="F1750">
            <v>29665946</v>
          </cell>
          <cell r="G1750">
            <v>77146606</v>
          </cell>
          <cell r="H1750">
            <v>4944324</v>
          </cell>
          <cell r="I1750">
            <v>0</v>
          </cell>
        </row>
        <row r="1751">
          <cell r="A1751" t="str">
            <v>3440|435002</v>
          </cell>
          <cell r="B1751" t="str">
            <v>3440</v>
          </cell>
          <cell r="C1751">
            <v>435002</v>
          </cell>
          <cell r="D1751">
            <v>41426</v>
          </cell>
          <cell r="E1751">
            <v>67208837</v>
          </cell>
          <cell r="F1751">
            <v>33604419</v>
          </cell>
          <cell r="G1751">
            <v>47826000</v>
          </cell>
          <cell r="H1751">
            <v>5600737</v>
          </cell>
          <cell r="I1751">
            <v>0</v>
          </cell>
        </row>
        <row r="1752">
          <cell r="A1752" t="str">
            <v>3440|435003</v>
          </cell>
          <cell r="B1752" t="str">
            <v>3440</v>
          </cell>
          <cell r="C1752">
            <v>435003</v>
          </cell>
          <cell r="D1752">
            <v>41426</v>
          </cell>
          <cell r="E1752">
            <v>68666760</v>
          </cell>
          <cell r="F1752">
            <v>34333380</v>
          </cell>
          <cell r="G1752">
            <v>86389500</v>
          </cell>
          <cell r="H1752">
            <v>5722230</v>
          </cell>
          <cell r="I1752">
            <v>0</v>
          </cell>
        </row>
        <row r="1753">
          <cell r="A1753" t="str">
            <v>3440|439001</v>
          </cell>
          <cell r="B1753" t="str">
            <v>3440</v>
          </cell>
          <cell r="C1753">
            <v>439001</v>
          </cell>
          <cell r="D1753">
            <v>41426</v>
          </cell>
          <cell r="E1753">
            <v>169153224</v>
          </cell>
          <cell r="F1753">
            <v>84576612</v>
          </cell>
          <cell r="G1753">
            <v>99323302</v>
          </cell>
          <cell r="H1753">
            <v>14096102</v>
          </cell>
          <cell r="I1753">
            <v>16481596</v>
          </cell>
        </row>
        <row r="1754">
          <cell r="A1754" t="str">
            <v>3440|439003</v>
          </cell>
          <cell r="B1754" t="str">
            <v>3440</v>
          </cell>
          <cell r="C1754">
            <v>439003</v>
          </cell>
          <cell r="D1754">
            <v>41426</v>
          </cell>
          <cell r="E1754">
            <v>118349638</v>
          </cell>
          <cell r="F1754">
            <v>59174819</v>
          </cell>
          <cell r="G1754">
            <v>66685876</v>
          </cell>
          <cell r="H1754">
            <v>9862470</v>
          </cell>
          <cell r="I1754">
            <v>12890421</v>
          </cell>
        </row>
        <row r="1755">
          <cell r="A1755" t="str">
            <v>3440|439008</v>
          </cell>
          <cell r="B1755" t="str">
            <v>3440</v>
          </cell>
          <cell r="C1755">
            <v>439008</v>
          </cell>
          <cell r="D1755">
            <v>41426</v>
          </cell>
          <cell r="E1755">
            <v>114954438</v>
          </cell>
          <cell r="F1755">
            <v>57477219</v>
          </cell>
          <cell r="G1755">
            <v>63377731</v>
          </cell>
          <cell r="H1755">
            <v>9579536</v>
          </cell>
          <cell r="I1755">
            <v>9589526</v>
          </cell>
        </row>
        <row r="1756">
          <cell r="A1756" t="str">
            <v>3440|439201</v>
          </cell>
          <cell r="B1756" t="str">
            <v>3440</v>
          </cell>
          <cell r="C1756">
            <v>439201</v>
          </cell>
          <cell r="D1756">
            <v>41426</v>
          </cell>
          <cell r="E1756">
            <v>195640000</v>
          </cell>
          <cell r="F1756">
            <v>97820000</v>
          </cell>
          <cell r="G1756">
            <v>51500000</v>
          </cell>
          <cell r="H1756">
            <v>16303333</v>
          </cell>
          <cell r="I1756">
            <v>8450000</v>
          </cell>
        </row>
        <row r="1757">
          <cell r="A1757" t="str">
            <v>3440|439202</v>
          </cell>
          <cell r="B1757" t="str">
            <v>3440</v>
          </cell>
          <cell r="C1757">
            <v>439202</v>
          </cell>
          <cell r="D1757">
            <v>41426</v>
          </cell>
          <cell r="E1757">
            <v>63360000</v>
          </cell>
          <cell r="F1757">
            <v>31680000</v>
          </cell>
          <cell r="G1757">
            <v>23775000</v>
          </cell>
          <cell r="H1757">
            <v>5280000</v>
          </cell>
          <cell r="I1757">
            <v>2550000</v>
          </cell>
        </row>
        <row r="1758">
          <cell r="A1758" t="str">
            <v>3440|439203</v>
          </cell>
          <cell r="B1758" t="str">
            <v>3440</v>
          </cell>
          <cell r="C1758">
            <v>439203</v>
          </cell>
          <cell r="D1758">
            <v>41426</v>
          </cell>
          <cell r="E1758">
            <v>10240000</v>
          </cell>
          <cell r="F1758">
            <v>5120000</v>
          </cell>
          <cell r="G1758">
            <v>9000000</v>
          </cell>
          <cell r="H1758">
            <v>853333</v>
          </cell>
          <cell r="I1758">
            <v>1800000</v>
          </cell>
        </row>
        <row r="1759">
          <cell r="A1759" t="str">
            <v>3440|440001</v>
          </cell>
          <cell r="B1759" t="str">
            <v>3440</v>
          </cell>
          <cell r="C1759">
            <v>440001</v>
          </cell>
          <cell r="D1759">
            <v>41426</v>
          </cell>
          <cell r="E1759">
            <v>59331892</v>
          </cell>
          <cell r="F1759">
            <v>29665946</v>
          </cell>
          <cell r="G1759">
            <v>46821301</v>
          </cell>
          <cell r="H1759">
            <v>4944324</v>
          </cell>
          <cell r="I1759">
            <v>7827824</v>
          </cell>
        </row>
        <row r="1760">
          <cell r="A1760" t="str">
            <v>3440|440002</v>
          </cell>
          <cell r="B1760" t="str">
            <v>3440</v>
          </cell>
          <cell r="C1760">
            <v>440002</v>
          </cell>
          <cell r="D1760">
            <v>41426</v>
          </cell>
          <cell r="E1760">
            <v>46529427</v>
          </cell>
          <cell r="F1760">
            <v>23264714</v>
          </cell>
          <cell r="G1760">
            <v>25911890</v>
          </cell>
          <cell r="H1760">
            <v>3877453</v>
          </cell>
          <cell r="I1760">
            <v>2385714</v>
          </cell>
        </row>
        <row r="1761">
          <cell r="A1761" t="str">
            <v>3440|440003</v>
          </cell>
          <cell r="B1761" t="str">
            <v>3440</v>
          </cell>
          <cell r="C1761">
            <v>440003</v>
          </cell>
          <cell r="D1761">
            <v>41426</v>
          </cell>
          <cell r="E1761">
            <v>45777840</v>
          </cell>
          <cell r="F1761">
            <v>22888920</v>
          </cell>
          <cell r="G1761">
            <v>28737141</v>
          </cell>
          <cell r="H1761">
            <v>3814820</v>
          </cell>
          <cell r="I1761">
            <v>6780997</v>
          </cell>
        </row>
        <row r="1762">
          <cell r="A1762" t="str">
            <v>3440|446001</v>
          </cell>
          <cell r="B1762" t="str">
            <v>3440</v>
          </cell>
          <cell r="C1762">
            <v>446001</v>
          </cell>
          <cell r="D1762">
            <v>41426</v>
          </cell>
          <cell r="E1762">
            <v>65515946</v>
          </cell>
          <cell r="F1762">
            <v>32757973</v>
          </cell>
          <cell r="G1762">
            <v>14350000</v>
          </cell>
          <cell r="H1762">
            <v>5459662</v>
          </cell>
          <cell r="I1762">
            <v>2650000</v>
          </cell>
        </row>
        <row r="1763">
          <cell r="A1763" t="str">
            <v>3440|446002</v>
          </cell>
          <cell r="B1763" t="str">
            <v>3440</v>
          </cell>
          <cell r="C1763">
            <v>446002</v>
          </cell>
          <cell r="D1763">
            <v>41426</v>
          </cell>
          <cell r="E1763">
            <v>51804713</v>
          </cell>
          <cell r="F1763">
            <v>25902357</v>
          </cell>
          <cell r="G1763">
            <v>7150000</v>
          </cell>
          <cell r="H1763">
            <v>4317060</v>
          </cell>
          <cell r="I1763">
            <v>900000</v>
          </cell>
        </row>
        <row r="1764">
          <cell r="A1764" t="str">
            <v>3440|447001</v>
          </cell>
          <cell r="B1764" t="str">
            <v>3440</v>
          </cell>
          <cell r="C1764">
            <v>447001</v>
          </cell>
          <cell r="D1764">
            <v>41426</v>
          </cell>
          <cell r="E1764">
            <v>11178129</v>
          </cell>
          <cell r="F1764">
            <v>5589065</v>
          </cell>
          <cell r="G1764">
            <v>2064802</v>
          </cell>
          <cell r="H1764">
            <v>931511</v>
          </cell>
          <cell r="I1764">
            <v>390696</v>
          </cell>
        </row>
        <row r="1765">
          <cell r="A1765" t="str">
            <v>3440|447002</v>
          </cell>
          <cell r="B1765" t="str">
            <v>3440</v>
          </cell>
          <cell r="C1765">
            <v>447002</v>
          </cell>
          <cell r="D1765">
            <v>41426</v>
          </cell>
          <cell r="E1765">
            <v>8766144</v>
          </cell>
          <cell r="F1765">
            <v>4383072</v>
          </cell>
          <cell r="G1765">
            <v>1858226</v>
          </cell>
          <cell r="H1765">
            <v>730512</v>
          </cell>
          <cell r="I1765">
            <v>230427</v>
          </cell>
        </row>
        <row r="1766">
          <cell r="A1766" t="str">
            <v>3440|447003</v>
          </cell>
          <cell r="B1766" t="str">
            <v>3440</v>
          </cell>
          <cell r="C1766">
            <v>447003</v>
          </cell>
          <cell r="D1766">
            <v>41426</v>
          </cell>
          <cell r="E1766">
            <v>8624358</v>
          </cell>
          <cell r="F1766">
            <v>4312179</v>
          </cell>
          <cell r="G1766">
            <v>2331038</v>
          </cell>
          <cell r="H1766">
            <v>718696</v>
          </cell>
          <cell r="I1766">
            <v>442318</v>
          </cell>
        </row>
        <row r="1767">
          <cell r="A1767" t="str">
            <v>3440|447011</v>
          </cell>
          <cell r="B1767" t="str">
            <v>3440</v>
          </cell>
          <cell r="C1767">
            <v>447011</v>
          </cell>
          <cell r="D1767">
            <v>41426</v>
          </cell>
          <cell r="E1767">
            <v>26343360</v>
          </cell>
          <cell r="F1767">
            <v>13171680</v>
          </cell>
          <cell r="G1767">
            <v>14147732</v>
          </cell>
          <cell r="H1767">
            <v>2195280</v>
          </cell>
          <cell r="I1767">
            <v>2676994</v>
          </cell>
        </row>
        <row r="1768">
          <cell r="A1768" t="str">
            <v>3440|447012</v>
          </cell>
          <cell r="B1768" t="str">
            <v>3440</v>
          </cell>
          <cell r="C1768">
            <v>447012</v>
          </cell>
          <cell r="D1768">
            <v>41426</v>
          </cell>
          <cell r="E1768">
            <v>20659066</v>
          </cell>
          <cell r="F1768">
            <v>10329533</v>
          </cell>
          <cell r="G1768">
            <v>12732258</v>
          </cell>
          <cell r="H1768">
            <v>1721589</v>
          </cell>
          <cell r="I1768">
            <v>1578846</v>
          </cell>
        </row>
        <row r="1769">
          <cell r="A1769" t="str">
            <v>3440|447013</v>
          </cell>
          <cell r="B1769" t="str">
            <v>3440</v>
          </cell>
          <cell r="C1769">
            <v>447013</v>
          </cell>
          <cell r="D1769">
            <v>41426</v>
          </cell>
          <cell r="E1769">
            <v>20325361</v>
          </cell>
          <cell r="F1769">
            <v>10162681</v>
          </cell>
          <cell r="G1769">
            <v>9384828</v>
          </cell>
          <cell r="H1769">
            <v>1693781</v>
          </cell>
          <cell r="I1769">
            <v>1932843</v>
          </cell>
        </row>
        <row r="1770">
          <cell r="A1770" t="str">
            <v>3440|447021</v>
          </cell>
          <cell r="B1770" t="str">
            <v>3440</v>
          </cell>
          <cell r="C1770">
            <v>447021</v>
          </cell>
          <cell r="D1770">
            <v>41426</v>
          </cell>
          <cell r="E1770">
            <v>1117813</v>
          </cell>
          <cell r="F1770">
            <v>558907</v>
          </cell>
          <cell r="G1770">
            <v>163140</v>
          </cell>
          <cell r="H1770">
            <v>93152</v>
          </cell>
          <cell r="I1770">
            <v>33175</v>
          </cell>
        </row>
        <row r="1771">
          <cell r="A1771" t="str">
            <v>3440|447022</v>
          </cell>
          <cell r="B1771" t="str">
            <v>3440</v>
          </cell>
          <cell r="C1771">
            <v>447022</v>
          </cell>
          <cell r="D1771">
            <v>41426</v>
          </cell>
          <cell r="E1771">
            <v>876614</v>
          </cell>
          <cell r="F1771">
            <v>438307</v>
          </cell>
          <cell r="G1771">
            <v>301786</v>
          </cell>
          <cell r="H1771">
            <v>73051</v>
          </cell>
          <cell r="I1771">
            <v>38400</v>
          </cell>
        </row>
        <row r="1772">
          <cell r="A1772" t="str">
            <v>3440|447023</v>
          </cell>
          <cell r="B1772" t="str">
            <v>3440</v>
          </cell>
          <cell r="C1772">
            <v>447023</v>
          </cell>
          <cell r="D1772">
            <v>41426</v>
          </cell>
          <cell r="E1772">
            <v>713724</v>
          </cell>
          <cell r="F1772">
            <v>356862</v>
          </cell>
          <cell r="G1772">
            <v>411263</v>
          </cell>
          <cell r="H1772">
            <v>59477</v>
          </cell>
          <cell r="I1772">
            <v>78075</v>
          </cell>
        </row>
        <row r="1773">
          <cell r="A1773" t="str">
            <v>3440|448001</v>
          </cell>
          <cell r="B1773" t="str">
            <v>3440</v>
          </cell>
          <cell r="C1773">
            <v>448001</v>
          </cell>
          <cell r="D1773">
            <v>41426</v>
          </cell>
          <cell r="E1773">
            <v>62982312</v>
          </cell>
          <cell r="F1773">
            <v>31491156</v>
          </cell>
          <cell r="G1773">
            <v>36749897</v>
          </cell>
          <cell r="H1773">
            <v>5248526</v>
          </cell>
          <cell r="I1773">
            <v>7782655</v>
          </cell>
        </row>
        <row r="1774">
          <cell r="A1774" t="str">
            <v>3440|448002</v>
          </cell>
          <cell r="B1774" t="str">
            <v>3440</v>
          </cell>
          <cell r="C1774">
            <v>448002</v>
          </cell>
          <cell r="D1774">
            <v>41426</v>
          </cell>
          <cell r="E1774">
            <v>41774536</v>
          </cell>
          <cell r="F1774">
            <v>20887268</v>
          </cell>
          <cell r="G1774">
            <v>40880453</v>
          </cell>
          <cell r="H1774">
            <v>3481211</v>
          </cell>
          <cell r="I1774">
            <v>6269900</v>
          </cell>
        </row>
        <row r="1775">
          <cell r="A1775" t="str">
            <v>3440|448003</v>
          </cell>
          <cell r="B1775" t="str">
            <v>3440</v>
          </cell>
          <cell r="C1775">
            <v>448003</v>
          </cell>
          <cell r="D1775">
            <v>41426</v>
          </cell>
          <cell r="E1775">
            <v>33114983</v>
          </cell>
          <cell r="F1775">
            <v>16557492</v>
          </cell>
          <cell r="G1775">
            <v>20557600</v>
          </cell>
          <cell r="H1775">
            <v>2759582</v>
          </cell>
          <cell r="I1775">
            <v>7885700</v>
          </cell>
        </row>
        <row r="1776">
          <cell r="A1776" t="str">
            <v>3440|449004</v>
          </cell>
          <cell r="B1776" t="str">
            <v>3440</v>
          </cell>
          <cell r="C1776">
            <v>449004</v>
          </cell>
          <cell r="D1776">
            <v>41426</v>
          </cell>
          <cell r="E1776">
            <v>20000000</v>
          </cell>
          <cell r="F1776">
            <v>10000000</v>
          </cell>
          <cell r="G1776">
            <v>0</v>
          </cell>
          <cell r="H1776">
            <v>1666667</v>
          </cell>
          <cell r="I1776">
            <v>0</v>
          </cell>
        </row>
        <row r="1777">
          <cell r="A1777" t="str">
            <v>3440|449022</v>
          </cell>
          <cell r="B1777" t="str">
            <v>3440</v>
          </cell>
          <cell r="C1777">
            <v>449022</v>
          </cell>
          <cell r="D1777">
            <v>41426</v>
          </cell>
          <cell r="E1777">
            <v>27720000</v>
          </cell>
          <cell r="F1777">
            <v>13860000</v>
          </cell>
          <cell r="G1777">
            <v>17820000</v>
          </cell>
          <cell r="H1777">
            <v>2310000</v>
          </cell>
          <cell r="I1777">
            <v>1931000</v>
          </cell>
        </row>
        <row r="1778">
          <cell r="A1778" t="str">
            <v>3440|449023</v>
          </cell>
          <cell r="B1778" t="str">
            <v>3440</v>
          </cell>
          <cell r="C1778">
            <v>449023</v>
          </cell>
          <cell r="D1778">
            <v>41426</v>
          </cell>
          <cell r="E1778">
            <v>37356000</v>
          </cell>
          <cell r="F1778">
            <v>18678000</v>
          </cell>
          <cell r="G1778">
            <v>48120000</v>
          </cell>
          <cell r="H1778">
            <v>3113000</v>
          </cell>
          <cell r="I1778">
            <v>8224000</v>
          </cell>
        </row>
        <row r="1779">
          <cell r="A1779" t="str">
            <v>3440|449025</v>
          </cell>
          <cell r="B1779" t="str">
            <v>3440</v>
          </cell>
          <cell r="C1779">
            <v>449025</v>
          </cell>
          <cell r="D1779">
            <v>41426</v>
          </cell>
          <cell r="E1779">
            <v>59400000</v>
          </cell>
          <cell r="F1779">
            <v>29700000</v>
          </cell>
          <cell r="G1779">
            <v>40926000</v>
          </cell>
          <cell r="H1779">
            <v>4950000</v>
          </cell>
          <cell r="I1779">
            <v>6722000</v>
          </cell>
        </row>
        <row r="1780">
          <cell r="A1780" t="str">
            <v>3440|449032</v>
          </cell>
          <cell r="B1780" t="str">
            <v>3440</v>
          </cell>
          <cell r="C1780">
            <v>449032</v>
          </cell>
          <cell r="D1780">
            <v>41426</v>
          </cell>
          <cell r="E1780">
            <v>54481040</v>
          </cell>
          <cell r="F1780">
            <v>27240520</v>
          </cell>
          <cell r="G1780">
            <v>6336003</v>
          </cell>
          <cell r="H1780">
            <v>4540087</v>
          </cell>
          <cell r="I1780">
            <v>0</v>
          </cell>
        </row>
        <row r="1781">
          <cell r="A1781" t="str">
            <v>3440|449040</v>
          </cell>
          <cell r="B1781" t="str">
            <v>3440</v>
          </cell>
          <cell r="C1781">
            <v>449040</v>
          </cell>
          <cell r="D1781">
            <v>41426</v>
          </cell>
          <cell r="E1781">
            <v>32190704</v>
          </cell>
          <cell r="F1781">
            <v>16095352</v>
          </cell>
          <cell r="G1781">
            <v>1930000</v>
          </cell>
          <cell r="H1781">
            <v>2682559</v>
          </cell>
          <cell r="I1781">
            <v>0</v>
          </cell>
        </row>
        <row r="1782">
          <cell r="A1782" t="str">
            <v>3440|449050</v>
          </cell>
          <cell r="B1782" t="str">
            <v>3440</v>
          </cell>
          <cell r="C1782">
            <v>449050</v>
          </cell>
          <cell r="D1782">
            <v>41426</v>
          </cell>
          <cell r="E1782">
            <v>8969180</v>
          </cell>
          <cell r="F1782">
            <v>4484590</v>
          </cell>
          <cell r="G1782">
            <v>0</v>
          </cell>
          <cell r="H1782">
            <v>747432</v>
          </cell>
          <cell r="I1782">
            <v>0</v>
          </cell>
        </row>
        <row r="1783">
          <cell r="A1783" t="str">
            <v>3440|449061</v>
          </cell>
          <cell r="B1783" t="str">
            <v>3440</v>
          </cell>
          <cell r="C1783">
            <v>449061</v>
          </cell>
          <cell r="D1783">
            <v>41426</v>
          </cell>
          <cell r="E1783">
            <v>99610275</v>
          </cell>
          <cell r="F1783">
            <v>49805138</v>
          </cell>
          <cell r="G1783">
            <v>27164900</v>
          </cell>
          <cell r="H1783">
            <v>8300857</v>
          </cell>
          <cell r="I1783">
            <v>4097500</v>
          </cell>
        </row>
        <row r="1784">
          <cell r="A1784" t="str">
            <v>3440|451000</v>
          </cell>
          <cell r="B1784" t="str">
            <v>3440</v>
          </cell>
          <cell r="C1784">
            <v>451000</v>
          </cell>
          <cell r="D1784">
            <v>41426</v>
          </cell>
          <cell r="E1784">
            <v>60000000</v>
          </cell>
          <cell r="F1784">
            <v>30000000</v>
          </cell>
          <cell r="G1784">
            <v>109200</v>
          </cell>
          <cell r="H1784">
            <v>5000000</v>
          </cell>
          <cell r="I1784">
            <v>0</v>
          </cell>
        </row>
        <row r="1785">
          <cell r="A1785" t="str">
            <v>3440|452000</v>
          </cell>
          <cell r="B1785" t="str">
            <v>3440</v>
          </cell>
          <cell r="C1785">
            <v>452000</v>
          </cell>
          <cell r="D1785">
            <v>41426</v>
          </cell>
          <cell r="E1785">
            <v>90040126</v>
          </cell>
          <cell r="F1785">
            <v>45020063</v>
          </cell>
          <cell r="G1785">
            <v>40381900</v>
          </cell>
          <cell r="H1785">
            <v>7503344</v>
          </cell>
          <cell r="I1785">
            <v>3723700</v>
          </cell>
        </row>
        <row r="1786">
          <cell r="A1786" t="str">
            <v>3440|455000</v>
          </cell>
          <cell r="B1786" t="str">
            <v>3440</v>
          </cell>
          <cell r="C1786">
            <v>455000</v>
          </cell>
          <cell r="D1786">
            <v>41426</v>
          </cell>
          <cell r="E1786">
            <v>15000000</v>
          </cell>
          <cell r="F1786">
            <v>7500000</v>
          </cell>
          <cell r="G1786">
            <v>12643001</v>
          </cell>
          <cell r="H1786">
            <v>1250000</v>
          </cell>
          <cell r="I1786">
            <v>9218000</v>
          </cell>
        </row>
        <row r="1787">
          <cell r="A1787" t="str">
            <v>3440|459000</v>
          </cell>
          <cell r="B1787" t="str">
            <v>3440</v>
          </cell>
          <cell r="C1787">
            <v>459000</v>
          </cell>
          <cell r="D1787">
            <v>41426</v>
          </cell>
          <cell r="E1787">
            <v>28000000</v>
          </cell>
          <cell r="F1787">
            <v>14000000</v>
          </cell>
          <cell r="G1787">
            <v>4700000</v>
          </cell>
          <cell r="H1787">
            <v>2333333</v>
          </cell>
          <cell r="I1787">
            <v>0</v>
          </cell>
        </row>
        <row r="1788">
          <cell r="A1788" t="str">
            <v>3440|459004</v>
          </cell>
          <cell r="B1788" t="str">
            <v>3440</v>
          </cell>
          <cell r="C1788">
            <v>459004</v>
          </cell>
          <cell r="D1788">
            <v>41426</v>
          </cell>
          <cell r="E1788">
            <v>44000000</v>
          </cell>
          <cell r="F1788">
            <v>22000000</v>
          </cell>
          <cell r="G1788">
            <v>0</v>
          </cell>
          <cell r="H1788">
            <v>3666667</v>
          </cell>
          <cell r="I1788">
            <v>0</v>
          </cell>
        </row>
        <row r="1789">
          <cell r="A1789" t="str">
            <v>3440|470004</v>
          </cell>
          <cell r="B1789" t="str">
            <v>3440</v>
          </cell>
          <cell r="C1789">
            <v>470004</v>
          </cell>
          <cell r="D1789">
            <v>41426</v>
          </cell>
          <cell r="E1789">
            <v>4990000000</v>
          </cell>
          <cell r="F1789">
            <v>2495000000</v>
          </cell>
          <cell r="G1789">
            <v>733980000</v>
          </cell>
          <cell r="H1789">
            <v>415833333</v>
          </cell>
          <cell r="I1789">
            <v>145980000</v>
          </cell>
        </row>
        <row r="1790">
          <cell r="A1790" t="str">
            <v>3440|470102</v>
          </cell>
          <cell r="B1790" t="str">
            <v>3440</v>
          </cell>
          <cell r="C1790">
            <v>470102</v>
          </cell>
          <cell r="D1790">
            <v>41426</v>
          </cell>
          <cell r="E1790">
            <v>180857</v>
          </cell>
          <cell r="F1790">
            <v>90429</v>
          </cell>
          <cell r="G1790">
            <v>100000</v>
          </cell>
          <cell r="H1790">
            <v>15072</v>
          </cell>
          <cell r="I1790">
            <v>0</v>
          </cell>
        </row>
        <row r="1791">
          <cell r="A1791" t="str">
            <v>3440|471000</v>
          </cell>
          <cell r="B1791" t="str">
            <v>3440</v>
          </cell>
          <cell r="C1791">
            <v>471000</v>
          </cell>
          <cell r="D1791">
            <v>41426</v>
          </cell>
          <cell r="E1791">
            <v>70091660</v>
          </cell>
          <cell r="F1791">
            <v>35045830</v>
          </cell>
          <cell r="G1791">
            <v>25165610</v>
          </cell>
          <cell r="H1791">
            <v>5840972</v>
          </cell>
          <cell r="I1791">
            <v>9304690</v>
          </cell>
        </row>
        <row r="1792">
          <cell r="A1792" t="str">
            <v>3440|472000</v>
          </cell>
          <cell r="B1792" t="str">
            <v>3440</v>
          </cell>
          <cell r="C1792">
            <v>472000</v>
          </cell>
          <cell r="D1792">
            <v>41426</v>
          </cell>
          <cell r="E1792">
            <v>5250000000</v>
          </cell>
          <cell r="F1792">
            <v>2625000000</v>
          </cell>
          <cell r="G1792">
            <v>202348371</v>
          </cell>
          <cell r="H1792">
            <v>437500000</v>
          </cell>
          <cell r="I1792">
            <v>168894187</v>
          </cell>
        </row>
        <row r="1793">
          <cell r="A1793" t="str">
            <v>3440|473000</v>
          </cell>
          <cell r="B1793" t="str">
            <v>3440</v>
          </cell>
          <cell r="C1793">
            <v>473000</v>
          </cell>
          <cell r="D1793">
            <v>41426</v>
          </cell>
          <cell r="E1793">
            <v>5584622</v>
          </cell>
          <cell r="F1793">
            <v>2792311</v>
          </cell>
          <cell r="G1793">
            <v>3043900</v>
          </cell>
          <cell r="H1793">
            <v>465385</v>
          </cell>
          <cell r="I1793">
            <v>0</v>
          </cell>
        </row>
        <row r="1794">
          <cell r="A1794" t="str">
            <v>3440|473120</v>
          </cell>
          <cell r="B1794" t="str">
            <v>3440</v>
          </cell>
          <cell r="C1794">
            <v>473120</v>
          </cell>
          <cell r="D1794">
            <v>41426</v>
          </cell>
          <cell r="E1794">
            <v>14282958</v>
          </cell>
          <cell r="F1794">
            <v>7141479</v>
          </cell>
          <cell r="G1794">
            <v>12214055</v>
          </cell>
          <cell r="H1794">
            <v>1190246</v>
          </cell>
          <cell r="I1794">
            <v>1792724</v>
          </cell>
        </row>
        <row r="1795">
          <cell r="A1795" t="str">
            <v>3440|474100</v>
          </cell>
          <cell r="B1795" t="str">
            <v>3440</v>
          </cell>
          <cell r="C1795">
            <v>474100</v>
          </cell>
          <cell r="D1795">
            <v>41426</v>
          </cell>
          <cell r="E1795">
            <v>65263094</v>
          </cell>
          <cell r="F1795">
            <v>32631547</v>
          </cell>
          <cell r="G1795">
            <v>713867</v>
          </cell>
          <cell r="H1795">
            <v>5438591</v>
          </cell>
          <cell r="I1795">
            <v>-11984366</v>
          </cell>
        </row>
        <row r="1796">
          <cell r="A1796" t="str">
            <v>3440|474101</v>
          </cell>
          <cell r="B1796" t="str">
            <v>3440</v>
          </cell>
          <cell r="C1796">
            <v>474101</v>
          </cell>
          <cell r="D1796">
            <v>41426</v>
          </cell>
          <cell r="E1796">
            <v>207787405</v>
          </cell>
          <cell r="F1796">
            <v>103893703</v>
          </cell>
          <cell r="G1796">
            <v>-8787030</v>
          </cell>
          <cell r="H1796">
            <v>17315618</v>
          </cell>
          <cell r="I1796">
            <v>-99260000</v>
          </cell>
        </row>
        <row r="1797">
          <cell r="A1797" t="str">
            <v>3440|475000</v>
          </cell>
          <cell r="B1797" t="str">
            <v>3440</v>
          </cell>
          <cell r="C1797">
            <v>475000</v>
          </cell>
          <cell r="D1797">
            <v>41426</v>
          </cell>
          <cell r="E1797">
            <v>24245921</v>
          </cell>
          <cell r="F1797">
            <v>12122961</v>
          </cell>
          <cell r="G1797">
            <v>0</v>
          </cell>
          <cell r="H1797">
            <v>2020494</v>
          </cell>
          <cell r="I1797">
            <v>0</v>
          </cell>
        </row>
        <row r="1798">
          <cell r="A1798" t="str">
            <v>3440|475001</v>
          </cell>
          <cell r="B1798" t="str">
            <v>3440</v>
          </cell>
          <cell r="C1798">
            <v>475001</v>
          </cell>
          <cell r="D1798">
            <v>41426</v>
          </cell>
          <cell r="E1798">
            <v>28244663</v>
          </cell>
          <cell r="F1798">
            <v>14122332</v>
          </cell>
          <cell r="G1798">
            <v>20056000</v>
          </cell>
          <cell r="H1798">
            <v>2353722</v>
          </cell>
          <cell r="I1798">
            <v>1500000</v>
          </cell>
        </row>
        <row r="1799">
          <cell r="A1799" t="str">
            <v>3440|475002</v>
          </cell>
          <cell r="B1799" t="str">
            <v>3440</v>
          </cell>
          <cell r="C1799">
            <v>475002</v>
          </cell>
          <cell r="D1799">
            <v>41426</v>
          </cell>
          <cell r="E1799">
            <v>6500000</v>
          </cell>
          <cell r="F1799">
            <v>3250000</v>
          </cell>
          <cell r="G1799">
            <v>1972504</v>
          </cell>
          <cell r="H1799">
            <v>541667</v>
          </cell>
          <cell r="I1799">
            <v>328751</v>
          </cell>
        </row>
        <row r="1800">
          <cell r="A1800" t="str">
            <v>3440|475003</v>
          </cell>
          <cell r="B1800" t="str">
            <v>3440</v>
          </cell>
          <cell r="C1800">
            <v>475003</v>
          </cell>
          <cell r="D1800">
            <v>41426</v>
          </cell>
          <cell r="E1800">
            <v>32000000</v>
          </cell>
          <cell r="F1800">
            <v>16000000</v>
          </cell>
          <cell r="G1800">
            <v>5653700</v>
          </cell>
          <cell r="H1800">
            <v>2666667</v>
          </cell>
          <cell r="I1800">
            <v>600000</v>
          </cell>
        </row>
        <row r="1801">
          <cell r="A1801" t="str">
            <v>3440|475006</v>
          </cell>
          <cell r="B1801" t="str">
            <v>3440</v>
          </cell>
          <cell r="C1801">
            <v>475006</v>
          </cell>
          <cell r="D1801">
            <v>41426</v>
          </cell>
          <cell r="E1801">
            <v>1796443</v>
          </cell>
          <cell r="F1801">
            <v>898222</v>
          </cell>
          <cell r="G1801">
            <v>0</v>
          </cell>
          <cell r="H1801">
            <v>149704</v>
          </cell>
          <cell r="I1801">
            <v>0</v>
          </cell>
        </row>
        <row r="1802">
          <cell r="A1802" t="str">
            <v>3440|476000</v>
          </cell>
          <cell r="B1802" t="str">
            <v>3440</v>
          </cell>
          <cell r="C1802">
            <v>476000</v>
          </cell>
          <cell r="D1802">
            <v>41426</v>
          </cell>
          <cell r="E1802">
            <v>14550748</v>
          </cell>
          <cell r="F1802">
            <v>7275374</v>
          </cell>
          <cell r="G1802">
            <v>5633975</v>
          </cell>
          <cell r="H1802">
            <v>1212562</v>
          </cell>
          <cell r="I1802">
            <v>1230000</v>
          </cell>
        </row>
        <row r="1803">
          <cell r="A1803" t="str">
            <v>3440|476001</v>
          </cell>
          <cell r="B1803" t="str">
            <v>3440</v>
          </cell>
          <cell r="C1803">
            <v>476001</v>
          </cell>
          <cell r="D1803">
            <v>41426</v>
          </cell>
          <cell r="E1803">
            <v>83112322</v>
          </cell>
          <cell r="F1803">
            <v>41556161</v>
          </cell>
          <cell r="G1803">
            <v>26649760</v>
          </cell>
          <cell r="H1803">
            <v>6926027</v>
          </cell>
          <cell r="I1803">
            <v>0</v>
          </cell>
        </row>
        <row r="1804">
          <cell r="A1804" t="str">
            <v>3440|476201</v>
          </cell>
          <cell r="B1804" t="str">
            <v>3440</v>
          </cell>
          <cell r="C1804">
            <v>476201</v>
          </cell>
          <cell r="D1804">
            <v>41426</v>
          </cell>
          <cell r="E1804">
            <v>148000000</v>
          </cell>
          <cell r="F1804">
            <v>74000000</v>
          </cell>
          <cell r="G1804">
            <v>1000000</v>
          </cell>
          <cell r="H1804">
            <v>12333333</v>
          </cell>
          <cell r="I1804">
            <v>1000000</v>
          </cell>
        </row>
        <row r="1805">
          <cell r="A1805" t="str">
            <v>3440|476220</v>
          </cell>
          <cell r="B1805" t="str">
            <v>3440</v>
          </cell>
          <cell r="C1805">
            <v>476220</v>
          </cell>
          <cell r="D1805">
            <v>41426</v>
          </cell>
          <cell r="E1805">
            <v>144000000</v>
          </cell>
          <cell r="F1805">
            <v>72000000</v>
          </cell>
          <cell r="G1805">
            <v>55960771</v>
          </cell>
          <cell r="H1805">
            <v>12000000</v>
          </cell>
          <cell r="I1805">
            <v>11654105</v>
          </cell>
        </row>
        <row r="1806">
          <cell r="A1806" t="str">
            <v>3440|476223</v>
          </cell>
          <cell r="B1806" t="str">
            <v>3440</v>
          </cell>
          <cell r="C1806">
            <v>476223</v>
          </cell>
          <cell r="D1806">
            <v>41426</v>
          </cell>
          <cell r="E1806">
            <v>65000000</v>
          </cell>
          <cell r="F1806">
            <v>32500000</v>
          </cell>
          <cell r="G1806">
            <v>0</v>
          </cell>
          <cell r="H1806">
            <v>5416667</v>
          </cell>
          <cell r="I1806">
            <v>0</v>
          </cell>
        </row>
        <row r="1807">
          <cell r="A1807" t="str">
            <v>3440|476900</v>
          </cell>
          <cell r="B1807" t="str">
            <v>3440</v>
          </cell>
          <cell r="C1807">
            <v>476900</v>
          </cell>
          <cell r="D1807">
            <v>41426</v>
          </cell>
          <cell r="E1807">
            <v>4342369</v>
          </cell>
          <cell r="F1807">
            <v>2171185</v>
          </cell>
          <cell r="G1807">
            <v>1897500</v>
          </cell>
          <cell r="H1807">
            <v>361865</v>
          </cell>
          <cell r="I1807">
            <v>0</v>
          </cell>
        </row>
        <row r="1808">
          <cell r="A1808" t="str">
            <v>3440|477310</v>
          </cell>
          <cell r="B1808" t="str">
            <v>3440</v>
          </cell>
          <cell r="C1808">
            <v>477310</v>
          </cell>
          <cell r="D1808">
            <v>41426</v>
          </cell>
          <cell r="E1808">
            <v>0</v>
          </cell>
          <cell r="F1808">
            <v>0</v>
          </cell>
          <cell r="G1808">
            <v>249355</v>
          </cell>
          <cell r="H1808">
            <v>0</v>
          </cell>
          <cell r="I1808">
            <v>2022237</v>
          </cell>
        </row>
        <row r="1809">
          <cell r="A1809" t="str">
            <v>3440|477500</v>
          </cell>
          <cell r="B1809" t="str">
            <v>3440</v>
          </cell>
          <cell r="C1809">
            <v>477500</v>
          </cell>
          <cell r="D1809">
            <v>41426</v>
          </cell>
          <cell r="E1809">
            <v>5401708</v>
          </cell>
          <cell r="F1809">
            <v>2700854</v>
          </cell>
          <cell r="G1809">
            <v>12270429</v>
          </cell>
          <cell r="H1809">
            <v>450142</v>
          </cell>
          <cell r="I1809">
            <v>0</v>
          </cell>
        </row>
        <row r="1810">
          <cell r="A1810" t="str">
            <v>3440|477800</v>
          </cell>
          <cell r="B1810" t="str">
            <v>3440</v>
          </cell>
          <cell r="C1810">
            <v>477800</v>
          </cell>
          <cell r="D1810">
            <v>41426</v>
          </cell>
          <cell r="E1810">
            <v>0</v>
          </cell>
          <cell r="F1810">
            <v>0</v>
          </cell>
          <cell r="G1810">
            <v>748581</v>
          </cell>
          <cell r="H1810">
            <v>0</v>
          </cell>
          <cell r="I1810">
            <v>0</v>
          </cell>
        </row>
        <row r="1811">
          <cell r="A1811" t="str">
            <v>3450|405252</v>
          </cell>
          <cell r="B1811" t="str">
            <v>3450</v>
          </cell>
          <cell r="C1811">
            <v>405252</v>
          </cell>
          <cell r="D1811">
            <v>41426</v>
          </cell>
          <cell r="E1811">
            <v>13740000</v>
          </cell>
          <cell r="F1811">
            <v>6870000</v>
          </cell>
          <cell r="G1811">
            <v>0</v>
          </cell>
          <cell r="H1811">
            <v>1145000</v>
          </cell>
          <cell r="I1811">
            <v>0</v>
          </cell>
        </row>
        <row r="1812">
          <cell r="A1812" t="str">
            <v>3450|405254</v>
          </cell>
          <cell r="B1812" t="str">
            <v>3450</v>
          </cell>
          <cell r="C1812">
            <v>405254</v>
          </cell>
          <cell r="D1812">
            <v>41426</v>
          </cell>
          <cell r="E1812">
            <v>10000000</v>
          </cell>
          <cell r="F1812">
            <v>5000000</v>
          </cell>
          <cell r="G1812">
            <v>0</v>
          </cell>
          <cell r="H1812">
            <v>833333</v>
          </cell>
          <cell r="I1812">
            <v>0</v>
          </cell>
        </row>
        <row r="1813">
          <cell r="A1813" t="str">
            <v>3450|420002</v>
          </cell>
          <cell r="B1813" t="str">
            <v>3450</v>
          </cell>
          <cell r="C1813">
            <v>420002</v>
          </cell>
          <cell r="D1813">
            <v>41426</v>
          </cell>
          <cell r="E1813">
            <v>79764732</v>
          </cell>
          <cell r="F1813">
            <v>39882366</v>
          </cell>
          <cell r="G1813">
            <v>25764000</v>
          </cell>
          <cell r="H1813">
            <v>6647061</v>
          </cell>
          <cell r="I1813">
            <v>4294000</v>
          </cell>
        </row>
        <row r="1814">
          <cell r="A1814" t="str">
            <v>3450|420003</v>
          </cell>
          <cell r="B1814" t="str">
            <v>3450</v>
          </cell>
          <cell r="C1814">
            <v>420003</v>
          </cell>
          <cell r="D1814">
            <v>41426</v>
          </cell>
          <cell r="E1814">
            <v>420326449</v>
          </cell>
          <cell r="F1814">
            <v>210163225</v>
          </cell>
          <cell r="G1814">
            <v>202861729</v>
          </cell>
          <cell r="H1814">
            <v>35027205</v>
          </cell>
          <cell r="I1814">
            <v>34188156</v>
          </cell>
        </row>
        <row r="1815">
          <cell r="A1815" t="str">
            <v>3450|434012</v>
          </cell>
          <cell r="B1815" t="str">
            <v>3450</v>
          </cell>
          <cell r="C1815">
            <v>434012</v>
          </cell>
          <cell r="D1815">
            <v>41426</v>
          </cell>
          <cell r="E1815">
            <v>0</v>
          </cell>
          <cell r="F1815">
            <v>0</v>
          </cell>
          <cell r="G1815">
            <v>987200</v>
          </cell>
          <cell r="H1815">
            <v>0</v>
          </cell>
          <cell r="I1815">
            <v>166248</v>
          </cell>
        </row>
        <row r="1816">
          <cell r="A1816" t="str">
            <v>3450|434013</v>
          </cell>
          <cell r="B1816" t="str">
            <v>3450</v>
          </cell>
          <cell r="C1816">
            <v>434013</v>
          </cell>
          <cell r="D1816">
            <v>41426</v>
          </cell>
          <cell r="E1816">
            <v>0</v>
          </cell>
          <cell r="F1816">
            <v>0</v>
          </cell>
          <cell r="G1816">
            <v>3750402</v>
          </cell>
          <cell r="H1816">
            <v>0</v>
          </cell>
          <cell r="I1816">
            <v>600488</v>
          </cell>
        </row>
        <row r="1817">
          <cell r="A1817" t="str">
            <v>3450|435002</v>
          </cell>
          <cell r="B1817" t="str">
            <v>3450</v>
          </cell>
          <cell r="C1817">
            <v>435002</v>
          </cell>
          <cell r="D1817">
            <v>41426</v>
          </cell>
          <cell r="E1817">
            <v>13626475</v>
          </cell>
          <cell r="F1817">
            <v>6813238</v>
          </cell>
          <cell r="G1817">
            <v>4575500</v>
          </cell>
          <cell r="H1817">
            <v>1135540</v>
          </cell>
          <cell r="I1817">
            <v>0</v>
          </cell>
        </row>
        <row r="1818">
          <cell r="A1818" t="str">
            <v>3450|435003</v>
          </cell>
          <cell r="B1818" t="str">
            <v>3450</v>
          </cell>
          <cell r="C1818">
            <v>435003</v>
          </cell>
          <cell r="D1818">
            <v>41426</v>
          </cell>
          <cell r="E1818">
            <v>52540806</v>
          </cell>
          <cell r="F1818">
            <v>26270403</v>
          </cell>
          <cell r="G1818">
            <v>80790500</v>
          </cell>
          <cell r="H1818">
            <v>4378400</v>
          </cell>
          <cell r="I1818">
            <v>0</v>
          </cell>
        </row>
        <row r="1819">
          <cell r="A1819" t="str">
            <v>3450|439003</v>
          </cell>
          <cell r="B1819" t="str">
            <v>3450</v>
          </cell>
          <cell r="C1819">
            <v>439003</v>
          </cell>
          <cell r="D1819">
            <v>41426</v>
          </cell>
          <cell r="E1819">
            <v>39449879</v>
          </cell>
          <cell r="F1819">
            <v>19724940</v>
          </cell>
          <cell r="G1819">
            <v>20073108</v>
          </cell>
          <cell r="H1819">
            <v>3287490</v>
          </cell>
          <cell r="I1819">
            <v>3222605</v>
          </cell>
        </row>
        <row r="1820">
          <cell r="A1820" t="str">
            <v>3450|439008</v>
          </cell>
          <cell r="B1820" t="str">
            <v>3450</v>
          </cell>
          <cell r="C1820">
            <v>439008</v>
          </cell>
          <cell r="D1820">
            <v>41426</v>
          </cell>
          <cell r="E1820">
            <v>16422063</v>
          </cell>
          <cell r="F1820">
            <v>8211032</v>
          </cell>
          <cell r="G1820">
            <v>9508951</v>
          </cell>
          <cell r="H1820">
            <v>1368506</v>
          </cell>
          <cell r="I1820">
            <v>1598254</v>
          </cell>
        </row>
        <row r="1821">
          <cell r="A1821" t="str">
            <v>3450|439202</v>
          </cell>
          <cell r="B1821" t="str">
            <v>3450</v>
          </cell>
          <cell r="C1821">
            <v>439202</v>
          </cell>
          <cell r="D1821">
            <v>41426</v>
          </cell>
          <cell r="E1821">
            <v>5760000</v>
          </cell>
          <cell r="F1821">
            <v>2880000</v>
          </cell>
          <cell r="G1821">
            <v>3000000</v>
          </cell>
          <cell r="H1821">
            <v>480000</v>
          </cell>
          <cell r="I1821">
            <v>475000</v>
          </cell>
        </row>
        <row r="1822">
          <cell r="A1822" t="str">
            <v>3450|439203</v>
          </cell>
          <cell r="B1822" t="str">
            <v>3450</v>
          </cell>
          <cell r="C1822">
            <v>439203</v>
          </cell>
          <cell r="D1822">
            <v>41426</v>
          </cell>
          <cell r="E1822">
            <v>5760000</v>
          </cell>
          <cell r="F1822">
            <v>2880000</v>
          </cell>
          <cell r="G1822">
            <v>2775000</v>
          </cell>
          <cell r="H1822">
            <v>480000</v>
          </cell>
          <cell r="I1822">
            <v>425000</v>
          </cell>
        </row>
        <row r="1823">
          <cell r="A1823" t="str">
            <v>3450|440002</v>
          </cell>
          <cell r="B1823" t="str">
            <v>3450</v>
          </cell>
          <cell r="C1823">
            <v>440002</v>
          </cell>
          <cell r="D1823">
            <v>41426</v>
          </cell>
          <cell r="E1823">
            <v>6647061</v>
          </cell>
          <cell r="F1823">
            <v>3323531</v>
          </cell>
          <cell r="G1823">
            <v>3531249</v>
          </cell>
          <cell r="H1823">
            <v>553922</v>
          </cell>
          <cell r="I1823">
            <v>397619</v>
          </cell>
        </row>
        <row r="1824">
          <cell r="A1824" t="str">
            <v>3450|440003</v>
          </cell>
          <cell r="B1824" t="str">
            <v>3450</v>
          </cell>
          <cell r="C1824">
            <v>440003</v>
          </cell>
          <cell r="D1824">
            <v>41426</v>
          </cell>
          <cell r="E1824">
            <v>35027204</v>
          </cell>
          <cell r="F1824">
            <v>17513602</v>
          </cell>
          <cell r="G1824">
            <v>19757225</v>
          </cell>
          <cell r="H1824">
            <v>2918934</v>
          </cell>
          <cell r="I1824">
            <v>4063295</v>
          </cell>
        </row>
        <row r="1825">
          <cell r="A1825" t="str">
            <v>3450|446002</v>
          </cell>
          <cell r="B1825" t="str">
            <v>3450</v>
          </cell>
          <cell r="C1825">
            <v>446002</v>
          </cell>
          <cell r="D1825">
            <v>41426</v>
          </cell>
          <cell r="E1825">
            <v>3323530</v>
          </cell>
          <cell r="F1825">
            <v>1661765</v>
          </cell>
          <cell r="G1825">
            <v>900000</v>
          </cell>
          <cell r="H1825">
            <v>276961</v>
          </cell>
          <cell r="I1825">
            <v>150000</v>
          </cell>
        </row>
        <row r="1826">
          <cell r="A1826" t="str">
            <v>3450|447002</v>
          </cell>
          <cell r="B1826" t="str">
            <v>3450</v>
          </cell>
          <cell r="C1826">
            <v>447002</v>
          </cell>
          <cell r="D1826">
            <v>41426</v>
          </cell>
          <cell r="E1826">
            <v>1252306</v>
          </cell>
          <cell r="F1826">
            <v>626153</v>
          </cell>
          <cell r="G1826">
            <v>139128</v>
          </cell>
          <cell r="H1826">
            <v>104359</v>
          </cell>
          <cell r="I1826">
            <v>23188</v>
          </cell>
        </row>
        <row r="1827">
          <cell r="A1827" t="str">
            <v>3450|447003</v>
          </cell>
          <cell r="B1827" t="str">
            <v>3450</v>
          </cell>
          <cell r="C1827">
            <v>447003</v>
          </cell>
          <cell r="D1827">
            <v>41426</v>
          </cell>
          <cell r="E1827">
            <v>6599470</v>
          </cell>
          <cell r="F1827">
            <v>3299735</v>
          </cell>
          <cell r="G1827">
            <v>940734</v>
          </cell>
          <cell r="H1827">
            <v>549956</v>
          </cell>
          <cell r="I1827">
            <v>156789</v>
          </cell>
        </row>
        <row r="1828">
          <cell r="A1828" t="str">
            <v>3450|447012</v>
          </cell>
          <cell r="B1828" t="str">
            <v>3450</v>
          </cell>
          <cell r="C1828">
            <v>447012</v>
          </cell>
          <cell r="D1828">
            <v>41426</v>
          </cell>
          <cell r="E1828">
            <v>2951295</v>
          </cell>
          <cell r="F1828">
            <v>1475648</v>
          </cell>
          <cell r="G1828">
            <v>953268</v>
          </cell>
          <cell r="H1828">
            <v>245942</v>
          </cell>
          <cell r="I1828">
            <v>158878</v>
          </cell>
        </row>
        <row r="1829">
          <cell r="A1829" t="str">
            <v>3450|447013</v>
          </cell>
          <cell r="B1829" t="str">
            <v>3450</v>
          </cell>
          <cell r="C1829">
            <v>447013</v>
          </cell>
          <cell r="D1829">
            <v>41426</v>
          </cell>
          <cell r="E1829">
            <v>15552079</v>
          </cell>
          <cell r="F1829">
            <v>7776040</v>
          </cell>
          <cell r="G1829">
            <v>6445770</v>
          </cell>
          <cell r="H1829">
            <v>1296007</v>
          </cell>
          <cell r="I1829">
            <v>1074295</v>
          </cell>
        </row>
        <row r="1830">
          <cell r="A1830" t="str">
            <v>3450|447022</v>
          </cell>
          <cell r="B1830" t="str">
            <v>3450</v>
          </cell>
          <cell r="C1830">
            <v>447022</v>
          </cell>
          <cell r="D1830">
            <v>41426</v>
          </cell>
          <cell r="E1830">
            <v>125231</v>
          </cell>
          <cell r="F1830">
            <v>62616</v>
          </cell>
          <cell r="G1830">
            <v>6925</v>
          </cell>
          <cell r="H1830">
            <v>10436</v>
          </cell>
          <cell r="I1830">
            <v>1150</v>
          </cell>
        </row>
        <row r="1831">
          <cell r="A1831" t="str">
            <v>3450|447023</v>
          </cell>
          <cell r="B1831" t="str">
            <v>3450</v>
          </cell>
          <cell r="C1831">
            <v>447023</v>
          </cell>
          <cell r="D1831">
            <v>41426</v>
          </cell>
          <cell r="E1831">
            <v>546151</v>
          </cell>
          <cell r="F1831">
            <v>273076</v>
          </cell>
          <cell r="G1831">
            <v>313602</v>
          </cell>
          <cell r="H1831">
            <v>45513</v>
          </cell>
          <cell r="I1831">
            <v>52250</v>
          </cell>
        </row>
        <row r="1832">
          <cell r="A1832" t="str">
            <v>3450|448002</v>
          </cell>
          <cell r="B1832" t="str">
            <v>3450</v>
          </cell>
          <cell r="C1832">
            <v>448002</v>
          </cell>
          <cell r="D1832">
            <v>41426</v>
          </cell>
          <cell r="E1832">
            <v>5967791</v>
          </cell>
          <cell r="F1832">
            <v>2983896</v>
          </cell>
          <cell r="G1832">
            <v>1414950</v>
          </cell>
          <cell r="H1832">
            <v>497316</v>
          </cell>
          <cell r="I1832">
            <v>0</v>
          </cell>
        </row>
        <row r="1833">
          <cell r="A1833" t="str">
            <v>3450|448003</v>
          </cell>
          <cell r="B1833" t="str">
            <v>3450</v>
          </cell>
          <cell r="C1833">
            <v>448003</v>
          </cell>
          <cell r="D1833">
            <v>41426</v>
          </cell>
          <cell r="E1833">
            <v>21799371</v>
          </cell>
          <cell r="F1833">
            <v>10899686</v>
          </cell>
          <cell r="G1833">
            <v>23425606</v>
          </cell>
          <cell r="H1833">
            <v>1816615</v>
          </cell>
          <cell r="I1833">
            <v>7464606</v>
          </cell>
        </row>
        <row r="1834">
          <cell r="A1834" t="str">
            <v>3450|449004</v>
          </cell>
          <cell r="B1834" t="str">
            <v>3450</v>
          </cell>
          <cell r="C1834">
            <v>449004</v>
          </cell>
          <cell r="D1834">
            <v>41426</v>
          </cell>
          <cell r="E1834">
            <v>1680000</v>
          </cell>
          <cell r="F1834">
            <v>840000</v>
          </cell>
          <cell r="G1834">
            <v>0</v>
          </cell>
          <cell r="H1834">
            <v>140000</v>
          </cell>
          <cell r="I1834">
            <v>0</v>
          </cell>
        </row>
        <row r="1835">
          <cell r="A1835" t="str">
            <v>3450|449022</v>
          </cell>
          <cell r="B1835" t="str">
            <v>3450</v>
          </cell>
          <cell r="C1835">
            <v>449022</v>
          </cell>
          <cell r="D1835">
            <v>41426</v>
          </cell>
          <cell r="E1835">
            <v>3960000</v>
          </cell>
          <cell r="F1835">
            <v>1980000</v>
          </cell>
          <cell r="G1835">
            <v>2040000</v>
          </cell>
          <cell r="H1835">
            <v>330000</v>
          </cell>
          <cell r="I1835">
            <v>323000</v>
          </cell>
        </row>
        <row r="1836">
          <cell r="A1836" t="str">
            <v>3450|449050</v>
          </cell>
          <cell r="B1836" t="str">
            <v>3450</v>
          </cell>
          <cell r="C1836">
            <v>449050</v>
          </cell>
          <cell r="D1836">
            <v>41426</v>
          </cell>
          <cell r="E1836">
            <v>0</v>
          </cell>
          <cell r="F1836">
            <v>0</v>
          </cell>
          <cell r="G1836">
            <v>6865491</v>
          </cell>
          <cell r="H1836">
            <v>0</v>
          </cell>
          <cell r="I1836">
            <v>0</v>
          </cell>
        </row>
        <row r="1837">
          <cell r="A1837" t="str">
            <v>3450|449061</v>
          </cell>
          <cell r="B1837" t="str">
            <v>3450</v>
          </cell>
          <cell r="C1837">
            <v>449061</v>
          </cell>
          <cell r="D1837">
            <v>41426</v>
          </cell>
          <cell r="E1837">
            <v>6497724</v>
          </cell>
          <cell r="F1837">
            <v>3248862</v>
          </cell>
          <cell r="G1837">
            <v>2657500</v>
          </cell>
          <cell r="H1837">
            <v>541477</v>
          </cell>
          <cell r="I1837">
            <v>828500</v>
          </cell>
        </row>
        <row r="1838">
          <cell r="A1838" t="str">
            <v>3450|470102</v>
          </cell>
          <cell r="B1838" t="str">
            <v>3450</v>
          </cell>
          <cell r="C1838">
            <v>470102</v>
          </cell>
          <cell r="D1838">
            <v>41426</v>
          </cell>
          <cell r="E1838">
            <v>2572150</v>
          </cell>
          <cell r="F1838">
            <v>1286075</v>
          </cell>
          <cell r="G1838">
            <v>1145200</v>
          </cell>
          <cell r="H1838">
            <v>214346</v>
          </cell>
          <cell r="I1838">
            <v>0</v>
          </cell>
        </row>
        <row r="1839">
          <cell r="A1839" t="str">
            <v>3450|472000</v>
          </cell>
          <cell r="B1839" t="str">
            <v>3450</v>
          </cell>
          <cell r="C1839">
            <v>472000</v>
          </cell>
          <cell r="D1839">
            <v>41426</v>
          </cell>
          <cell r="E1839">
            <v>8019852</v>
          </cell>
          <cell r="F1839">
            <v>4009926</v>
          </cell>
          <cell r="G1839">
            <v>319005</v>
          </cell>
          <cell r="H1839">
            <v>668321</v>
          </cell>
          <cell r="I1839">
            <v>0</v>
          </cell>
        </row>
        <row r="1840">
          <cell r="A1840" t="str">
            <v>3450|473000</v>
          </cell>
          <cell r="B1840" t="str">
            <v>3450</v>
          </cell>
          <cell r="C1840">
            <v>473000</v>
          </cell>
          <cell r="D1840">
            <v>41426</v>
          </cell>
          <cell r="E1840">
            <v>54783</v>
          </cell>
          <cell r="F1840">
            <v>27392</v>
          </cell>
          <cell r="G1840">
            <v>36000</v>
          </cell>
          <cell r="H1840">
            <v>4566</v>
          </cell>
          <cell r="I1840">
            <v>6000</v>
          </cell>
        </row>
        <row r="1841">
          <cell r="A1841" t="str">
            <v>3450|473120</v>
          </cell>
          <cell r="B1841" t="str">
            <v>3450</v>
          </cell>
          <cell r="C1841">
            <v>473120</v>
          </cell>
          <cell r="D1841">
            <v>41426</v>
          </cell>
          <cell r="E1841">
            <v>6776034</v>
          </cell>
          <cell r="F1841">
            <v>3388017</v>
          </cell>
          <cell r="G1841">
            <v>5642551</v>
          </cell>
          <cell r="H1841">
            <v>564669</v>
          </cell>
          <cell r="I1841">
            <v>1507851</v>
          </cell>
        </row>
        <row r="1842">
          <cell r="A1842" t="str">
            <v>3450|474100</v>
          </cell>
          <cell r="B1842" t="str">
            <v>3450</v>
          </cell>
          <cell r="C1842">
            <v>474100</v>
          </cell>
          <cell r="D1842">
            <v>41426</v>
          </cell>
          <cell r="E1842">
            <v>47668911</v>
          </cell>
          <cell r="F1842">
            <v>23834456</v>
          </cell>
          <cell r="G1842">
            <v>0</v>
          </cell>
          <cell r="H1842">
            <v>3972410</v>
          </cell>
          <cell r="I1842">
            <v>0</v>
          </cell>
        </row>
        <row r="1843">
          <cell r="A1843" t="str">
            <v>3450|474101</v>
          </cell>
          <cell r="B1843" t="str">
            <v>3450</v>
          </cell>
          <cell r="C1843">
            <v>474101</v>
          </cell>
          <cell r="D1843">
            <v>41426</v>
          </cell>
          <cell r="E1843">
            <v>30147979</v>
          </cell>
          <cell r="F1843">
            <v>15073990</v>
          </cell>
          <cell r="G1843">
            <v>3762384</v>
          </cell>
          <cell r="H1843">
            <v>2512332</v>
          </cell>
          <cell r="I1843">
            <v>-1000000</v>
          </cell>
        </row>
        <row r="1844">
          <cell r="A1844" t="str">
            <v>3450|475004</v>
          </cell>
          <cell r="B1844" t="str">
            <v>3450</v>
          </cell>
          <cell r="C1844">
            <v>475004</v>
          </cell>
          <cell r="D1844">
            <v>41426</v>
          </cell>
          <cell r="E1844">
            <v>30498817</v>
          </cell>
          <cell r="F1844">
            <v>15249409</v>
          </cell>
          <cell r="G1844">
            <v>18118318</v>
          </cell>
          <cell r="H1844">
            <v>2541569</v>
          </cell>
          <cell r="I1844">
            <v>3252396</v>
          </cell>
        </row>
        <row r="1845">
          <cell r="A1845" t="str">
            <v>3450|475006</v>
          </cell>
          <cell r="B1845" t="str">
            <v>3450</v>
          </cell>
          <cell r="C1845">
            <v>475006</v>
          </cell>
          <cell r="D1845">
            <v>41426</v>
          </cell>
          <cell r="E1845">
            <v>5223416</v>
          </cell>
          <cell r="F1845">
            <v>2611708</v>
          </cell>
          <cell r="G1845">
            <v>5094373</v>
          </cell>
          <cell r="H1845">
            <v>435285</v>
          </cell>
          <cell r="I1845">
            <v>950562</v>
          </cell>
        </row>
        <row r="1846">
          <cell r="A1846" t="str">
            <v>3450|476000</v>
          </cell>
          <cell r="B1846" t="str">
            <v>3450</v>
          </cell>
          <cell r="C1846">
            <v>476000</v>
          </cell>
          <cell r="D1846">
            <v>41426</v>
          </cell>
          <cell r="E1846">
            <v>560444</v>
          </cell>
          <cell r="F1846">
            <v>280222</v>
          </cell>
          <cell r="G1846">
            <v>0</v>
          </cell>
          <cell r="H1846">
            <v>46704</v>
          </cell>
          <cell r="I1846">
            <v>0</v>
          </cell>
        </row>
        <row r="1847">
          <cell r="A1847" t="str">
            <v>3450|476001</v>
          </cell>
          <cell r="B1847" t="str">
            <v>3450</v>
          </cell>
          <cell r="C1847">
            <v>476001</v>
          </cell>
          <cell r="D1847">
            <v>41426</v>
          </cell>
          <cell r="E1847">
            <v>12062992</v>
          </cell>
          <cell r="F1847">
            <v>6031496</v>
          </cell>
          <cell r="G1847">
            <v>0</v>
          </cell>
          <cell r="H1847">
            <v>1005249</v>
          </cell>
          <cell r="I1847">
            <v>0</v>
          </cell>
        </row>
        <row r="1848">
          <cell r="A1848" t="str">
            <v>3450|476002</v>
          </cell>
          <cell r="B1848" t="str">
            <v>3450</v>
          </cell>
          <cell r="C1848">
            <v>476002</v>
          </cell>
          <cell r="D1848">
            <v>41426</v>
          </cell>
          <cell r="E1848">
            <v>5819335</v>
          </cell>
          <cell r="F1848">
            <v>2909668</v>
          </cell>
          <cell r="G1848">
            <v>3879217</v>
          </cell>
          <cell r="H1848">
            <v>484945</v>
          </cell>
          <cell r="I1848">
            <v>267000</v>
          </cell>
        </row>
        <row r="1849">
          <cell r="A1849" t="str">
            <v>3450|476900</v>
          </cell>
          <cell r="B1849" t="str">
            <v>3450</v>
          </cell>
          <cell r="C1849">
            <v>476900</v>
          </cell>
          <cell r="D1849">
            <v>41426</v>
          </cell>
          <cell r="E1849">
            <v>5988300</v>
          </cell>
          <cell r="F1849">
            <v>2994150</v>
          </cell>
          <cell r="G1849">
            <v>3871505</v>
          </cell>
          <cell r="H1849">
            <v>499025</v>
          </cell>
          <cell r="I1849">
            <v>0</v>
          </cell>
        </row>
        <row r="1850">
          <cell r="A1850" t="str">
            <v>3460|211100</v>
          </cell>
          <cell r="B1850" t="str">
            <v>3460</v>
          </cell>
          <cell r="C1850">
            <v>211100</v>
          </cell>
          <cell r="D1850">
            <v>41426</v>
          </cell>
          <cell r="E1850">
            <v>762041516</v>
          </cell>
          <cell r="F1850">
            <v>381020758</v>
          </cell>
          <cell r="G1850">
            <v>133622028</v>
          </cell>
          <cell r="H1850">
            <v>63503460</v>
          </cell>
          <cell r="I1850">
            <v>21474494</v>
          </cell>
        </row>
        <row r="1851">
          <cell r="A1851" t="str">
            <v>3460|400040</v>
          </cell>
          <cell r="B1851" t="str">
            <v>3460</v>
          </cell>
          <cell r="C1851">
            <v>400040</v>
          </cell>
          <cell r="D1851">
            <v>41426</v>
          </cell>
          <cell r="E1851">
            <v>7200000</v>
          </cell>
          <cell r="F1851">
            <v>3600000</v>
          </cell>
          <cell r="G1851">
            <v>0</v>
          </cell>
          <cell r="H1851">
            <v>600000</v>
          </cell>
          <cell r="I1851">
            <v>0</v>
          </cell>
        </row>
        <row r="1852">
          <cell r="A1852" t="str">
            <v>3460|405200</v>
          </cell>
          <cell r="B1852" t="str">
            <v>3460</v>
          </cell>
          <cell r="C1852">
            <v>405200</v>
          </cell>
          <cell r="D1852">
            <v>41426</v>
          </cell>
          <cell r="E1852">
            <v>2180000</v>
          </cell>
          <cell r="F1852">
            <v>1090000</v>
          </cell>
          <cell r="G1852">
            <v>-7503119</v>
          </cell>
          <cell r="H1852">
            <v>181667</v>
          </cell>
          <cell r="I1852">
            <v>0</v>
          </cell>
        </row>
        <row r="1853">
          <cell r="A1853" t="str">
            <v>3460|405252</v>
          </cell>
          <cell r="B1853" t="str">
            <v>3460</v>
          </cell>
          <cell r="C1853">
            <v>405252</v>
          </cell>
          <cell r="D1853">
            <v>41426</v>
          </cell>
          <cell r="E1853">
            <v>250000000</v>
          </cell>
          <cell r="F1853">
            <v>125000000</v>
          </cell>
          <cell r="G1853">
            <v>12630445</v>
          </cell>
          <cell r="H1853">
            <v>20833333</v>
          </cell>
          <cell r="I1853">
            <v>0</v>
          </cell>
        </row>
        <row r="1854">
          <cell r="A1854" t="str">
            <v>3460|420001</v>
          </cell>
          <cell r="B1854" t="str">
            <v>3460</v>
          </cell>
          <cell r="C1854">
            <v>420001</v>
          </cell>
          <cell r="D1854">
            <v>41426</v>
          </cell>
          <cell r="E1854">
            <v>94931028</v>
          </cell>
          <cell r="F1854">
            <v>47465514</v>
          </cell>
          <cell r="G1854">
            <v>39967868</v>
          </cell>
          <cell r="H1854">
            <v>7910919</v>
          </cell>
          <cell r="I1854">
            <v>6084608</v>
          </cell>
        </row>
        <row r="1855">
          <cell r="A1855" t="str">
            <v>3460|420002</v>
          </cell>
          <cell r="B1855" t="str">
            <v>3460</v>
          </cell>
          <cell r="C1855">
            <v>420002</v>
          </cell>
          <cell r="D1855">
            <v>41426</v>
          </cell>
          <cell r="E1855">
            <v>957176781</v>
          </cell>
          <cell r="F1855">
            <v>478588391</v>
          </cell>
          <cell r="G1855">
            <v>367936000</v>
          </cell>
          <cell r="H1855">
            <v>79764732</v>
          </cell>
          <cell r="I1855">
            <v>56476000</v>
          </cell>
        </row>
        <row r="1856">
          <cell r="A1856" t="str">
            <v>3460|420003</v>
          </cell>
          <cell r="B1856" t="str">
            <v>3460</v>
          </cell>
          <cell r="C1856">
            <v>420003</v>
          </cell>
          <cell r="D1856">
            <v>41426</v>
          </cell>
          <cell r="E1856">
            <v>1576970814</v>
          </cell>
          <cell r="F1856">
            <v>788485407</v>
          </cell>
          <cell r="G1856">
            <v>828430369</v>
          </cell>
          <cell r="H1856">
            <v>131414234</v>
          </cell>
          <cell r="I1856">
            <v>138783906</v>
          </cell>
        </row>
        <row r="1857">
          <cell r="A1857" t="str">
            <v>3460|422001</v>
          </cell>
          <cell r="B1857" t="str">
            <v>3460</v>
          </cell>
          <cell r="C1857">
            <v>422001</v>
          </cell>
          <cell r="D1857">
            <v>41426</v>
          </cell>
          <cell r="E1857">
            <v>129330</v>
          </cell>
          <cell r="F1857">
            <v>64665</v>
          </cell>
          <cell r="G1857">
            <v>53650</v>
          </cell>
          <cell r="H1857">
            <v>10777</v>
          </cell>
          <cell r="I1857">
            <v>0</v>
          </cell>
        </row>
        <row r="1858">
          <cell r="A1858" t="str">
            <v>3460|422002</v>
          </cell>
          <cell r="B1858" t="str">
            <v>3460</v>
          </cell>
          <cell r="C1858">
            <v>422002</v>
          </cell>
          <cell r="D1858">
            <v>41426</v>
          </cell>
          <cell r="E1858">
            <v>1608660</v>
          </cell>
          <cell r="F1858">
            <v>804330</v>
          </cell>
          <cell r="G1858">
            <v>2060950</v>
          </cell>
          <cell r="H1858">
            <v>134055</v>
          </cell>
          <cell r="I1858">
            <v>0</v>
          </cell>
        </row>
        <row r="1859">
          <cell r="A1859" t="str">
            <v>3460|422003</v>
          </cell>
          <cell r="B1859" t="str">
            <v>3460</v>
          </cell>
          <cell r="C1859">
            <v>422003</v>
          </cell>
          <cell r="D1859">
            <v>41426</v>
          </cell>
          <cell r="E1859">
            <v>906875983</v>
          </cell>
          <cell r="F1859">
            <v>453437992</v>
          </cell>
          <cell r="G1859">
            <v>557128195</v>
          </cell>
          <cell r="H1859">
            <v>75572999</v>
          </cell>
          <cell r="I1859">
            <v>112626506</v>
          </cell>
        </row>
        <row r="1860">
          <cell r="A1860" t="str">
            <v>3460|431001</v>
          </cell>
          <cell r="B1860" t="str">
            <v>3460</v>
          </cell>
          <cell r="C1860">
            <v>431001</v>
          </cell>
          <cell r="D1860">
            <v>41426</v>
          </cell>
          <cell r="E1860">
            <v>21000000</v>
          </cell>
          <cell r="F1860">
            <v>10500000</v>
          </cell>
          <cell r="G1860">
            <v>9902475</v>
          </cell>
          <cell r="H1860">
            <v>1750000</v>
          </cell>
          <cell r="I1860">
            <v>4073729</v>
          </cell>
        </row>
        <row r="1861">
          <cell r="A1861" t="str">
            <v>3460|431002</v>
          </cell>
          <cell r="B1861" t="str">
            <v>3460</v>
          </cell>
          <cell r="C1861">
            <v>431002</v>
          </cell>
          <cell r="D1861">
            <v>41426</v>
          </cell>
          <cell r="E1861">
            <v>145000000</v>
          </cell>
          <cell r="F1861">
            <v>72500000</v>
          </cell>
          <cell r="G1861">
            <v>24930245</v>
          </cell>
          <cell r="H1861">
            <v>12083333</v>
          </cell>
          <cell r="I1861">
            <v>1407714</v>
          </cell>
        </row>
        <row r="1862">
          <cell r="A1862" t="str">
            <v>3460|433002</v>
          </cell>
          <cell r="B1862" t="str">
            <v>3460</v>
          </cell>
          <cell r="C1862">
            <v>433002</v>
          </cell>
          <cell r="D1862">
            <v>41426</v>
          </cell>
          <cell r="E1862">
            <v>6909105</v>
          </cell>
          <cell r="F1862">
            <v>3454553</v>
          </cell>
          <cell r="G1862">
            <v>4362000</v>
          </cell>
          <cell r="H1862">
            <v>575759</v>
          </cell>
          <cell r="I1862">
            <v>727000</v>
          </cell>
        </row>
        <row r="1863">
          <cell r="A1863" t="str">
            <v>3460|433003</v>
          </cell>
          <cell r="B1863" t="str">
            <v>3460</v>
          </cell>
          <cell r="C1863">
            <v>433003</v>
          </cell>
          <cell r="D1863">
            <v>41426</v>
          </cell>
          <cell r="E1863">
            <v>29278194</v>
          </cell>
          <cell r="F1863">
            <v>14639097</v>
          </cell>
          <cell r="G1863">
            <v>15177450</v>
          </cell>
          <cell r="H1863">
            <v>2439849</v>
          </cell>
          <cell r="I1863">
            <v>2529575</v>
          </cell>
        </row>
        <row r="1864">
          <cell r="A1864" t="str">
            <v>3460|434011</v>
          </cell>
          <cell r="B1864" t="str">
            <v>3460</v>
          </cell>
          <cell r="C1864">
            <v>434011</v>
          </cell>
          <cell r="D1864">
            <v>41426</v>
          </cell>
          <cell r="E1864">
            <v>5204552</v>
          </cell>
          <cell r="F1864">
            <v>2602276</v>
          </cell>
          <cell r="G1864">
            <v>5003826</v>
          </cell>
          <cell r="H1864">
            <v>433713</v>
          </cell>
          <cell r="I1864">
            <v>821288</v>
          </cell>
        </row>
        <row r="1865">
          <cell r="A1865" t="str">
            <v>3460|434012</v>
          </cell>
          <cell r="B1865" t="str">
            <v>3460</v>
          </cell>
          <cell r="C1865">
            <v>434012</v>
          </cell>
          <cell r="D1865">
            <v>41426</v>
          </cell>
          <cell r="E1865">
            <v>0</v>
          </cell>
          <cell r="F1865">
            <v>0</v>
          </cell>
          <cell r="G1865">
            <v>8553514</v>
          </cell>
          <cell r="H1865">
            <v>0</v>
          </cell>
          <cell r="I1865">
            <v>1329985</v>
          </cell>
        </row>
        <row r="1866">
          <cell r="A1866" t="str">
            <v>3460|434013</v>
          </cell>
          <cell r="B1866" t="str">
            <v>3460</v>
          </cell>
          <cell r="C1866">
            <v>434013</v>
          </cell>
          <cell r="D1866">
            <v>41426</v>
          </cell>
          <cell r="E1866">
            <v>16108191</v>
          </cell>
          <cell r="F1866">
            <v>8054096</v>
          </cell>
          <cell r="G1866">
            <v>15001608</v>
          </cell>
          <cell r="H1866">
            <v>1342350</v>
          </cell>
          <cell r="I1866">
            <v>2401952</v>
          </cell>
        </row>
        <row r="1867">
          <cell r="A1867" t="str">
            <v>3460|435002</v>
          </cell>
          <cell r="B1867" t="str">
            <v>3460</v>
          </cell>
          <cell r="C1867">
            <v>435002</v>
          </cell>
          <cell r="D1867">
            <v>41426</v>
          </cell>
          <cell r="E1867">
            <v>163517700</v>
          </cell>
          <cell r="F1867">
            <v>81758850</v>
          </cell>
          <cell r="G1867">
            <v>57007500</v>
          </cell>
          <cell r="H1867">
            <v>13626475</v>
          </cell>
          <cell r="I1867">
            <v>0</v>
          </cell>
        </row>
        <row r="1868">
          <cell r="A1868" t="str">
            <v>3460|435003</v>
          </cell>
          <cell r="B1868" t="str">
            <v>3460</v>
          </cell>
          <cell r="C1868">
            <v>435003</v>
          </cell>
          <cell r="D1868">
            <v>41426</v>
          </cell>
          <cell r="E1868">
            <v>668370691</v>
          </cell>
          <cell r="F1868">
            <v>334185346</v>
          </cell>
          <cell r="G1868">
            <v>131098500</v>
          </cell>
          <cell r="H1868">
            <v>55697558</v>
          </cell>
          <cell r="I1868">
            <v>0</v>
          </cell>
        </row>
        <row r="1869">
          <cell r="A1869" t="str">
            <v>3460|439001</v>
          </cell>
          <cell r="B1869" t="str">
            <v>3460</v>
          </cell>
          <cell r="C1869">
            <v>439001</v>
          </cell>
          <cell r="D1869">
            <v>41426</v>
          </cell>
          <cell r="E1869">
            <v>22553763</v>
          </cell>
          <cell r="F1869">
            <v>11276882</v>
          </cell>
          <cell r="G1869">
            <v>11035921</v>
          </cell>
          <cell r="H1869">
            <v>1879481</v>
          </cell>
          <cell r="I1869">
            <v>1831288</v>
          </cell>
        </row>
        <row r="1870">
          <cell r="A1870" t="str">
            <v>3460|439003</v>
          </cell>
          <cell r="B1870" t="str">
            <v>3460</v>
          </cell>
          <cell r="C1870">
            <v>439003</v>
          </cell>
          <cell r="D1870">
            <v>41426</v>
          </cell>
          <cell r="E1870">
            <v>157799517</v>
          </cell>
          <cell r="F1870">
            <v>78899759</v>
          </cell>
          <cell r="G1870">
            <v>80292432</v>
          </cell>
          <cell r="H1870">
            <v>13149960</v>
          </cell>
          <cell r="I1870">
            <v>12890421</v>
          </cell>
        </row>
        <row r="1871">
          <cell r="A1871" t="str">
            <v>3460|439006</v>
          </cell>
          <cell r="B1871" t="str">
            <v>3460</v>
          </cell>
          <cell r="C1871">
            <v>439006</v>
          </cell>
          <cell r="D1871">
            <v>41426</v>
          </cell>
          <cell r="E1871">
            <v>107671723</v>
          </cell>
          <cell r="F1871">
            <v>53835862</v>
          </cell>
          <cell r="G1871">
            <v>0</v>
          </cell>
          <cell r="H1871">
            <v>8972644</v>
          </cell>
          <cell r="I1871">
            <v>0</v>
          </cell>
        </row>
        <row r="1872">
          <cell r="A1872" t="str">
            <v>3460|439008</v>
          </cell>
          <cell r="B1872" t="str">
            <v>3460</v>
          </cell>
          <cell r="C1872">
            <v>439008</v>
          </cell>
          <cell r="D1872">
            <v>41426</v>
          </cell>
          <cell r="E1872">
            <v>197064750</v>
          </cell>
          <cell r="F1872">
            <v>98532375</v>
          </cell>
          <cell r="G1872">
            <v>82395633</v>
          </cell>
          <cell r="H1872">
            <v>16422062</v>
          </cell>
          <cell r="I1872">
            <v>12786034</v>
          </cell>
        </row>
        <row r="1873">
          <cell r="A1873" t="str">
            <v>3460|439201</v>
          </cell>
          <cell r="B1873" t="str">
            <v>3460</v>
          </cell>
          <cell r="C1873">
            <v>439201</v>
          </cell>
          <cell r="D1873">
            <v>41426</v>
          </cell>
          <cell r="E1873">
            <v>11520000</v>
          </cell>
          <cell r="F1873">
            <v>5760000</v>
          </cell>
          <cell r="G1873">
            <v>6225000</v>
          </cell>
          <cell r="H1873">
            <v>960000</v>
          </cell>
          <cell r="I1873">
            <v>925000</v>
          </cell>
        </row>
        <row r="1874">
          <cell r="A1874" t="str">
            <v>3460|439202</v>
          </cell>
          <cell r="B1874" t="str">
            <v>3460</v>
          </cell>
          <cell r="C1874">
            <v>439202</v>
          </cell>
          <cell r="D1874">
            <v>41426</v>
          </cell>
          <cell r="E1874">
            <v>51840000</v>
          </cell>
          <cell r="F1874">
            <v>25920000</v>
          </cell>
          <cell r="G1874">
            <v>25300000</v>
          </cell>
          <cell r="H1874">
            <v>4320000</v>
          </cell>
          <cell r="I1874">
            <v>3800000</v>
          </cell>
        </row>
        <row r="1875">
          <cell r="A1875" t="str">
            <v>3460|439203</v>
          </cell>
          <cell r="B1875" t="str">
            <v>3460</v>
          </cell>
          <cell r="C1875">
            <v>439203</v>
          </cell>
          <cell r="D1875">
            <v>41426</v>
          </cell>
          <cell r="E1875">
            <v>21040000</v>
          </cell>
          <cell r="F1875">
            <v>10520000</v>
          </cell>
          <cell r="G1875">
            <v>11775000</v>
          </cell>
          <cell r="H1875">
            <v>1753333</v>
          </cell>
          <cell r="I1875">
            <v>1900000</v>
          </cell>
        </row>
        <row r="1876">
          <cell r="A1876" t="str">
            <v>3460|440001</v>
          </cell>
          <cell r="B1876" t="str">
            <v>3460</v>
          </cell>
          <cell r="C1876">
            <v>440001</v>
          </cell>
          <cell r="D1876">
            <v>41426</v>
          </cell>
          <cell r="E1876">
            <v>7910919</v>
          </cell>
          <cell r="F1876">
            <v>3955460</v>
          </cell>
          <cell r="G1876">
            <v>5368682</v>
          </cell>
          <cell r="H1876">
            <v>659244</v>
          </cell>
          <cell r="I1876">
            <v>869758</v>
          </cell>
        </row>
        <row r="1877">
          <cell r="A1877" t="str">
            <v>3460|440002</v>
          </cell>
          <cell r="B1877" t="str">
            <v>3460</v>
          </cell>
          <cell r="C1877">
            <v>440002</v>
          </cell>
          <cell r="D1877">
            <v>41426</v>
          </cell>
          <cell r="E1877">
            <v>79764732</v>
          </cell>
          <cell r="F1877">
            <v>39882366</v>
          </cell>
          <cell r="G1877">
            <v>30816360</v>
          </cell>
          <cell r="H1877">
            <v>6647061</v>
          </cell>
          <cell r="I1877">
            <v>3180951</v>
          </cell>
        </row>
        <row r="1878">
          <cell r="A1878" t="str">
            <v>3460|440003</v>
          </cell>
          <cell r="B1878" t="str">
            <v>3460</v>
          </cell>
          <cell r="C1878">
            <v>440003</v>
          </cell>
          <cell r="D1878">
            <v>41426</v>
          </cell>
          <cell r="E1878">
            <v>58020065</v>
          </cell>
          <cell r="F1878">
            <v>29010033</v>
          </cell>
          <cell r="G1878">
            <v>32971688</v>
          </cell>
          <cell r="H1878">
            <v>4835006</v>
          </cell>
          <cell r="I1878">
            <v>6780997</v>
          </cell>
        </row>
        <row r="1879">
          <cell r="A1879" t="str">
            <v>3460|446001</v>
          </cell>
          <cell r="B1879" t="str">
            <v>3460</v>
          </cell>
          <cell r="C1879">
            <v>446001</v>
          </cell>
          <cell r="D1879">
            <v>41426</v>
          </cell>
          <cell r="E1879">
            <v>10285459</v>
          </cell>
          <cell r="F1879">
            <v>5142730</v>
          </cell>
          <cell r="G1879">
            <v>600000</v>
          </cell>
          <cell r="H1879">
            <v>857122</v>
          </cell>
          <cell r="I1879">
            <v>100000</v>
          </cell>
        </row>
        <row r="1880">
          <cell r="A1880" t="str">
            <v>3460|446002</v>
          </cell>
          <cell r="B1880" t="str">
            <v>3460</v>
          </cell>
          <cell r="C1880">
            <v>446002</v>
          </cell>
          <cell r="D1880">
            <v>41426</v>
          </cell>
          <cell r="E1880">
            <v>39882366</v>
          </cell>
          <cell r="F1880">
            <v>19941183</v>
          </cell>
          <cell r="G1880">
            <v>7500000</v>
          </cell>
          <cell r="H1880">
            <v>3323530</v>
          </cell>
          <cell r="I1880">
            <v>1150000</v>
          </cell>
        </row>
        <row r="1881">
          <cell r="A1881" t="str">
            <v>3460|447001</v>
          </cell>
          <cell r="B1881" t="str">
            <v>3460</v>
          </cell>
          <cell r="C1881">
            <v>447001</v>
          </cell>
          <cell r="D1881">
            <v>41426</v>
          </cell>
          <cell r="E1881">
            <v>1490417</v>
          </cell>
          <cell r="F1881">
            <v>745209</v>
          </cell>
          <cell r="G1881">
            <v>214542</v>
          </cell>
          <cell r="H1881">
            <v>124202</v>
          </cell>
          <cell r="I1881">
            <v>35757</v>
          </cell>
        </row>
        <row r="1882">
          <cell r="A1882" t="str">
            <v>3460|447002</v>
          </cell>
          <cell r="B1882" t="str">
            <v>3460</v>
          </cell>
          <cell r="C1882">
            <v>447002</v>
          </cell>
          <cell r="D1882">
            <v>41426</v>
          </cell>
          <cell r="E1882">
            <v>15027675</v>
          </cell>
          <cell r="F1882">
            <v>7513838</v>
          </cell>
          <cell r="G1882">
            <v>2885430</v>
          </cell>
          <cell r="H1882">
            <v>1252307</v>
          </cell>
          <cell r="I1882">
            <v>454733</v>
          </cell>
        </row>
        <row r="1883">
          <cell r="A1883" t="str">
            <v>3460|447003</v>
          </cell>
          <cell r="B1883" t="str">
            <v>3460</v>
          </cell>
          <cell r="C1883">
            <v>447003</v>
          </cell>
          <cell r="D1883">
            <v>41426</v>
          </cell>
          <cell r="E1883">
            <v>10930416</v>
          </cell>
          <cell r="F1883">
            <v>5465208</v>
          </cell>
          <cell r="G1883">
            <v>1872888</v>
          </cell>
          <cell r="H1883">
            <v>910868</v>
          </cell>
          <cell r="I1883">
            <v>312148</v>
          </cell>
        </row>
        <row r="1884">
          <cell r="A1884" t="str">
            <v>3460|447011</v>
          </cell>
          <cell r="B1884" t="str">
            <v>3460</v>
          </cell>
          <cell r="C1884">
            <v>447011</v>
          </cell>
          <cell r="D1884">
            <v>41426</v>
          </cell>
          <cell r="E1884">
            <v>3512448</v>
          </cell>
          <cell r="F1884">
            <v>1756224</v>
          </cell>
          <cell r="G1884">
            <v>1470030</v>
          </cell>
          <cell r="H1884">
            <v>292704</v>
          </cell>
          <cell r="I1884">
            <v>245005</v>
          </cell>
        </row>
        <row r="1885">
          <cell r="A1885" t="str">
            <v>3460|447012</v>
          </cell>
          <cell r="B1885" t="str">
            <v>3460</v>
          </cell>
          <cell r="C1885">
            <v>447012</v>
          </cell>
          <cell r="D1885">
            <v>41426</v>
          </cell>
          <cell r="E1885">
            <v>35415541</v>
          </cell>
          <cell r="F1885">
            <v>17707771</v>
          </cell>
          <cell r="G1885">
            <v>13613632</v>
          </cell>
          <cell r="H1885">
            <v>2951296</v>
          </cell>
          <cell r="I1885">
            <v>2089612</v>
          </cell>
        </row>
        <row r="1886">
          <cell r="A1886" t="str">
            <v>3460|447013</v>
          </cell>
          <cell r="B1886" t="str">
            <v>3460</v>
          </cell>
          <cell r="C1886">
            <v>447013</v>
          </cell>
          <cell r="D1886">
            <v>41426</v>
          </cell>
          <cell r="E1886">
            <v>25760909</v>
          </cell>
          <cell r="F1886">
            <v>12880455</v>
          </cell>
          <cell r="G1886">
            <v>12832716</v>
          </cell>
          <cell r="H1886">
            <v>2146743</v>
          </cell>
          <cell r="I1886">
            <v>2138786</v>
          </cell>
        </row>
        <row r="1887">
          <cell r="A1887" t="str">
            <v>3460|447021</v>
          </cell>
          <cell r="B1887" t="str">
            <v>3460</v>
          </cell>
          <cell r="C1887">
            <v>447021</v>
          </cell>
          <cell r="D1887">
            <v>41426</v>
          </cell>
          <cell r="E1887">
            <v>149042</v>
          </cell>
          <cell r="F1887">
            <v>74521</v>
          </cell>
          <cell r="G1887">
            <v>10694</v>
          </cell>
          <cell r="H1887">
            <v>12420</v>
          </cell>
          <cell r="I1887">
            <v>1775</v>
          </cell>
        </row>
        <row r="1888">
          <cell r="A1888" t="str">
            <v>3460|447022</v>
          </cell>
          <cell r="B1888" t="str">
            <v>3460</v>
          </cell>
          <cell r="C1888">
            <v>447022</v>
          </cell>
          <cell r="D1888">
            <v>41426</v>
          </cell>
          <cell r="E1888">
            <v>1502768</v>
          </cell>
          <cell r="F1888">
            <v>751384</v>
          </cell>
          <cell r="G1888">
            <v>434496</v>
          </cell>
          <cell r="H1888">
            <v>125231</v>
          </cell>
          <cell r="I1888">
            <v>73975</v>
          </cell>
        </row>
        <row r="1889">
          <cell r="A1889" t="str">
            <v>3460|447023</v>
          </cell>
          <cell r="B1889" t="str">
            <v>3460</v>
          </cell>
          <cell r="C1889">
            <v>447023</v>
          </cell>
          <cell r="D1889">
            <v>41426</v>
          </cell>
          <cell r="E1889">
            <v>904566</v>
          </cell>
          <cell r="F1889">
            <v>452283</v>
          </cell>
          <cell r="G1889">
            <v>425449</v>
          </cell>
          <cell r="H1889">
            <v>75380</v>
          </cell>
          <cell r="I1889">
            <v>74125</v>
          </cell>
        </row>
        <row r="1890">
          <cell r="A1890" t="str">
            <v>3460|448001</v>
          </cell>
          <cell r="B1890" t="str">
            <v>3460</v>
          </cell>
          <cell r="C1890">
            <v>448001</v>
          </cell>
          <cell r="D1890">
            <v>41426</v>
          </cell>
          <cell r="E1890">
            <v>8397642</v>
          </cell>
          <cell r="F1890">
            <v>4198821</v>
          </cell>
          <cell r="G1890">
            <v>3920710</v>
          </cell>
          <cell r="H1890">
            <v>699803</v>
          </cell>
          <cell r="I1890">
            <v>140700</v>
          </cell>
        </row>
        <row r="1891">
          <cell r="A1891" t="str">
            <v>3460|448002</v>
          </cell>
          <cell r="B1891" t="str">
            <v>3460</v>
          </cell>
          <cell r="C1891">
            <v>448002</v>
          </cell>
          <cell r="D1891">
            <v>41426</v>
          </cell>
          <cell r="E1891">
            <v>71613490</v>
          </cell>
          <cell r="F1891">
            <v>35806745</v>
          </cell>
          <cell r="G1891">
            <v>17524626</v>
          </cell>
          <cell r="H1891">
            <v>5967791</v>
          </cell>
          <cell r="I1891">
            <v>13936</v>
          </cell>
        </row>
        <row r="1892">
          <cell r="A1892" t="str">
            <v>3460|448003</v>
          </cell>
          <cell r="B1892" t="str">
            <v>3460</v>
          </cell>
          <cell r="C1892">
            <v>448003</v>
          </cell>
          <cell r="D1892">
            <v>41426</v>
          </cell>
          <cell r="E1892">
            <v>42437260</v>
          </cell>
          <cell r="F1892">
            <v>21218630</v>
          </cell>
          <cell r="G1892">
            <v>18031385</v>
          </cell>
          <cell r="H1892">
            <v>3536438</v>
          </cell>
          <cell r="I1892">
            <v>1145000</v>
          </cell>
        </row>
        <row r="1893">
          <cell r="A1893" t="str">
            <v>3460|449004</v>
          </cell>
          <cell r="B1893" t="str">
            <v>3460</v>
          </cell>
          <cell r="C1893">
            <v>449004</v>
          </cell>
          <cell r="D1893">
            <v>41426</v>
          </cell>
          <cell r="E1893">
            <v>18000000</v>
          </cell>
          <cell r="F1893">
            <v>9000000</v>
          </cell>
          <cell r="G1893">
            <v>0</v>
          </cell>
          <cell r="H1893">
            <v>1500000</v>
          </cell>
          <cell r="I1893">
            <v>0</v>
          </cell>
        </row>
        <row r="1894">
          <cell r="A1894" t="str">
            <v>3460|449022</v>
          </cell>
          <cell r="B1894" t="str">
            <v>3460</v>
          </cell>
          <cell r="C1894">
            <v>449022</v>
          </cell>
          <cell r="D1894">
            <v>41426</v>
          </cell>
          <cell r="E1894">
            <v>47520000</v>
          </cell>
          <cell r="F1894">
            <v>23760000</v>
          </cell>
          <cell r="G1894">
            <v>19852000</v>
          </cell>
          <cell r="H1894">
            <v>3960000</v>
          </cell>
          <cell r="I1894">
            <v>3141000</v>
          </cell>
        </row>
        <row r="1895">
          <cell r="A1895" t="str">
            <v>3460|449023</v>
          </cell>
          <cell r="B1895" t="str">
            <v>3460</v>
          </cell>
          <cell r="C1895">
            <v>449023</v>
          </cell>
          <cell r="D1895">
            <v>41426</v>
          </cell>
          <cell r="E1895">
            <v>41316000</v>
          </cell>
          <cell r="F1895">
            <v>20658000</v>
          </cell>
          <cell r="G1895">
            <v>26498000</v>
          </cell>
          <cell r="H1895">
            <v>3443000</v>
          </cell>
          <cell r="I1895">
            <v>4348000</v>
          </cell>
        </row>
        <row r="1896">
          <cell r="A1896" t="str">
            <v>3460|449025</v>
          </cell>
          <cell r="B1896" t="str">
            <v>3460</v>
          </cell>
          <cell r="C1896">
            <v>449025</v>
          </cell>
          <cell r="D1896">
            <v>41426</v>
          </cell>
          <cell r="E1896">
            <v>7920000</v>
          </cell>
          <cell r="F1896">
            <v>3960000</v>
          </cell>
          <cell r="G1896">
            <v>4595000</v>
          </cell>
          <cell r="H1896">
            <v>660000</v>
          </cell>
          <cell r="I1896">
            <v>760000</v>
          </cell>
        </row>
        <row r="1897">
          <cell r="A1897" t="str">
            <v>3460|449032</v>
          </cell>
          <cell r="B1897" t="str">
            <v>3460</v>
          </cell>
          <cell r="C1897">
            <v>449032</v>
          </cell>
          <cell r="D1897">
            <v>41426</v>
          </cell>
          <cell r="E1897">
            <v>6575000</v>
          </cell>
          <cell r="F1897">
            <v>3287500</v>
          </cell>
          <cell r="G1897">
            <v>1000000</v>
          </cell>
          <cell r="H1897">
            <v>547916</v>
          </cell>
          <cell r="I1897">
            <v>500000</v>
          </cell>
        </row>
        <row r="1898">
          <cell r="A1898" t="str">
            <v>3460|449040</v>
          </cell>
          <cell r="B1898" t="str">
            <v>3460</v>
          </cell>
          <cell r="C1898">
            <v>449040</v>
          </cell>
          <cell r="D1898">
            <v>41426</v>
          </cell>
          <cell r="E1898">
            <v>0</v>
          </cell>
          <cell r="F1898">
            <v>0</v>
          </cell>
          <cell r="G1898">
            <v>43803550</v>
          </cell>
          <cell r="H1898">
            <v>0</v>
          </cell>
          <cell r="I1898">
            <v>6345600</v>
          </cell>
        </row>
        <row r="1899">
          <cell r="A1899" t="str">
            <v>3460|449050</v>
          </cell>
          <cell r="B1899" t="str">
            <v>3460</v>
          </cell>
          <cell r="C1899">
            <v>449050</v>
          </cell>
          <cell r="D1899">
            <v>41426</v>
          </cell>
          <cell r="E1899">
            <v>172700000</v>
          </cell>
          <cell r="F1899">
            <v>86350000</v>
          </cell>
          <cell r="G1899">
            <v>50146216</v>
          </cell>
          <cell r="H1899">
            <v>14391667</v>
          </cell>
          <cell r="I1899">
            <v>9712549</v>
          </cell>
        </row>
        <row r="1900">
          <cell r="A1900" t="str">
            <v>3460|449061</v>
          </cell>
          <cell r="B1900" t="str">
            <v>3460</v>
          </cell>
          <cell r="C1900">
            <v>449061</v>
          </cell>
          <cell r="D1900">
            <v>41426</v>
          </cell>
          <cell r="E1900">
            <v>38850000</v>
          </cell>
          <cell r="F1900">
            <v>19425000</v>
          </cell>
          <cell r="G1900">
            <v>19413000</v>
          </cell>
          <cell r="H1900">
            <v>3237500</v>
          </cell>
          <cell r="I1900">
            <v>3902100</v>
          </cell>
        </row>
        <row r="1901">
          <cell r="A1901" t="str">
            <v>3460|451000</v>
          </cell>
          <cell r="B1901" t="str">
            <v>3460</v>
          </cell>
          <cell r="C1901">
            <v>451000</v>
          </cell>
          <cell r="D1901">
            <v>41426</v>
          </cell>
          <cell r="E1901">
            <v>200000</v>
          </cell>
          <cell r="F1901">
            <v>100000</v>
          </cell>
          <cell r="G1901">
            <v>99000</v>
          </cell>
          <cell r="H1901">
            <v>16667</v>
          </cell>
          <cell r="I1901">
            <v>0</v>
          </cell>
        </row>
        <row r="1902">
          <cell r="A1902" t="str">
            <v>3460|452000</v>
          </cell>
          <cell r="B1902" t="str">
            <v>3460</v>
          </cell>
          <cell r="C1902">
            <v>452000</v>
          </cell>
          <cell r="D1902">
            <v>41426</v>
          </cell>
          <cell r="E1902">
            <v>9000000</v>
          </cell>
          <cell r="F1902">
            <v>4500000</v>
          </cell>
          <cell r="G1902">
            <v>0</v>
          </cell>
          <cell r="H1902">
            <v>750000</v>
          </cell>
          <cell r="I1902">
            <v>0</v>
          </cell>
        </row>
        <row r="1903">
          <cell r="A1903" t="str">
            <v>3460|452001</v>
          </cell>
          <cell r="B1903" t="str">
            <v>3460</v>
          </cell>
          <cell r="C1903">
            <v>452001</v>
          </cell>
          <cell r="D1903">
            <v>41426</v>
          </cell>
          <cell r="E1903">
            <v>16000000</v>
          </cell>
          <cell r="F1903">
            <v>8000000</v>
          </cell>
          <cell r="G1903">
            <v>0</v>
          </cell>
          <cell r="H1903">
            <v>1333333</v>
          </cell>
          <cell r="I1903">
            <v>0</v>
          </cell>
        </row>
        <row r="1904">
          <cell r="A1904" t="str">
            <v>3460|455000</v>
          </cell>
          <cell r="B1904" t="str">
            <v>3460</v>
          </cell>
          <cell r="C1904">
            <v>455000</v>
          </cell>
          <cell r="D1904">
            <v>41426</v>
          </cell>
          <cell r="E1904">
            <v>500000</v>
          </cell>
          <cell r="F1904">
            <v>250000</v>
          </cell>
          <cell r="G1904">
            <v>0</v>
          </cell>
          <cell r="H1904">
            <v>41667</v>
          </cell>
          <cell r="I1904">
            <v>0</v>
          </cell>
        </row>
        <row r="1905">
          <cell r="A1905" t="str">
            <v>3460|455002</v>
          </cell>
          <cell r="B1905" t="str">
            <v>3460</v>
          </cell>
          <cell r="C1905">
            <v>455002</v>
          </cell>
          <cell r="D1905">
            <v>41426</v>
          </cell>
          <cell r="E1905">
            <v>41500000</v>
          </cell>
          <cell r="F1905">
            <v>20750000</v>
          </cell>
          <cell r="G1905">
            <v>8416670</v>
          </cell>
          <cell r="H1905">
            <v>3458333</v>
          </cell>
          <cell r="I1905">
            <v>0</v>
          </cell>
        </row>
        <row r="1906">
          <cell r="A1906" t="str">
            <v>3460|470001</v>
          </cell>
          <cell r="B1906" t="str">
            <v>3460</v>
          </cell>
          <cell r="C1906">
            <v>470001</v>
          </cell>
          <cell r="D1906">
            <v>41426</v>
          </cell>
          <cell r="E1906">
            <v>333000000</v>
          </cell>
          <cell r="F1906">
            <v>166500000</v>
          </cell>
          <cell r="G1906">
            <v>171956580</v>
          </cell>
          <cell r="H1906">
            <v>27750000</v>
          </cell>
          <cell r="I1906">
            <v>33206580</v>
          </cell>
        </row>
        <row r="1907">
          <cell r="A1907" t="str">
            <v>3460|471000</v>
          </cell>
          <cell r="B1907" t="str">
            <v>3460</v>
          </cell>
          <cell r="C1907">
            <v>471000</v>
          </cell>
          <cell r="D1907">
            <v>41426</v>
          </cell>
          <cell r="E1907">
            <v>11215000</v>
          </cell>
          <cell r="F1907">
            <v>5607500</v>
          </cell>
          <cell r="G1907">
            <v>5099105</v>
          </cell>
          <cell r="H1907">
            <v>934583</v>
          </cell>
          <cell r="I1907">
            <v>0</v>
          </cell>
        </row>
        <row r="1908">
          <cell r="A1908" t="str">
            <v>3460|472000</v>
          </cell>
          <cell r="B1908" t="str">
            <v>3460</v>
          </cell>
          <cell r="C1908">
            <v>472000</v>
          </cell>
          <cell r="D1908">
            <v>41426</v>
          </cell>
          <cell r="E1908">
            <v>12000000</v>
          </cell>
          <cell r="F1908">
            <v>6000000</v>
          </cell>
          <cell r="G1908">
            <v>9200295</v>
          </cell>
          <cell r="H1908">
            <v>1000000</v>
          </cell>
          <cell r="I1908">
            <v>0</v>
          </cell>
        </row>
        <row r="1909">
          <cell r="A1909" t="str">
            <v>3460|473000</v>
          </cell>
          <cell r="B1909" t="str">
            <v>3460</v>
          </cell>
          <cell r="C1909">
            <v>473000</v>
          </cell>
          <cell r="D1909">
            <v>41426</v>
          </cell>
          <cell r="E1909">
            <v>100000</v>
          </cell>
          <cell r="F1909">
            <v>50000</v>
          </cell>
          <cell r="G1909">
            <v>60000</v>
          </cell>
          <cell r="H1909">
            <v>8333</v>
          </cell>
          <cell r="I1909">
            <v>60000</v>
          </cell>
        </row>
        <row r="1910">
          <cell r="A1910" t="str">
            <v>3460|473120</v>
          </cell>
          <cell r="B1910" t="str">
            <v>3460</v>
          </cell>
          <cell r="C1910">
            <v>473120</v>
          </cell>
          <cell r="D1910">
            <v>41426</v>
          </cell>
          <cell r="E1910">
            <v>7225000</v>
          </cell>
          <cell r="F1910">
            <v>3612500</v>
          </cell>
          <cell r="G1910">
            <v>8149015</v>
          </cell>
          <cell r="H1910">
            <v>602083</v>
          </cell>
          <cell r="I1910">
            <v>1134756</v>
          </cell>
        </row>
        <row r="1911">
          <cell r="A1911" t="str">
            <v>3460|474100</v>
          </cell>
          <cell r="B1911" t="str">
            <v>3460</v>
          </cell>
          <cell r="C1911">
            <v>474100</v>
          </cell>
          <cell r="D1911">
            <v>41426</v>
          </cell>
          <cell r="E1911">
            <v>44375000</v>
          </cell>
          <cell r="F1911">
            <v>22187500</v>
          </cell>
          <cell r="G1911">
            <v>14319674</v>
          </cell>
          <cell r="H1911">
            <v>3697917</v>
          </cell>
          <cell r="I1911">
            <v>3452463</v>
          </cell>
        </row>
        <row r="1912">
          <cell r="A1912" t="str">
            <v>3460|474101</v>
          </cell>
          <cell r="B1912" t="str">
            <v>3460</v>
          </cell>
          <cell r="C1912">
            <v>474101</v>
          </cell>
          <cell r="D1912">
            <v>41426</v>
          </cell>
          <cell r="E1912">
            <v>49000000</v>
          </cell>
          <cell r="F1912">
            <v>24500000</v>
          </cell>
          <cell r="G1912">
            <v>-8027230</v>
          </cell>
          <cell r="H1912">
            <v>4083333</v>
          </cell>
          <cell r="I1912">
            <v>-2060000</v>
          </cell>
        </row>
        <row r="1913">
          <cell r="A1913" t="str">
            <v>3460|475000</v>
          </cell>
          <cell r="B1913" t="str">
            <v>3460</v>
          </cell>
          <cell r="C1913">
            <v>475000</v>
          </cell>
          <cell r="D1913">
            <v>41426</v>
          </cell>
          <cell r="E1913">
            <v>30000000</v>
          </cell>
          <cell r="F1913">
            <v>15000000</v>
          </cell>
          <cell r="G1913">
            <v>38686924</v>
          </cell>
          <cell r="H1913">
            <v>2500000</v>
          </cell>
          <cell r="I1913">
            <v>6680910</v>
          </cell>
        </row>
        <row r="1914">
          <cell r="A1914" t="str">
            <v>3460|475001</v>
          </cell>
          <cell r="B1914" t="str">
            <v>3460</v>
          </cell>
          <cell r="C1914">
            <v>475001</v>
          </cell>
          <cell r="D1914">
            <v>41426</v>
          </cell>
          <cell r="E1914">
            <v>17050000</v>
          </cell>
          <cell r="F1914">
            <v>8525000</v>
          </cell>
          <cell r="G1914">
            <v>13454000</v>
          </cell>
          <cell r="H1914">
            <v>1420833</v>
          </cell>
          <cell r="I1914">
            <v>2653000</v>
          </cell>
        </row>
        <row r="1915">
          <cell r="A1915" t="str">
            <v>3460|475002</v>
          </cell>
          <cell r="B1915" t="str">
            <v>3460</v>
          </cell>
          <cell r="C1915">
            <v>475002</v>
          </cell>
          <cell r="D1915">
            <v>41426</v>
          </cell>
          <cell r="E1915">
            <v>2334197</v>
          </cell>
          <cell r="F1915">
            <v>1167099</v>
          </cell>
          <cell r="G1915">
            <v>7170024</v>
          </cell>
          <cell r="H1915">
            <v>194517</v>
          </cell>
          <cell r="I1915">
            <v>1195004</v>
          </cell>
        </row>
        <row r="1916">
          <cell r="A1916" t="str">
            <v>3460|475003</v>
          </cell>
          <cell r="B1916" t="str">
            <v>3460</v>
          </cell>
          <cell r="C1916">
            <v>475003</v>
          </cell>
          <cell r="D1916">
            <v>41426</v>
          </cell>
          <cell r="E1916">
            <v>45000000</v>
          </cell>
          <cell r="F1916">
            <v>22500000</v>
          </cell>
          <cell r="G1916">
            <v>16695000</v>
          </cell>
          <cell r="H1916">
            <v>3750000</v>
          </cell>
          <cell r="I1916">
            <v>3598000</v>
          </cell>
        </row>
        <row r="1917">
          <cell r="A1917" t="str">
            <v>3460|475006</v>
          </cell>
          <cell r="B1917" t="str">
            <v>3460</v>
          </cell>
          <cell r="C1917">
            <v>475006</v>
          </cell>
          <cell r="D1917">
            <v>41426</v>
          </cell>
          <cell r="E1917">
            <v>0</v>
          </cell>
          <cell r="F1917">
            <v>0</v>
          </cell>
          <cell r="G1917">
            <v>1107186</v>
          </cell>
          <cell r="H1917">
            <v>0</v>
          </cell>
          <cell r="I1917">
            <v>184531</v>
          </cell>
        </row>
        <row r="1918">
          <cell r="A1918" t="str">
            <v>3460|476000</v>
          </cell>
          <cell r="B1918" t="str">
            <v>3460</v>
          </cell>
          <cell r="C1918">
            <v>476000</v>
          </cell>
          <cell r="D1918">
            <v>41426</v>
          </cell>
          <cell r="E1918">
            <v>7425000</v>
          </cell>
          <cell r="F1918">
            <v>3712500</v>
          </cell>
          <cell r="G1918">
            <v>2111350</v>
          </cell>
          <cell r="H1918">
            <v>618750</v>
          </cell>
          <cell r="I1918">
            <v>253650</v>
          </cell>
        </row>
        <row r="1919">
          <cell r="A1919" t="str">
            <v>3460|476001</v>
          </cell>
          <cell r="B1919" t="str">
            <v>3460</v>
          </cell>
          <cell r="C1919">
            <v>476001</v>
          </cell>
          <cell r="D1919">
            <v>41426</v>
          </cell>
          <cell r="E1919">
            <v>7980000</v>
          </cell>
          <cell r="F1919">
            <v>3990000</v>
          </cell>
          <cell r="G1919">
            <v>650000</v>
          </cell>
          <cell r="H1919">
            <v>664998</v>
          </cell>
          <cell r="I1919">
            <v>0</v>
          </cell>
        </row>
        <row r="1920">
          <cell r="A1920" t="str">
            <v>3460|476002</v>
          </cell>
          <cell r="B1920" t="str">
            <v>3460</v>
          </cell>
          <cell r="C1920">
            <v>476002</v>
          </cell>
          <cell r="D1920">
            <v>41426</v>
          </cell>
          <cell r="E1920">
            <v>0</v>
          </cell>
          <cell r="F1920">
            <v>0</v>
          </cell>
          <cell r="G1920">
            <v>1221968</v>
          </cell>
          <cell r="H1920">
            <v>0</v>
          </cell>
          <cell r="I1920">
            <v>0</v>
          </cell>
        </row>
        <row r="1921">
          <cell r="A1921" t="str">
            <v>3460|476220</v>
          </cell>
          <cell r="B1921" t="str">
            <v>3460</v>
          </cell>
          <cell r="C1921">
            <v>476220</v>
          </cell>
          <cell r="D1921">
            <v>41426</v>
          </cell>
          <cell r="E1921">
            <v>0</v>
          </cell>
          <cell r="F1921">
            <v>0</v>
          </cell>
          <cell r="G1921">
            <v>1294351</v>
          </cell>
          <cell r="H1921">
            <v>0</v>
          </cell>
          <cell r="I1921">
            <v>1294351</v>
          </cell>
        </row>
        <row r="1922">
          <cell r="A1922" t="str">
            <v>3460|476900</v>
          </cell>
          <cell r="B1922" t="str">
            <v>3460</v>
          </cell>
          <cell r="C1922">
            <v>476900</v>
          </cell>
          <cell r="D1922">
            <v>41426</v>
          </cell>
          <cell r="E1922">
            <v>6000000</v>
          </cell>
          <cell r="F1922">
            <v>3000000</v>
          </cell>
          <cell r="G1922">
            <v>2342085</v>
          </cell>
          <cell r="H1922">
            <v>500000</v>
          </cell>
          <cell r="I1922">
            <v>582885</v>
          </cell>
        </row>
        <row r="1923">
          <cell r="A1923" t="str">
            <v>3460|477001</v>
          </cell>
          <cell r="B1923" t="str">
            <v>3460</v>
          </cell>
          <cell r="C1923">
            <v>477001</v>
          </cell>
          <cell r="D1923">
            <v>41426</v>
          </cell>
          <cell r="E1923">
            <v>15000000</v>
          </cell>
          <cell r="F1923">
            <v>7500000</v>
          </cell>
          <cell r="G1923">
            <v>0</v>
          </cell>
          <cell r="H1923">
            <v>1250000</v>
          </cell>
          <cell r="I1923">
            <v>0</v>
          </cell>
        </row>
        <row r="1924">
          <cell r="A1924" t="str">
            <v>3460|477310</v>
          </cell>
          <cell r="B1924" t="str">
            <v>3460</v>
          </cell>
          <cell r="C1924">
            <v>477310</v>
          </cell>
          <cell r="D1924">
            <v>41426</v>
          </cell>
          <cell r="E1924">
            <v>0</v>
          </cell>
          <cell r="F1924">
            <v>0</v>
          </cell>
          <cell r="G1924">
            <v>249355</v>
          </cell>
          <cell r="H1924">
            <v>0</v>
          </cell>
          <cell r="I1924">
            <v>2022237</v>
          </cell>
        </row>
        <row r="1925">
          <cell r="A1925" t="str">
            <v>3460|477800</v>
          </cell>
          <cell r="B1925" t="str">
            <v>3460</v>
          </cell>
          <cell r="C1925">
            <v>477800</v>
          </cell>
          <cell r="D1925">
            <v>41426</v>
          </cell>
          <cell r="E1925">
            <v>401500000</v>
          </cell>
          <cell r="F1925">
            <v>200750000</v>
          </cell>
          <cell r="G1925">
            <v>748581</v>
          </cell>
          <cell r="H1925">
            <v>33458333</v>
          </cell>
          <cell r="I1925">
            <v>0</v>
          </cell>
        </row>
        <row r="1926">
          <cell r="A1926" t="str">
            <v>3470|211100</v>
          </cell>
          <cell r="B1926" t="str">
            <v>3470</v>
          </cell>
          <cell r="C1926">
            <v>211100</v>
          </cell>
          <cell r="D1926">
            <v>41426</v>
          </cell>
          <cell r="E1926">
            <v>2296152</v>
          </cell>
          <cell r="F1926">
            <v>1148076</v>
          </cell>
          <cell r="G1926">
            <v>1242589</v>
          </cell>
          <cell r="H1926">
            <v>191346</v>
          </cell>
          <cell r="I1926">
            <v>207100</v>
          </cell>
        </row>
        <row r="1927">
          <cell r="A1927" t="str">
            <v>3470|400040</v>
          </cell>
          <cell r="B1927" t="str">
            <v>3470</v>
          </cell>
          <cell r="C1927">
            <v>400040</v>
          </cell>
          <cell r="D1927">
            <v>41426</v>
          </cell>
          <cell r="E1927">
            <v>2600000</v>
          </cell>
          <cell r="F1927">
            <v>1300000</v>
          </cell>
          <cell r="G1927">
            <v>0</v>
          </cell>
          <cell r="H1927">
            <v>216667</v>
          </cell>
          <cell r="I1927">
            <v>0</v>
          </cell>
        </row>
        <row r="1928">
          <cell r="A1928" t="str">
            <v>3470|420002</v>
          </cell>
          <cell r="B1928" t="str">
            <v>3470</v>
          </cell>
          <cell r="C1928">
            <v>420002</v>
          </cell>
          <cell r="D1928">
            <v>41426</v>
          </cell>
          <cell r="E1928">
            <v>478588390</v>
          </cell>
          <cell r="F1928">
            <v>239294195</v>
          </cell>
          <cell r="G1928">
            <v>253088081</v>
          </cell>
          <cell r="H1928">
            <v>39882366</v>
          </cell>
          <cell r="I1928">
            <v>37837500</v>
          </cell>
        </row>
        <row r="1929">
          <cell r="A1929" t="str">
            <v>3470|420003</v>
          </cell>
          <cell r="B1929" t="str">
            <v>3470</v>
          </cell>
          <cell r="C1929">
            <v>420003</v>
          </cell>
          <cell r="D1929">
            <v>41426</v>
          </cell>
          <cell r="E1929">
            <v>146906699</v>
          </cell>
          <cell r="F1929">
            <v>73453350</v>
          </cell>
          <cell r="G1929">
            <v>70788128</v>
          </cell>
          <cell r="H1929">
            <v>12242225</v>
          </cell>
          <cell r="I1929">
            <v>11929878</v>
          </cell>
        </row>
        <row r="1930">
          <cell r="A1930" t="str">
            <v>3470|422002</v>
          </cell>
          <cell r="B1930" t="str">
            <v>3470</v>
          </cell>
          <cell r="C1930">
            <v>422002</v>
          </cell>
          <cell r="D1930">
            <v>41426</v>
          </cell>
          <cell r="E1930">
            <v>1284120</v>
          </cell>
          <cell r="F1930">
            <v>642060</v>
          </cell>
          <cell r="G1930">
            <v>953350</v>
          </cell>
          <cell r="H1930">
            <v>107010</v>
          </cell>
          <cell r="I1930">
            <v>0</v>
          </cell>
        </row>
        <row r="1931">
          <cell r="A1931" t="str">
            <v>3470|422003</v>
          </cell>
          <cell r="B1931" t="str">
            <v>3470</v>
          </cell>
          <cell r="C1931">
            <v>422003</v>
          </cell>
          <cell r="D1931">
            <v>41426</v>
          </cell>
          <cell r="E1931">
            <v>173070</v>
          </cell>
          <cell r="F1931">
            <v>86535</v>
          </cell>
          <cell r="G1931">
            <v>149850</v>
          </cell>
          <cell r="H1931">
            <v>14422</v>
          </cell>
          <cell r="I1931">
            <v>0</v>
          </cell>
        </row>
        <row r="1932">
          <cell r="A1932" t="str">
            <v>3470|431002</v>
          </cell>
          <cell r="B1932" t="str">
            <v>3470</v>
          </cell>
          <cell r="C1932">
            <v>431002</v>
          </cell>
          <cell r="D1932">
            <v>41426</v>
          </cell>
          <cell r="E1932">
            <v>313297</v>
          </cell>
          <cell r="F1932">
            <v>156649</v>
          </cell>
          <cell r="G1932">
            <v>950000</v>
          </cell>
          <cell r="H1932">
            <v>26109</v>
          </cell>
          <cell r="I1932">
            <v>0</v>
          </cell>
        </row>
        <row r="1933">
          <cell r="A1933" t="str">
            <v>3470|433003</v>
          </cell>
          <cell r="B1933" t="str">
            <v>3470</v>
          </cell>
          <cell r="C1933">
            <v>433003</v>
          </cell>
          <cell r="D1933">
            <v>41426</v>
          </cell>
          <cell r="E1933">
            <v>8392676</v>
          </cell>
          <cell r="F1933">
            <v>4196338</v>
          </cell>
          <cell r="G1933">
            <v>4394550</v>
          </cell>
          <cell r="H1933">
            <v>699390</v>
          </cell>
          <cell r="I1933">
            <v>732425</v>
          </cell>
        </row>
        <row r="1934">
          <cell r="A1934" t="str">
            <v>3470|434012</v>
          </cell>
          <cell r="B1934" t="str">
            <v>3470</v>
          </cell>
          <cell r="C1934">
            <v>434012</v>
          </cell>
          <cell r="D1934">
            <v>41426</v>
          </cell>
          <cell r="E1934">
            <v>8746133</v>
          </cell>
          <cell r="F1934">
            <v>4373067</v>
          </cell>
          <cell r="G1934">
            <v>6744157</v>
          </cell>
          <cell r="H1934">
            <v>728845</v>
          </cell>
          <cell r="I1934">
            <v>997489</v>
          </cell>
        </row>
        <row r="1935">
          <cell r="A1935" t="str">
            <v>3470|434013</v>
          </cell>
          <cell r="B1935" t="str">
            <v>3470</v>
          </cell>
          <cell r="C1935">
            <v>434013</v>
          </cell>
          <cell r="D1935">
            <v>41426</v>
          </cell>
          <cell r="E1935">
            <v>0</v>
          </cell>
          <cell r="F1935">
            <v>0</v>
          </cell>
          <cell r="G1935">
            <v>3750402</v>
          </cell>
          <cell r="H1935">
            <v>0</v>
          </cell>
          <cell r="I1935">
            <v>600488</v>
          </cell>
        </row>
        <row r="1936">
          <cell r="A1936" t="str">
            <v>3470|435002</v>
          </cell>
          <cell r="B1936" t="str">
            <v>3470</v>
          </cell>
          <cell r="C1936">
            <v>435002</v>
          </cell>
          <cell r="D1936">
            <v>41426</v>
          </cell>
          <cell r="E1936">
            <v>81758850</v>
          </cell>
          <cell r="F1936">
            <v>40879425</v>
          </cell>
          <cell r="G1936">
            <v>45635875</v>
          </cell>
          <cell r="H1936">
            <v>6813237</v>
          </cell>
          <cell r="I1936">
            <v>0</v>
          </cell>
        </row>
        <row r="1937">
          <cell r="A1937" t="str">
            <v>3470|435003</v>
          </cell>
          <cell r="B1937" t="str">
            <v>3470</v>
          </cell>
          <cell r="C1937">
            <v>435003</v>
          </cell>
          <cell r="D1937">
            <v>41426</v>
          </cell>
          <cell r="E1937">
            <v>18363337</v>
          </cell>
          <cell r="F1937">
            <v>9181669</v>
          </cell>
          <cell r="G1937">
            <v>32982500</v>
          </cell>
          <cell r="H1937">
            <v>1530279</v>
          </cell>
          <cell r="I1937">
            <v>0</v>
          </cell>
        </row>
        <row r="1938">
          <cell r="A1938" t="str">
            <v>3470|439003</v>
          </cell>
          <cell r="B1938" t="str">
            <v>3470</v>
          </cell>
          <cell r="C1938">
            <v>439003</v>
          </cell>
          <cell r="D1938">
            <v>41426</v>
          </cell>
          <cell r="E1938">
            <v>39449879</v>
          </cell>
          <cell r="F1938">
            <v>19724940</v>
          </cell>
          <cell r="G1938">
            <v>20073108</v>
          </cell>
          <cell r="H1938">
            <v>3287490</v>
          </cell>
          <cell r="I1938">
            <v>3222605</v>
          </cell>
        </row>
        <row r="1939">
          <cell r="A1939" t="str">
            <v>3470|439008</v>
          </cell>
          <cell r="B1939" t="str">
            <v>3470</v>
          </cell>
          <cell r="C1939">
            <v>439008</v>
          </cell>
          <cell r="D1939">
            <v>41426</v>
          </cell>
          <cell r="E1939">
            <v>98532375</v>
          </cell>
          <cell r="F1939">
            <v>49266188</v>
          </cell>
          <cell r="G1939">
            <v>64964404</v>
          </cell>
          <cell r="H1939">
            <v>8211032</v>
          </cell>
          <cell r="I1939">
            <v>9589526</v>
          </cell>
        </row>
        <row r="1940">
          <cell r="A1940" t="str">
            <v>3470|439202</v>
          </cell>
          <cell r="B1940" t="str">
            <v>3470</v>
          </cell>
          <cell r="C1940">
            <v>439202</v>
          </cell>
          <cell r="D1940">
            <v>41426</v>
          </cell>
          <cell r="E1940">
            <v>40320000</v>
          </cell>
          <cell r="F1940">
            <v>20160000</v>
          </cell>
          <cell r="G1940">
            <v>19150000</v>
          </cell>
          <cell r="H1940">
            <v>3360000</v>
          </cell>
          <cell r="I1940">
            <v>2950000</v>
          </cell>
        </row>
        <row r="1941">
          <cell r="A1941" t="str">
            <v>3470|439203</v>
          </cell>
          <cell r="B1941" t="str">
            <v>3470</v>
          </cell>
          <cell r="C1941">
            <v>439203</v>
          </cell>
          <cell r="D1941">
            <v>41426</v>
          </cell>
          <cell r="E1941">
            <v>5760000</v>
          </cell>
          <cell r="F1941">
            <v>2880000</v>
          </cell>
          <cell r="G1941">
            <v>2950000</v>
          </cell>
          <cell r="H1941">
            <v>480000</v>
          </cell>
          <cell r="I1941">
            <v>500000</v>
          </cell>
        </row>
        <row r="1942">
          <cell r="A1942" t="str">
            <v>3470|440002</v>
          </cell>
          <cell r="B1942" t="str">
            <v>3470</v>
          </cell>
          <cell r="C1942">
            <v>440002</v>
          </cell>
          <cell r="D1942">
            <v>41426</v>
          </cell>
          <cell r="E1942">
            <v>39882366</v>
          </cell>
          <cell r="F1942">
            <v>19941183</v>
          </cell>
          <cell r="G1942">
            <v>24321122</v>
          </cell>
          <cell r="H1942">
            <v>3323530</v>
          </cell>
          <cell r="I1942">
            <v>2385714</v>
          </cell>
        </row>
        <row r="1943">
          <cell r="A1943" t="str">
            <v>3470|440003</v>
          </cell>
          <cell r="B1943" t="str">
            <v>3470</v>
          </cell>
          <cell r="C1943">
            <v>440003</v>
          </cell>
          <cell r="D1943">
            <v>41426</v>
          </cell>
          <cell r="E1943">
            <v>12242225</v>
          </cell>
          <cell r="F1943">
            <v>6121113</v>
          </cell>
          <cell r="G1943">
            <v>6894237</v>
          </cell>
          <cell r="H1943">
            <v>1020186</v>
          </cell>
          <cell r="I1943">
            <v>1417877</v>
          </cell>
        </row>
        <row r="1944">
          <cell r="A1944" t="str">
            <v>3470|446002</v>
          </cell>
          <cell r="B1944" t="str">
            <v>3470</v>
          </cell>
          <cell r="C1944">
            <v>446002</v>
          </cell>
          <cell r="D1944">
            <v>41426</v>
          </cell>
          <cell r="E1944">
            <v>19941183</v>
          </cell>
          <cell r="F1944">
            <v>9970592</v>
          </cell>
          <cell r="G1944">
            <v>4200000</v>
          </cell>
          <cell r="H1944">
            <v>1661766</v>
          </cell>
          <cell r="I1944">
            <v>450000</v>
          </cell>
        </row>
        <row r="1945">
          <cell r="A1945" t="str">
            <v>3470|447002</v>
          </cell>
          <cell r="B1945" t="str">
            <v>3470</v>
          </cell>
          <cell r="C1945">
            <v>447002</v>
          </cell>
          <cell r="D1945">
            <v>41426</v>
          </cell>
          <cell r="E1945">
            <v>7513838</v>
          </cell>
          <cell r="F1945">
            <v>3756919</v>
          </cell>
          <cell r="G1945">
            <v>2801649</v>
          </cell>
          <cell r="H1945">
            <v>626153</v>
          </cell>
          <cell r="I1945">
            <v>443249</v>
          </cell>
        </row>
        <row r="1946">
          <cell r="A1946" t="str">
            <v>3470|447003</v>
          </cell>
          <cell r="B1946" t="str">
            <v>3470</v>
          </cell>
          <cell r="C1946">
            <v>447003</v>
          </cell>
          <cell r="D1946">
            <v>41426</v>
          </cell>
          <cell r="E1946">
            <v>2306058</v>
          </cell>
          <cell r="F1946">
            <v>1153029</v>
          </cell>
          <cell r="G1946">
            <v>474612</v>
          </cell>
          <cell r="H1946">
            <v>192171</v>
          </cell>
          <cell r="I1946">
            <v>79102</v>
          </cell>
        </row>
        <row r="1947">
          <cell r="A1947" t="str">
            <v>3470|447012</v>
          </cell>
          <cell r="B1947" t="str">
            <v>3470</v>
          </cell>
          <cell r="C1947">
            <v>447012</v>
          </cell>
          <cell r="D1947">
            <v>41426</v>
          </cell>
          <cell r="E1947">
            <v>17707770</v>
          </cell>
          <cell r="F1947">
            <v>8853885</v>
          </cell>
          <cell r="G1947">
            <v>9373959</v>
          </cell>
          <cell r="H1947">
            <v>1475647</v>
          </cell>
          <cell r="I1947">
            <v>1399989</v>
          </cell>
        </row>
        <row r="1948">
          <cell r="A1948" t="str">
            <v>3470|447013</v>
          </cell>
          <cell r="B1948" t="str">
            <v>3470</v>
          </cell>
          <cell r="C1948">
            <v>447013</v>
          </cell>
          <cell r="D1948">
            <v>41426</v>
          </cell>
          <cell r="E1948">
            <v>5435548</v>
          </cell>
          <cell r="F1948">
            <v>2717774</v>
          </cell>
          <cell r="G1948">
            <v>3251970</v>
          </cell>
          <cell r="H1948">
            <v>452962</v>
          </cell>
          <cell r="I1948">
            <v>541995</v>
          </cell>
        </row>
        <row r="1949">
          <cell r="A1949" t="str">
            <v>3470|447022</v>
          </cell>
          <cell r="B1949" t="str">
            <v>3470</v>
          </cell>
          <cell r="C1949">
            <v>447022</v>
          </cell>
          <cell r="D1949">
            <v>41426</v>
          </cell>
          <cell r="E1949">
            <v>751384</v>
          </cell>
          <cell r="F1949">
            <v>375692</v>
          </cell>
          <cell r="G1949">
            <v>377366</v>
          </cell>
          <cell r="H1949">
            <v>62615</v>
          </cell>
          <cell r="I1949">
            <v>62475</v>
          </cell>
        </row>
        <row r="1950">
          <cell r="A1950" t="str">
            <v>3470|447023</v>
          </cell>
          <cell r="B1950" t="str">
            <v>3470</v>
          </cell>
          <cell r="C1950">
            <v>447023</v>
          </cell>
          <cell r="D1950">
            <v>41426</v>
          </cell>
          <cell r="E1950">
            <v>190842</v>
          </cell>
          <cell r="F1950">
            <v>95421</v>
          </cell>
          <cell r="G1950">
            <v>83751</v>
          </cell>
          <cell r="H1950">
            <v>15903</v>
          </cell>
          <cell r="I1950">
            <v>13950</v>
          </cell>
        </row>
        <row r="1951">
          <cell r="A1951" t="str">
            <v>3470|448002</v>
          </cell>
          <cell r="B1951" t="str">
            <v>3470</v>
          </cell>
          <cell r="C1951">
            <v>448002</v>
          </cell>
          <cell r="D1951">
            <v>41426</v>
          </cell>
          <cell r="E1951">
            <v>35806745</v>
          </cell>
          <cell r="F1951">
            <v>17903373</v>
          </cell>
          <cell r="G1951">
            <v>13339551</v>
          </cell>
          <cell r="H1951">
            <v>2983896</v>
          </cell>
          <cell r="I1951">
            <v>7298100</v>
          </cell>
        </row>
        <row r="1952">
          <cell r="A1952" t="str">
            <v>3470|448003</v>
          </cell>
          <cell r="B1952" t="str">
            <v>3470</v>
          </cell>
          <cell r="C1952">
            <v>448003</v>
          </cell>
          <cell r="D1952">
            <v>41426</v>
          </cell>
          <cell r="E1952">
            <v>9322276</v>
          </cell>
          <cell r="F1952">
            <v>4661138</v>
          </cell>
          <cell r="G1952">
            <v>1533985</v>
          </cell>
          <cell r="H1952">
            <v>776856</v>
          </cell>
          <cell r="I1952">
            <v>0</v>
          </cell>
        </row>
        <row r="1953">
          <cell r="A1953" t="str">
            <v>3470|449022</v>
          </cell>
          <cell r="B1953" t="str">
            <v>3470</v>
          </cell>
          <cell r="C1953">
            <v>449022</v>
          </cell>
          <cell r="D1953">
            <v>41426</v>
          </cell>
          <cell r="E1953">
            <v>23760000</v>
          </cell>
          <cell r="F1953">
            <v>11880000</v>
          </cell>
          <cell r="G1953">
            <v>13813000</v>
          </cell>
          <cell r="H1953">
            <v>1980000</v>
          </cell>
          <cell r="I1953">
            <v>2076000</v>
          </cell>
        </row>
        <row r="1954">
          <cell r="A1954" t="str">
            <v>3470|449023</v>
          </cell>
          <cell r="B1954" t="str">
            <v>3470</v>
          </cell>
          <cell r="C1954">
            <v>449023</v>
          </cell>
          <cell r="D1954">
            <v>41426</v>
          </cell>
          <cell r="E1954">
            <v>3960000</v>
          </cell>
          <cell r="F1954">
            <v>1980000</v>
          </cell>
          <cell r="G1954">
            <v>2419000</v>
          </cell>
          <cell r="H1954">
            <v>330000</v>
          </cell>
          <cell r="I1954">
            <v>410000</v>
          </cell>
        </row>
        <row r="1955">
          <cell r="A1955" t="str">
            <v>3470|449032</v>
          </cell>
          <cell r="B1955" t="str">
            <v>3470</v>
          </cell>
          <cell r="C1955">
            <v>449032</v>
          </cell>
          <cell r="D1955">
            <v>41426</v>
          </cell>
          <cell r="E1955">
            <v>1000000</v>
          </cell>
          <cell r="F1955">
            <v>500000</v>
          </cell>
          <cell r="G1955">
            <v>0</v>
          </cell>
          <cell r="H1955">
            <v>83333</v>
          </cell>
          <cell r="I1955">
            <v>0</v>
          </cell>
        </row>
        <row r="1956">
          <cell r="A1956" t="str">
            <v>3470|449040</v>
          </cell>
          <cell r="B1956" t="str">
            <v>3470</v>
          </cell>
          <cell r="C1956">
            <v>449040</v>
          </cell>
          <cell r="D1956">
            <v>41426</v>
          </cell>
          <cell r="E1956">
            <v>1398936</v>
          </cell>
          <cell r="F1956">
            <v>699468</v>
          </cell>
          <cell r="G1956">
            <v>0</v>
          </cell>
          <cell r="H1956">
            <v>116578</v>
          </cell>
          <cell r="I1956">
            <v>0</v>
          </cell>
        </row>
        <row r="1957">
          <cell r="A1957" t="str">
            <v>3470|449061</v>
          </cell>
          <cell r="B1957" t="str">
            <v>3470</v>
          </cell>
          <cell r="C1957">
            <v>449061</v>
          </cell>
          <cell r="D1957">
            <v>41426</v>
          </cell>
          <cell r="E1957">
            <v>7458682</v>
          </cell>
          <cell r="F1957">
            <v>3729341</v>
          </cell>
          <cell r="G1957">
            <v>3470600</v>
          </cell>
          <cell r="H1957">
            <v>621557</v>
          </cell>
          <cell r="I1957">
            <v>385200</v>
          </cell>
        </row>
        <row r="1958">
          <cell r="A1958" t="str">
            <v>3470|459003</v>
          </cell>
          <cell r="B1958" t="str">
            <v>3470</v>
          </cell>
          <cell r="C1958">
            <v>459003</v>
          </cell>
          <cell r="D1958">
            <v>41426</v>
          </cell>
          <cell r="E1958">
            <v>0</v>
          </cell>
          <cell r="F1958">
            <v>0</v>
          </cell>
          <cell r="G1958">
            <v>1200576</v>
          </cell>
          <cell r="H1958">
            <v>0</v>
          </cell>
          <cell r="I1958">
            <v>0</v>
          </cell>
        </row>
        <row r="1959">
          <cell r="A1959" t="str">
            <v>3470|472000</v>
          </cell>
          <cell r="B1959" t="str">
            <v>3470</v>
          </cell>
          <cell r="C1959">
            <v>472000</v>
          </cell>
          <cell r="D1959">
            <v>41426</v>
          </cell>
          <cell r="E1959">
            <v>1000000</v>
          </cell>
          <cell r="F1959">
            <v>500000</v>
          </cell>
          <cell r="G1959">
            <v>205200</v>
          </cell>
          <cell r="H1959">
            <v>83333</v>
          </cell>
          <cell r="I1959">
            <v>0</v>
          </cell>
        </row>
        <row r="1960">
          <cell r="A1960" t="str">
            <v>3470|474100</v>
          </cell>
          <cell r="B1960" t="str">
            <v>3470</v>
          </cell>
          <cell r="C1960">
            <v>474100</v>
          </cell>
          <cell r="D1960">
            <v>41426</v>
          </cell>
          <cell r="E1960">
            <v>36738044</v>
          </cell>
          <cell r="F1960">
            <v>18369022</v>
          </cell>
          <cell r="G1960">
            <v>36605543</v>
          </cell>
          <cell r="H1960">
            <v>3061504</v>
          </cell>
          <cell r="I1960">
            <v>0</v>
          </cell>
        </row>
        <row r="1961">
          <cell r="A1961" t="str">
            <v>3470|474101</v>
          </cell>
          <cell r="B1961" t="str">
            <v>3470</v>
          </cell>
          <cell r="C1961">
            <v>474101</v>
          </cell>
          <cell r="D1961">
            <v>41426</v>
          </cell>
          <cell r="E1961">
            <v>32782633</v>
          </cell>
          <cell r="F1961">
            <v>16391317</v>
          </cell>
          <cell r="G1961">
            <v>11537534</v>
          </cell>
          <cell r="H1961">
            <v>2731887</v>
          </cell>
          <cell r="I1961">
            <v>0</v>
          </cell>
        </row>
        <row r="1962">
          <cell r="A1962" t="str">
            <v>3470|476000</v>
          </cell>
          <cell r="B1962" t="str">
            <v>3470</v>
          </cell>
          <cell r="C1962">
            <v>476000</v>
          </cell>
          <cell r="D1962">
            <v>41426</v>
          </cell>
          <cell r="E1962">
            <v>0</v>
          </cell>
          <cell r="F1962">
            <v>0</v>
          </cell>
          <cell r="G1962">
            <v>1187500</v>
          </cell>
          <cell r="H1962">
            <v>0</v>
          </cell>
          <cell r="I1962">
            <v>0</v>
          </cell>
        </row>
        <row r="1963">
          <cell r="A1963" t="str">
            <v>3470|476220</v>
          </cell>
          <cell r="B1963" t="str">
            <v>3470</v>
          </cell>
          <cell r="C1963">
            <v>476220</v>
          </cell>
          <cell r="D1963">
            <v>41426</v>
          </cell>
          <cell r="E1963">
            <v>75776855</v>
          </cell>
          <cell r="F1963">
            <v>37888428</v>
          </cell>
          <cell r="G1963">
            <v>31865632</v>
          </cell>
          <cell r="H1963">
            <v>6314738</v>
          </cell>
          <cell r="I1963">
            <v>0</v>
          </cell>
        </row>
        <row r="1964">
          <cell r="A1964" t="str">
            <v>3480|211100</v>
          </cell>
          <cell r="B1964" t="str">
            <v>3480</v>
          </cell>
          <cell r="C1964">
            <v>211100</v>
          </cell>
          <cell r="D1964">
            <v>41426</v>
          </cell>
          <cell r="E1964">
            <v>330374</v>
          </cell>
          <cell r="F1964">
            <v>165187</v>
          </cell>
          <cell r="G1964">
            <v>178786</v>
          </cell>
          <cell r="H1964">
            <v>27531</v>
          </cell>
          <cell r="I1964">
            <v>29798</v>
          </cell>
        </row>
        <row r="1965">
          <cell r="A1965" t="str">
            <v>3480|476001</v>
          </cell>
          <cell r="B1965" t="str">
            <v>3480</v>
          </cell>
          <cell r="C1965">
            <v>476001</v>
          </cell>
          <cell r="D1965">
            <v>41426</v>
          </cell>
          <cell r="E1965">
            <v>21156176</v>
          </cell>
          <cell r="F1965">
            <v>10578088</v>
          </cell>
          <cell r="G1965">
            <v>0</v>
          </cell>
          <cell r="H1965">
            <v>1763015</v>
          </cell>
          <cell r="I1965">
            <v>0</v>
          </cell>
        </row>
        <row r="1966">
          <cell r="A1966" t="str">
            <v>3490|405200</v>
          </cell>
          <cell r="B1966" t="str">
            <v>3490</v>
          </cell>
          <cell r="C1966">
            <v>405200</v>
          </cell>
          <cell r="D1966">
            <v>41426</v>
          </cell>
          <cell r="E1966">
            <v>54405276</v>
          </cell>
          <cell r="F1966">
            <v>27202638</v>
          </cell>
          <cell r="G1966">
            <v>3839000</v>
          </cell>
          <cell r="H1966">
            <v>4533773</v>
          </cell>
          <cell r="I1966">
            <v>0</v>
          </cell>
        </row>
        <row r="1967">
          <cell r="A1967" t="str">
            <v>3490|420002</v>
          </cell>
          <cell r="B1967" t="str">
            <v>3490</v>
          </cell>
          <cell r="C1967">
            <v>420002</v>
          </cell>
          <cell r="D1967">
            <v>41426</v>
          </cell>
          <cell r="E1967">
            <v>79764732</v>
          </cell>
          <cell r="F1967">
            <v>39882366</v>
          </cell>
          <cell r="G1967">
            <v>36627000</v>
          </cell>
          <cell r="H1967">
            <v>6647061</v>
          </cell>
          <cell r="I1967">
            <v>6104500</v>
          </cell>
        </row>
        <row r="1968">
          <cell r="A1968" t="str">
            <v>3490|420003</v>
          </cell>
          <cell r="B1968" t="str">
            <v>3490</v>
          </cell>
          <cell r="C1968">
            <v>420003</v>
          </cell>
          <cell r="D1968">
            <v>41426</v>
          </cell>
          <cell r="E1968">
            <v>420326449</v>
          </cell>
          <cell r="F1968">
            <v>210163225</v>
          </cell>
          <cell r="G1968">
            <v>135010194</v>
          </cell>
          <cell r="H1968">
            <v>35027205</v>
          </cell>
          <cell r="I1968">
            <v>34188156</v>
          </cell>
        </row>
        <row r="1969">
          <cell r="A1969" t="str">
            <v>3490|431002</v>
          </cell>
          <cell r="B1969" t="str">
            <v>3490</v>
          </cell>
          <cell r="C1969">
            <v>431002</v>
          </cell>
          <cell r="D1969">
            <v>41426</v>
          </cell>
          <cell r="E1969">
            <v>12681</v>
          </cell>
          <cell r="F1969">
            <v>6341</v>
          </cell>
          <cell r="G1969">
            <v>0</v>
          </cell>
          <cell r="H1969">
            <v>1057</v>
          </cell>
          <cell r="I1969">
            <v>0</v>
          </cell>
        </row>
        <row r="1970">
          <cell r="A1970" t="str">
            <v>3490|434012</v>
          </cell>
          <cell r="B1970" t="str">
            <v>3490</v>
          </cell>
          <cell r="C1970">
            <v>434012</v>
          </cell>
          <cell r="D1970">
            <v>41426</v>
          </cell>
          <cell r="E1970">
            <v>0</v>
          </cell>
          <cell r="F1970">
            <v>0</v>
          </cell>
          <cell r="G1970">
            <v>987200</v>
          </cell>
          <cell r="H1970">
            <v>0</v>
          </cell>
          <cell r="I1970">
            <v>166248</v>
          </cell>
        </row>
        <row r="1971">
          <cell r="A1971" t="str">
            <v>3490|434013</v>
          </cell>
          <cell r="B1971" t="str">
            <v>3490</v>
          </cell>
          <cell r="C1971">
            <v>434013</v>
          </cell>
          <cell r="D1971">
            <v>41426</v>
          </cell>
          <cell r="E1971">
            <v>0</v>
          </cell>
          <cell r="F1971">
            <v>0</v>
          </cell>
          <cell r="G1971">
            <v>3028929</v>
          </cell>
          <cell r="H1971">
            <v>0</v>
          </cell>
          <cell r="I1971">
            <v>600488</v>
          </cell>
        </row>
        <row r="1972">
          <cell r="A1972" t="str">
            <v>3490|435002</v>
          </cell>
          <cell r="B1972" t="str">
            <v>3490</v>
          </cell>
          <cell r="C1972">
            <v>435002</v>
          </cell>
          <cell r="D1972">
            <v>41426</v>
          </cell>
          <cell r="E1972">
            <v>13626475</v>
          </cell>
          <cell r="F1972">
            <v>6813238</v>
          </cell>
          <cell r="G1972">
            <v>6917500</v>
          </cell>
          <cell r="H1972">
            <v>1135540</v>
          </cell>
          <cell r="I1972">
            <v>0</v>
          </cell>
        </row>
        <row r="1973">
          <cell r="A1973" t="str">
            <v>3490|435003</v>
          </cell>
          <cell r="B1973" t="str">
            <v>3490</v>
          </cell>
          <cell r="C1973">
            <v>435003</v>
          </cell>
          <cell r="D1973">
            <v>41426</v>
          </cell>
          <cell r="E1973">
            <v>52540806</v>
          </cell>
          <cell r="F1973">
            <v>26270403</v>
          </cell>
          <cell r="G1973">
            <v>67547435</v>
          </cell>
          <cell r="H1973">
            <v>4378400</v>
          </cell>
          <cell r="I1973">
            <v>0</v>
          </cell>
        </row>
        <row r="1974">
          <cell r="A1974" t="str">
            <v>3490|439003</v>
          </cell>
          <cell r="B1974" t="str">
            <v>3490</v>
          </cell>
          <cell r="C1974">
            <v>439003</v>
          </cell>
          <cell r="D1974">
            <v>41426</v>
          </cell>
          <cell r="E1974">
            <v>39449879</v>
          </cell>
          <cell r="F1974">
            <v>19724940</v>
          </cell>
          <cell r="G1974">
            <v>20073108</v>
          </cell>
          <cell r="H1974">
            <v>3287490</v>
          </cell>
          <cell r="I1974">
            <v>3222605</v>
          </cell>
        </row>
        <row r="1975">
          <cell r="A1975" t="str">
            <v>3490|439008</v>
          </cell>
          <cell r="B1975" t="str">
            <v>3490</v>
          </cell>
          <cell r="C1975">
            <v>439008</v>
          </cell>
          <cell r="D1975">
            <v>41426</v>
          </cell>
          <cell r="E1975">
            <v>16422063</v>
          </cell>
          <cell r="F1975">
            <v>8211032</v>
          </cell>
          <cell r="G1975">
            <v>9508951</v>
          </cell>
          <cell r="H1975">
            <v>1368506</v>
          </cell>
          <cell r="I1975">
            <v>1598254</v>
          </cell>
        </row>
        <row r="1976">
          <cell r="A1976" t="str">
            <v>3490|439202</v>
          </cell>
          <cell r="B1976" t="str">
            <v>3490</v>
          </cell>
          <cell r="C1976">
            <v>439202</v>
          </cell>
          <cell r="D1976">
            <v>41426</v>
          </cell>
          <cell r="E1976">
            <v>5760000</v>
          </cell>
          <cell r="F1976">
            <v>2880000</v>
          </cell>
          <cell r="G1976">
            <v>2950000</v>
          </cell>
          <cell r="H1976">
            <v>480000</v>
          </cell>
          <cell r="I1976">
            <v>450000</v>
          </cell>
        </row>
        <row r="1977">
          <cell r="A1977" t="str">
            <v>3490|439203</v>
          </cell>
          <cell r="B1977" t="str">
            <v>3490</v>
          </cell>
          <cell r="C1977">
            <v>439203</v>
          </cell>
          <cell r="D1977">
            <v>41426</v>
          </cell>
          <cell r="E1977">
            <v>5760000</v>
          </cell>
          <cell r="F1977">
            <v>2880000</v>
          </cell>
          <cell r="G1977">
            <v>1875000</v>
          </cell>
          <cell r="H1977">
            <v>480000</v>
          </cell>
          <cell r="I1977">
            <v>500000</v>
          </cell>
        </row>
        <row r="1978">
          <cell r="A1978" t="str">
            <v>3490|440002</v>
          </cell>
          <cell r="B1978" t="str">
            <v>3490</v>
          </cell>
          <cell r="C1978">
            <v>440002</v>
          </cell>
          <cell r="D1978">
            <v>41426</v>
          </cell>
          <cell r="E1978">
            <v>6647061</v>
          </cell>
          <cell r="F1978">
            <v>3323531</v>
          </cell>
          <cell r="G1978">
            <v>3531249</v>
          </cell>
          <cell r="H1978">
            <v>553922</v>
          </cell>
          <cell r="I1978">
            <v>397619</v>
          </cell>
        </row>
        <row r="1979">
          <cell r="A1979" t="str">
            <v>3490|440003</v>
          </cell>
          <cell r="B1979" t="str">
            <v>3490</v>
          </cell>
          <cell r="C1979">
            <v>440003</v>
          </cell>
          <cell r="D1979">
            <v>41426</v>
          </cell>
          <cell r="E1979">
            <v>35027204</v>
          </cell>
          <cell r="F1979">
            <v>17513602</v>
          </cell>
          <cell r="G1979">
            <v>23505384</v>
          </cell>
          <cell r="H1979">
            <v>2918934</v>
          </cell>
          <cell r="I1979">
            <v>4063295</v>
          </cell>
        </row>
        <row r="1980">
          <cell r="A1980" t="str">
            <v>3490|446002</v>
          </cell>
          <cell r="B1980" t="str">
            <v>3490</v>
          </cell>
          <cell r="C1980">
            <v>446002</v>
          </cell>
          <cell r="D1980">
            <v>41426</v>
          </cell>
          <cell r="E1980">
            <v>3323530</v>
          </cell>
          <cell r="F1980">
            <v>1661765</v>
          </cell>
          <cell r="G1980">
            <v>900000</v>
          </cell>
          <cell r="H1980">
            <v>276961</v>
          </cell>
          <cell r="I1980">
            <v>150000</v>
          </cell>
        </row>
        <row r="1981">
          <cell r="A1981" t="str">
            <v>3490|447002</v>
          </cell>
          <cell r="B1981" t="str">
            <v>3490</v>
          </cell>
          <cell r="C1981">
            <v>447002</v>
          </cell>
          <cell r="D1981">
            <v>41426</v>
          </cell>
          <cell r="E1981">
            <v>1252306</v>
          </cell>
          <cell r="F1981">
            <v>626153</v>
          </cell>
          <cell r="G1981">
            <v>197790</v>
          </cell>
          <cell r="H1981">
            <v>104359</v>
          </cell>
          <cell r="I1981">
            <v>32965</v>
          </cell>
        </row>
        <row r="1982">
          <cell r="A1982" t="str">
            <v>3490|447003</v>
          </cell>
          <cell r="B1982" t="str">
            <v>3490</v>
          </cell>
          <cell r="C1982">
            <v>447003</v>
          </cell>
          <cell r="D1982">
            <v>41426</v>
          </cell>
          <cell r="E1982">
            <v>6599470</v>
          </cell>
          <cell r="F1982">
            <v>3299735</v>
          </cell>
          <cell r="G1982">
            <v>1397632</v>
          </cell>
          <cell r="H1982">
            <v>549956</v>
          </cell>
          <cell r="I1982">
            <v>221400</v>
          </cell>
        </row>
        <row r="1983">
          <cell r="A1983" t="str">
            <v>3490|447012</v>
          </cell>
          <cell r="B1983" t="str">
            <v>3490</v>
          </cell>
          <cell r="C1983">
            <v>447012</v>
          </cell>
          <cell r="D1983">
            <v>41426</v>
          </cell>
          <cell r="E1983">
            <v>2951295</v>
          </cell>
          <cell r="F1983">
            <v>1475648</v>
          </cell>
          <cell r="G1983">
            <v>1355202</v>
          </cell>
          <cell r="H1983">
            <v>245942</v>
          </cell>
          <cell r="I1983">
            <v>225867</v>
          </cell>
        </row>
        <row r="1984">
          <cell r="A1984" t="str">
            <v>3490|447013</v>
          </cell>
          <cell r="B1984" t="str">
            <v>3490</v>
          </cell>
          <cell r="C1984">
            <v>447013</v>
          </cell>
          <cell r="D1984">
            <v>41426</v>
          </cell>
          <cell r="E1984">
            <v>15552079</v>
          </cell>
          <cell r="F1984">
            <v>7776040</v>
          </cell>
          <cell r="G1984">
            <v>7274700</v>
          </cell>
          <cell r="H1984">
            <v>1296007</v>
          </cell>
          <cell r="I1984">
            <v>1517000</v>
          </cell>
        </row>
        <row r="1985">
          <cell r="A1985" t="str">
            <v>3490|447022</v>
          </cell>
          <cell r="B1985" t="str">
            <v>3490</v>
          </cell>
          <cell r="C1985">
            <v>447022</v>
          </cell>
          <cell r="D1985">
            <v>41426</v>
          </cell>
          <cell r="E1985">
            <v>125231</v>
          </cell>
          <cell r="F1985">
            <v>62616</v>
          </cell>
          <cell r="G1985">
            <v>25171</v>
          </cell>
          <cell r="H1985">
            <v>10436</v>
          </cell>
          <cell r="I1985">
            <v>5475</v>
          </cell>
        </row>
        <row r="1986">
          <cell r="A1986" t="str">
            <v>3490|447023</v>
          </cell>
          <cell r="B1986" t="str">
            <v>3490</v>
          </cell>
          <cell r="C1986">
            <v>447023</v>
          </cell>
          <cell r="D1986">
            <v>41426</v>
          </cell>
          <cell r="E1986">
            <v>546151</v>
          </cell>
          <cell r="F1986">
            <v>273076</v>
          </cell>
          <cell r="G1986">
            <v>295125</v>
          </cell>
          <cell r="H1986">
            <v>45513</v>
          </cell>
          <cell r="I1986">
            <v>73800</v>
          </cell>
        </row>
        <row r="1987">
          <cell r="A1987" t="str">
            <v>3490|448002</v>
          </cell>
          <cell r="B1987" t="str">
            <v>3490</v>
          </cell>
          <cell r="C1987">
            <v>448002</v>
          </cell>
          <cell r="D1987">
            <v>41426</v>
          </cell>
          <cell r="E1987">
            <v>5967791</v>
          </cell>
          <cell r="F1987">
            <v>2983896</v>
          </cell>
          <cell r="G1987">
            <v>5581535</v>
          </cell>
          <cell r="H1987">
            <v>497316</v>
          </cell>
          <cell r="I1987">
            <v>1100000</v>
          </cell>
        </row>
        <row r="1988">
          <cell r="A1988" t="str">
            <v>3490|448003</v>
          </cell>
          <cell r="B1988" t="str">
            <v>3490</v>
          </cell>
          <cell r="C1988">
            <v>448003</v>
          </cell>
          <cell r="D1988">
            <v>41426</v>
          </cell>
          <cell r="E1988">
            <v>21799371</v>
          </cell>
          <cell r="F1988">
            <v>10899686</v>
          </cell>
          <cell r="G1988">
            <v>1220000</v>
          </cell>
          <cell r="H1988">
            <v>1816615</v>
          </cell>
          <cell r="I1988">
            <v>380000</v>
          </cell>
        </row>
        <row r="1989">
          <cell r="A1989" t="str">
            <v>3490|449004</v>
          </cell>
          <cell r="B1989" t="str">
            <v>3490</v>
          </cell>
          <cell r="C1989">
            <v>449004</v>
          </cell>
          <cell r="D1989">
            <v>41426</v>
          </cell>
          <cell r="E1989">
            <v>1430000</v>
          </cell>
          <cell r="F1989">
            <v>715000</v>
          </cell>
          <cell r="G1989">
            <v>0</v>
          </cell>
          <cell r="H1989">
            <v>119167</v>
          </cell>
          <cell r="I1989">
            <v>0</v>
          </cell>
        </row>
        <row r="1990">
          <cell r="A1990" t="str">
            <v>3490|449022</v>
          </cell>
          <cell r="B1990" t="str">
            <v>3490</v>
          </cell>
          <cell r="C1990">
            <v>449022</v>
          </cell>
          <cell r="D1990">
            <v>41426</v>
          </cell>
          <cell r="E1990">
            <v>3960000</v>
          </cell>
          <cell r="F1990">
            <v>1980000</v>
          </cell>
          <cell r="G1990">
            <v>0</v>
          </cell>
          <cell r="H1990">
            <v>330000</v>
          </cell>
          <cell r="I1990">
            <v>0</v>
          </cell>
        </row>
        <row r="1991">
          <cell r="A1991" t="str">
            <v>3490|449032</v>
          </cell>
          <cell r="B1991" t="str">
            <v>3490</v>
          </cell>
          <cell r="C1991">
            <v>449032</v>
          </cell>
          <cell r="D1991">
            <v>41426</v>
          </cell>
          <cell r="E1991">
            <v>1142700</v>
          </cell>
          <cell r="F1991">
            <v>571350</v>
          </cell>
          <cell r="G1991">
            <v>0</v>
          </cell>
          <cell r="H1991">
            <v>95225</v>
          </cell>
          <cell r="I1991">
            <v>0</v>
          </cell>
        </row>
        <row r="1992">
          <cell r="A1992" t="str">
            <v>3490|449040</v>
          </cell>
          <cell r="B1992" t="str">
            <v>3490</v>
          </cell>
          <cell r="C1992">
            <v>449040</v>
          </cell>
          <cell r="D1992">
            <v>41426</v>
          </cell>
          <cell r="E1992">
            <v>2006069</v>
          </cell>
          <cell r="F1992">
            <v>1003035</v>
          </cell>
          <cell r="G1992">
            <v>0</v>
          </cell>
          <cell r="H1992">
            <v>167173</v>
          </cell>
          <cell r="I1992">
            <v>0</v>
          </cell>
        </row>
        <row r="1993">
          <cell r="A1993" t="str">
            <v>3490|449061</v>
          </cell>
          <cell r="B1993" t="str">
            <v>3490</v>
          </cell>
          <cell r="C1993">
            <v>449061</v>
          </cell>
          <cell r="D1993">
            <v>41426</v>
          </cell>
          <cell r="E1993">
            <v>10393253</v>
          </cell>
          <cell r="F1993">
            <v>5196627</v>
          </cell>
          <cell r="G1993">
            <v>2711400</v>
          </cell>
          <cell r="H1993">
            <v>866105</v>
          </cell>
          <cell r="I1993">
            <v>706500</v>
          </cell>
        </row>
        <row r="1994">
          <cell r="A1994" t="str">
            <v>3490|473000</v>
          </cell>
          <cell r="B1994" t="str">
            <v>3490</v>
          </cell>
          <cell r="C1994">
            <v>473000</v>
          </cell>
          <cell r="D1994">
            <v>41426</v>
          </cell>
          <cell r="E1994">
            <v>48696</v>
          </cell>
          <cell r="F1994">
            <v>24348</v>
          </cell>
          <cell r="G1994">
            <v>12000</v>
          </cell>
          <cell r="H1994">
            <v>4058</v>
          </cell>
          <cell r="I1994">
            <v>6000</v>
          </cell>
        </row>
        <row r="1995">
          <cell r="A1995" t="str">
            <v>3490|473120</v>
          </cell>
          <cell r="B1995" t="str">
            <v>3490</v>
          </cell>
          <cell r="C1995">
            <v>473120</v>
          </cell>
          <cell r="D1995">
            <v>41426</v>
          </cell>
          <cell r="E1995">
            <v>11287114</v>
          </cell>
          <cell r="F1995">
            <v>5643557</v>
          </cell>
          <cell r="G1995">
            <v>2890995</v>
          </cell>
          <cell r="H1995">
            <v>940593</v>
          </cell>
          <cell r="I1995">
            <v>471909</v>
          </cell>
        </row>
        <row r="1996">
          <cell r="A1996" t="str">
            <v>3490|474100</v>
          </cell>
          <cell r="B1996" t="str">
            <v>3490</v>
          </cell>
          <cell r="C1996">
            <v>474100</v>
          </cell>
          <cell r="D1996">
            <v>41426</v>
          </cell>
          <cell r="E1996">
            <v>73320163</v>
          </cell>
          <cell r="F1996">
            <v>36660082</v>
          </cell>
          <cell r="G1996">
            <v>-3173325</v>
          </cell>
          <cell r="H1996">
            <v>6110014</v>
          </cell>
          <cell r="I1996">
            <v>0</v>
          </cell>
        </row>
        <row r="1997">
          <cell r="A1997" t="str">
            <v>3490|474101</v>
          </cell>
          <cell r="B1997" t="str">
            <v>3490</v>
          </cell>
          <cell r="C1997">
            <v>474101</v>
          </cell>
          <cell r="D1997">
            <v>41426</v>
          </cell>
          <cell r="E1997">
            <v>16594850</v>
          </cell>
          <cell r="F1997">
            <v>8297425</v>
          </cell>
          <cell r="G1997">
            <v>-2557907</v>
          </cell>
          <cell r="H1997">
            <v>1382904</v>
          </cell>
          <cell r="I1997">
            <v>-749783</v>
          </cell>
        </row>
        <row r="1998">
          <cell r="A1998" t="str">
            <v>3490|475004</v>
          </cell>
          <cell r="B1998" t="str">
            <v>3490</v>
          </cell>
          <cell r="C1998">
            <v>475004</v>
          </cell>
          <cell r="D1998">
            <v>41426</v>
          </cell>
          <cell r="E1998">
            <v>36655920</v>
          </cell>
          <cell r="F1998">
            <v>18327960</v>
          </cell>
          <cell r="G1998">
            <v>9684000</v>
          </cell>
          <cell r="H1998">
            <v>3054660</v>
          </cell>
          <cell r="I1998">
            <v>2500000</v>
          </cell>
        </row>
        <row r="1999">
          <cell r="A1999" t="str">
            <v>3490|475006</v>
          </cell>
          <cell r="B1999" t="str">
            <v>3490</v>
          </cell>
          <cell r="C1999">
            <v>475006</v>
          </cell>
          <cell r="D1999">
            <v>41426</v>
          </cell>
          <cell r="E1999">
            <v>5620405</v>
          </cell>
          <cell r="F1999">
            <v>2810203</v>
          </cell>
          <cell r="G1999">
            <v>5026867</v>
          </cell>
          <cell r="H1999">
            <v>468368</v>
          </cell>
          <cell r="I1999">
            <v>939311</v>
          </cell>
        </row>
        <row r="2000">
          <cell r="A2000" t="str">
            <v>3490|476000</v>
          </cell>
          <cell r="B2000" t="str">
            <v>3490</v>
          </cell>
          <cell r="C2000">
            <v>476000</v>
          </cell>
          <cell r="D2000">
            <v>41426</v>
          </cell>
          <cell r="E2000">
            <v>759300</v>
          </cell>
          <cell r="F2000">
            <v>379650</v>
          </cell>
          <cell r="G2000">
            <v>746263</v>
          </cell>
          <cell r="H2000">
            <v>63275</v>
          </cell>
          <cell r="I2000">
            <v>0</v>
          </cell>
        </row>
        <row r="2001">
          <cell r="A2001" t="str">
            <v>3490|476001</v>
          </cell>
          <cell r="B2001" t="str">
            <v>3490</v>
          </cell>
          <cell r="C2001">
            <v>476001</v>
          </cell>
          <cell r="D2001">
            <v>41426</v>
          </cell>
          <cell r="E2001">
            <v>204872</v>
          </cell>
          <cell r="F2001">
            <v>102436</v>
          </cell>
          <cell r="G2001">
            <v>170000</v>
          </cell>
          <cell r="H2001">
            <v>17073</v>
          </cell>
          <cell r="I2001">
            <v>0</v>
          </cell>
        </row>
        <row r="2002">
          <cell r="A2002" t="str">
            <v>3490|476900</v>
          </cell>
          <cell r="B2002" t="str">
            <v>3490</v>
          </cell>
          <cell r="C2002">
            <v>476900</v>
          </cell>
          <cell r="D2002">
            <v>41426</v>
          </cell>
          <cell r="E2002">
            <v>2656053</v>
          </cell>
          <cell r="F2002">
            <v>1328027</v>
          </cell>
          <cell r="G2002">
            <v>118085</v>
          </cell>
          <cell r="H2002">
            <v>221338</v>
          </cell>
          <cell r="I2002">
            <v>118085</v>
          </cell>
        </row>
        <row r="2003">
          <cell r="A2003" t="str">
            <v>3490|477800</v>
          </cell>
          <cell r="B2003" t="str">
            <v>3490</v>
          </cell>
          <cell r="C2003">
            <v>477800</v>
          </cell>
          <cell r="D2003">
            <v>41426</v>
          </cell>
          <cell r="E2003">
            <v>152307027</v>
          </cell>
          <cell r="F2003">
            <v>76153514</v>
          </cell>
          <cell r="G2003">
            <v>54358612</v>
          </cell>
          <cell r="H2003">
            <v>12692253</v>
          </cell>
          <cell r="I2003">
            <v>32598119</v>
          </cell>
        </row>
        <row r="2004">
          <cell r="A2004" t="str">
            <v>3500|211100</v>
          </cell>
          <cell r="B2004" t="str">
            <v>3500</v>
          </cell>
          <cell r="C2004">
            <v>211100</v>
          </cell>
          <cell r="D2004">
            <v>41426</v>
          </cell>
          <cell r="E2004">
            <v>5463878</v>
          </cell>
          <cell r="F2004">
            <v>2731939</v>
          </cell>
          <cell r="G2004">
            <v>3071649</v>
          </cell>
          <cell r="H2004">
            <v>455323</v>
          </cell>
          <cell r="I2004">
            <v>511943</v>
          </cell>
        </row>
        <row r="2005">
          <cell r="A2005" t="str">
            <v>3500|420002</v>
          </cell>
          <cell r="B2005" t="str">
            <v>3500</v>
          </cell>
          <cell r="C2005">
            <v>420002</v>
          </cell>
          <cell r="D2005">
            <v>41426</v>
          </cell>
          <cell r="E2005">
            <v>159529463</v>
          </cell>
          <cell r="F2005">
            <v>79764732</v>
          </cell>
          <cell r="G2005">
            <v>59038578</v>
          </cell>
          <cell r="H2005">
            <v>13294122</v>
          </cell>
          <cell r="I2005">
            <v>9899000</v>
          </cell>
        </row>
        <row r="2006">
          <cell r="A2006" t="str">
            <v>3500|420003</v>
          </cell>
          <cell r="B2006" t="str">
            <v>3500</v>
          </cell>
          <cell r="C2006">
            <v>420003</v>
          </cell>
          <cell r="D2006">
            <v>41426</v>
          </cell>
          <cell r="E2006">
            <v>146906699</v>
          </cell>
          <cell r="F2006">
            <v>73453350</v>
          </cell>
          <cell r="G2006">
            <v>70788128</v>
          </cell>
          <cell r="H2006">
            <v>12242225</v>
          </cell>
          <cell r="I2006">
            <v>11929878</v>
          </cell>
        </row>
        <row r="2007">
          <cell r="A2007" t="str">
            <v>3500|422003</v>
          </cell>
          <cell r="B2007" t="str">
            <v>3500</v>
          </cell>
          <cell r="C2007">
            <v>422003</v>
          </cell>
          <cell r="D2007">
            <v>41426</v>
          </cell>
          <cell r="E2007">
            <v>208440</v>
          </cell>
          <cell r="F2007">
            <v>104220</v>
          </cell>
          <cell r="G2007">
            <v>0</v>
          </cell>
          <cell r="H2007">
            <v>17370</v>
          </cell>
          <cell r="I2007">
            <v>0</v>
          </cell>
        </row>
        <row r="2008">
          <cell r="A2008" t="str">
            <v>3500|431002</v>
          </cell>
          <cell r="B2008" t="str">
            <v>3500</v>
          </cell>
          <cell r="C2008">
            <v>431002</v>
          </cell>
          <cell r="D2008">
            <v>41426</v>
          </cell>
          <cell r="E2008">
            <v>2295628</v>
          </cell>
          <cell r="F2008">
            <v>1147814</v>
          </cell>
          <cell r="G2008">
            <v>2420615</v>
          </cell>
          <cell r="H2008">
            <v>191302</v>
          </cell>
          <cell r="I2008">
            <v>0</v>
          </cell>
        </row>
        <row r="2009">
          <cell r="A2009" t="str">
            <v>3500|434012</v>
          </cell>
          <cell r="B2009" t="str">
            <v>3500</v>
          </cell>
          <cell r="C2009">
            <v>434012</v>
          </cell>
          <cell r="D2009">
            <v>41426</v>
          </cell>
          <cell r="E2009">
            <v>0</v>
          </cell>
          <cell r="F2009">
            <v>0</v>
          </cell>
          <cell r="G2009">
            <v>1974400</v>
          </cell>
          <cell r="H2009">
            <v>0</v>
          </cell>
          <cell r="I2009">
            <v>332496</v>
          </cell>
        </row>
        <row r="2010">
          <cell r="A2010" t="str">
            <v>3500|434013</v>
          </cell>
          <cell r="B2010" t="str">
            <v>3500</v>
          </cell>
          <cell r="C2010">
            <v>434013</v>
          </cell>
          <cell r="D2010">
            <v>41426</v>
          </cell>
          <cell r="E2010">
            <v>0</v>
          </cell>
          <cell r="F2010">
            <v>0</v>
          </cell>
          <cell r="G2010">
            <v>3750402</v>
          </cell>
          <cell r="H2010">
            <v>0</v>
          </cell>
          <cell r="I2010">
            <v>600488</v>
          </cell>
        </row>
        <row r="2011">
          <cell r="A2011" t="str">
            <v>3500|435002</v>
          </cell>
          <cell r="B2011" t="str">
            <v>3500</v>
          </cell>
          <cell r="C2011">
            <v>435002</v>
          </cell>
          <cell r="D2011">
            <v>41426</v>
          </cell>
          <cell r="E2011">
            <v>27252950</v>
          </cell>
          <cell r="F2011">
            <v>13626475</v>
          </cell>
          <cell r="G2011">
            <v>9552500</v>
          </cell>
          <cell r="H2011">
            <v>2271079</v>
          </cell>
          <cell r="I2011">
            <v>0</v>
          </cell>
        </row>
        <row r="2012">
          <cell r="A2012" t="str">
            <v>3500|435003</v>
          </cell>
          <cell r="B2012" t="str">
            <v>3500</v>
          </cell>
          <cell r="C2012">
            <v>435003</v>
          </cell>
          <cell r="D2012">
            <v>41426</v>
          </cell>
          <cell r="E2012">
            <v>18363337</v>
          </cell>
          <cell r="F2012">
            <v>9181669</v>
          </cell>
          <cell r="G2012">
            <v>23516000</v>
          </cell>
          <cell r="H2012">
            <v>1530279</v>
          </cell>
          <cell r="I2012">
            <v>0</v>
          </cell>
        </row>
        <row r="2013">
          <cell r="A2013" t="str">
            <v>3500|439003</v>
          </cell>
          <cell r="B2013" t="str">
            <v>3500</v>
          </cell>
          <cell r="C2013">
            <v>439003</v>
          </cell>
          <cell r="D2013">
            <v>41426</v>
          </cell>
          <cell r="E2013">
            <v>39449879</v>
          </cell>
          <cell r="F2013">
            <v>19724940</v>
          </cell>
          <cell r="G2013">
            <v>20073108</v>
          </cell>
          <cell r="H2013">
            <v>3287490</v>
          </cell>
          <cell r="I2013">
            <v>3222605</v>
          </cell>
        </row>
        <row r="2014">
          <cell r="A2014" t="str">
            <v>3500|439008</v>
          </cell>
          <cell r="B2014" t="str">
            <v>3500</v>
          </cell>
          <cell r="C2014">
            <v>439008</v>
          </cell>
          <cell r="D2014">
            <v>41426</v>
          </cell>
          <cell r="E2014">
            <v>32844125</v>
          </cell>
          <cell r="F2014">
            <v>16422063</v>
          </cell>
          <cell r="G2014">
            <v>19017902</v>
          </cell>
          <cell r="H2014">
            <v>2737011</v>
          </cell>
          <cell r="I2014">
            <v>3196509</v>
          </cell>
        </row>
        <row r="2015">
          <cell r="A2015" t="str">
            <v>3500|439202</v>
          </cell>
          <cell r="B2015" t="str">
            <v>3500</v>
          </cell>
          <cell r="C2015">
            <v>439202</v>
          </cell>
          <cell r="D2015">
            <v>41426</v>
          </cell>
          <cell r="E2015">
            <v>11520000</v>
          </cell>
          <cell r="F2015">
            <v>5760000</v>
          </cell>
          <cell r="G2015">
            <v>5975000</v>
          </cell>
          <cell r="H2015">
            <v>960000</v>
          </cell>
          <cell r="I2015">
            <v>950000</v>
          </cell>
        </row>
        <row r="2016">
          <cell r="A2016" t="str">
            <v>3500|439203</v>
          </cell>
          <cell r="B2016" t="str">
            <v>3500</v>
          </cell>
          <cell r="C2016">
            <v>439203</v>
          </cell>
          <cell r="D2016">
            <v>41426</v>
          </cell>
          <cell r="E2016">
            <v>5760000</v>
          </cell>
          <cell r="F2016">
            <v>2880000</v>
          </cell>
          <cell r="G2016">
            <v>2925000</v>
          </cell>
          <cell r="H2016">
            <v>480000</v>
          </cell>
          <cell r="I2016">
            <v>500000</v>
          </cell>
        </row>
        <row r="2017">
          <cell r="A2017" t="str">
            <v>3500|440002</v>
          </cell>
          <cell r="B2017" t="str">
            <v>3500</v>
          </cell>
          <cell r="C2017">
            <v>440002</v>
          </cell>
          <cell r="D2017">
            <v>41426</v>
          </cell>
          <cell r="E2017">
            <v>13294122</v>
          </cell>
          <cell r="F2017">
            <v>6647061</v>
          </cell>
          <cell r="G2017">
            <v>7062497</v>
          </cell>
          <cell r="H2017">
            <v>1107843</v>
          </cell>
          <cell r="I2017">
            <v>795238</v>
          </cell>
        </row>
        <row r="2018">
          <cell r="A2018" t="str">
            <v>3500|440003</v>
          </cell>
          <cell r="B2018" t="str">
            <v>3500</v>
          </cell>
          <cell r="C2018">
            <v>440003</v>
          </cell>
          <cell r="D2018">
            <v>41426</v>
          </cell>
          <cell r="E2018">
            <v>12242225</v>
          </cell>
          <cell r="F2018">
            <v>6121113</v>
          </cell>
          <cell r="G2018">
            <v>6894237</v>
          </cell>
          <cell r="H2018">
            <v>1020186</v>
          </cell>
          <cell r="I2018">
            <v>1417877</v>
          </cell>
        </row>
        <row r="2019">
          <cell r="A2019" t="str">
            <v>3500|446002</v>
          </cell>
          <cell r="B2019" t="str">
            <v>3500</v>
          </cell>
          <cell r="C2019">
            <v>446002</v>
          </cell>
          <cell r="D2019">
            <v>41426</v>
          </cell>
          <cell r="E2019">
            <v>6647061</v>
          </cell>
          <cell r="F2019">
            <v>3323531</v>
          </cell>
          <cell r="G2019">
            <v>0</v>
          </cell>
          <cell r="H2019">
            <v>553922</v>
          </cell>
          <cell r="I2019">
            <v>0</v>
          </cell>
        </row>
        <row r="2020">
          <cell r="A2020" t="str">
            <v>3500|447002</v>
          </cell>
          <cell r="B2020" t="str">
            <v>3500</v>
          </cell>
          <cell r="C2020">
            <v>447002</v>
          </cell>
          <cell r="D2020">
            <v>41426</v>
          </cell>
          <cell r="E2020">
            <v>2504613</v>
          </cell>
          <cell r="F2020">
            <v>1252307</v>
          </cell>
          <cell r="G2020">
            <v>320730</v>
          </cell>
          <cell r="H2020">
            <v>208718</v>
          </cell>
          <cell r="I2020">
            <v>53455</v>
          </cell>
        </row>
        <row r="2021">
          <cell r="A2021" t="str">
            <v>3500|447003</v>
          </cell>
          <cell r="B2021" t="str">
            <v>3500</v>
          </cell>
          <cell r="C2021">
            <v>447003</v>
          </cell>
          <cell r="D2021">
            <v>41426</v>
          </cell>
          <cell r="E2021">
            <v>2306058</v>
          </cell>
          <cell r="F2021">
            <v>1153029</v>
          </cell>
          <cell r="G2021">
            <v>381368</v>
          </cell>
          <cell r="H2021">
            <v>192171</v>
          </cell>
          <cell r="I2021">
            <v>54000</v>
          </cell>
        </row>
        <row r="2022">
          <cell r="A2022" t="str">
            <v>3500|447012</v>
          </cell>
          <cell r="B2022" t="str">
            <v>3500</v>
          </cell>
          <cell r="C2022">
            <v>447012</v>
          </cell>
          <cell r="D2022">
            <v>41426</v>
          </cell>
          <cell r="E2022">
            <v>5902590</v>
          </cell>
          <cell r="F2022">
            <v>2951295</v>
          </cell>
          <cell r="G2022">
            <v>2197578</v>
          </cell>
          <cell r="H2022">
            <v>491882</v>
          </cell>
          <cell r="I2022">
            <v>366263</v>
          </cell>
        </row>
        <row r="2023">
          <cell r="A2023" t="str">
            <v>3500|447013</v>
          </cell>
          <cell r="B2023" t="str">
            <v>3500</v>
          </cell>
          <cell r="C2023">
            <v>447013</v>
          </cell>
          <cell r="D2023">
            <v>41426</v>
          </cell>
          <cell r="E2023">
            <v>5435548</v>
          </cell>
          <cell r="F2023">
            <v>2717774</v>
          </cell>
          <cell r="G2023">
            <v>2613088</v>
          </cell>
          <cell r="H2023">
            <v>452962</v>
          </cell>
          <cell r="I2023">
            <v>370000</v>
          </cell>
        </row>
        <row r="2024">
          <cell r="A2024" t="str">
            <v>3500|447022</v>
          </cell>
          <cell r="B2024" t="str">
            <v>3500</v>
          </cell>
          <cell r="C2024">
            <v>447022</v>
          </cell>
          <cell r="D2024">
            <v>41426</v>
          </cell>
          <cell r="E2024">
            <v>250461</v>
          </cell>
          <cell r="F2024">
            <v>125231</v>
          </cell>
          <cell r="G2024">
            <v>34147</v>
          </cell>
          <cell r="H2024">
            <v>20872</v>
          </cell>
          <cell r="I2024">
            <v>6250</v>
          </cell>
        </row>
        <row r="2025">
          <cell r="A2025" t="str">
            <v>3500|447023</v>
          </cell>
          <cell r="B2025" t="str">
            <v>3500</v>
          </cell>
          <cell r="C2025">
            <v>447023</v>
          </cell>
          <cell r="D2025">
            <v>41426</v>
          </cell>
          <cell r="E2025">
            <v>190842</v>
          </cell>
          <cell r="F2025">
            <v>95421</v>
          </cell>
          <cell r="G2025">
            <v>67283</v>
          </cell>
          <cell r="H2025">
            <v>15903</v>
          </cell>
          <cell r="I2025">
            <v>9500</v>
          </cell>
        </row>
        <row r="2026">
          <cell r="A2026" t="str">
            <v>3500|448002</v>
          </cell>
          <cell r="B2026" t="str">
            <v>3500</v>
          </cell>
          <cell r="C2026">
            <v>448002</v>
          </cell>
          <cell r="D2026">
            <v>41426</v>
          </cell>
          <cell r="E2026">
            <v>11935582</v>
          </cell>
          <cell r="F2026">
            <v>5967791</v>
          </cell>
          <cell r="G2026">
            <v>8434700</v>
          </cell>
          <cell r="H2026">
            <v>994632</v>
          </cell>
          <cell r="I2026">
            <v>1588300</v>
          </cell>
        </row>
        <row r="2027">
          <cell r="A2027" t="str">
            <v>3500|448003</v>
          </cell>
          <cell r="B2027" t="str">
            <v>3500</v>
          </cell>
          <cell r="C2027">
            <v>448003</v>
          </cell>
          <cell r="D2027">
            <v>41426</v>
          </cell>
          <cell r="E2027">
            <v>9322276</v>
          </cell>
          <cell r="F2027">
            <v>4661138</v>
          </cell>
          <cell r="G2027">
            <v>1829400</v>
          </cell>
          <cell r="H2027">
            <v>776856</v>
          </cell>
          <cell r="I2027">
            <v>0</v>
          </cell>
        </row>
        <row r="2028">
          <cell r="A2028" t="str">
            <v>3500|449022</v>
          </cell>
          <cell r="B2028" t="str">
            <v>3500</v>
          </cell>
          <cell r="C2028">
            <v>449022</v>
          </cell>
          <cell r="D2028">
            <v>41426</v>
          </cell>
          <cell r="E2028">
            <v>7920000</v>
          </cell>
          <cell r="F2028">
            <v>3960000</v>
          </cell>
          <cell r="G2028">
            <v>4063000</v>
          </cell>
          <cell r="H2028">
            <v>660000</v>
          </cell>
          <cell r="I2028">
            <v>646000</v>
          </cell>
        </row>
        <row r="2029">
          <cell r="A2029" t="str">
            <v>3500|449023</v>
          </cell>
          <cell r="B2029" t="str">
            <v>3500</v>
          </cell>
          <cell r="C2029">
            <v>449023</v>
          </cell>
          <cell r="D2029">
            <v>41426</v>
          </cell>
          <cell r="E2029">
            <v>3960000</v>
          </cell>
          <cell r="F2029">
            <v>1980000</v>
          </cell>
          <cell r="G2029">
            <v>1989000</v>
          </cell>
          <cell r="H2029">
            <v>330000</v>
          </cell>
          <cell r="I2029">
            <v>340000</v>
          </cell>
        </row>
        <row r="2030">
          <cell r="A2030" t="str">
            <v>3500|449032</v>
          </cell>
          <cell r="B2030" t="str">
            <v>3500</v>
          </cell>
          <cell r="C2030">
            <v>449032</v>
          </cell>
          <cell r="D2030">
            <v>41426</v>
          </cell>
          <cell r="E2030">
            <v>353776</v>
          </cell>
          <cell r="F2030">
            <v>176888</v>
          </cell>
          <cell r="G2030">
            <v>0</v>
          </cell>
          <cell r="H2030">
            <v>29481</v>
          </cell>
          <cell r="I2030">
            <v>0</v>
          </cell>
        </row>
        <row r="2031">
          <cell r="A2031" t="str">
            <v>3500|449040</v>
          </cell>
          <cell r="B2031" t="str">
            <v>3500</v>
          </cell>
          <cell r="C2031">
            <v>449040</v>
          </cell>
          <cell r="D2031">
            <v>41426</v>
          </cell>
          <cell r="E2031">
            <v>9941805</v>
          </cell>
          <cell r="F2031">
            <v>4970903</v>
          </cell>
          <cell r="G2031">
            <v>6210000</v>
          </cell>
          <cell r="H2031">
            <v>828484</v>
          </cell>
          <cell r="I2031">
            <v>0</v>
          </cell>
        </row>
        <row r="2032">
          <cell r="A2032" t="str">
            <v>3500|449061</v>
          </cell>
          <cell r="B2032" t="str">
            <v>3500</v>
          </cell>
          <cell r="C2032">
            <v>449061</v>
          </cell>
          <cell r="D2032">
            <v>41426</v>
          </cell>
          <cell r="E2032">
            <v>26255998</v>
          </cell>
          <cell r="F2032">
            <v>13127999</v>
          </cell>
          <cell r="G2032">
            <v>10244550</v>
          </cell>
          <cell r="H2032">
            <v>2188000</v>
          </cell>
          <cell r="I2032">
            <v>3007200</v>
          </cell>
        </row>
        <row r="2033">
          <cell r="A2033" t="str">
            <v>3500|470102</v>
          </cell>
          <cell r="B2033" t="str">
            <v>3500</v>
          </cell>
          <cell r="C2033">
            <v>470102</v>
          </cell>
          <cell r="D2033">
            <v>41426</v>
          </cell>
          <cell r="E2033">
            <v>1481220</v>
          </cell>
          <cell r="F2033">
            <v>740610</v>
          </cell>
          <cell r="G2033">
            <v>0</v>
          </cell>
          <cell r="H2033">
            <v>123435</v>
          </cell>
          <cell r="I2033">
            <v>0</v>
          </cell>
        </row>
        <row r="2034">
          <cell r="A2034" t="str">
            <v>3500|472000</v>
          </cell>
          <cell r="B2034" t="str">
            <v>3500</v>
          </cell>
          <cell r="C2034">
            <v>472000</v>
          </cell>
          <cell r="D2034">
            <v>41426</v>
          </cell>
          <cell r="E2034">
            <v>0</v>
          </cell>
          <cell r="F2034">
            <v>0</v>
          </cell>
          <cell r="G2034">
            <v>1063772</v>
          </cell>
          <cell r="H2034">
            <v>0</v>
          </cell>
          <cell r="I2034">
            <v>0</v>
          </cell>
        </row>
        <row r="2035">
          <cell r="A2035" t="str">
            <v>3500|473120</v>
          </cell>
          <cell r="B2035" t="str">
            <v>3500</v>
          </cell>
          <cell r="C2035">
            <v>473120</v>
          </cell>
          <cell r="D2035">
            <v>41426</v>
          </cell>
          <cell r="E2035">
            <v>10287260</v>
          </cell>
          <cell r="F2035">
            <v>5143630</v>
          </cell>
          <cell r="G2035">
            <v>8655093</v>
          </cell>
          <cell r="H2035">
            <v>857272</v>
          </cell>
          <cell r="I2035">
            <v>1517081</v>
          </cell>
        </row>
        <row r="2036">
          <cell r="A2036" t="str">
            <v>3500|474100</v>
          </cell>
          <cell r="B2036" t="str">
            <v>3500</v>
          </cell>
          <cell r="C2036">
            <v>474100</v>
          </cell>
          <cell r="D2036">
            <v>41426</v>
          </cell>
          <cell r="E2036">
            <v>7457728</v>
          </cell>
          <cell r="F2036">
            <v>3728864</v>
          </cell>
          <cell r="G2036">
            <v>-3000000</v>
          </cell>
          <cell r="H2036">
            <v>621477</v>
          </cell>
          <cell r="I2036">
            <v>-3000000</v>
          </cell>
        </row>
        <row r="2037">
          <cell r="A2037" t="str">
            <v>3500|475006</v>
          </cell>
          <cell r="B2037" t="str">
            <v>3500</v>
          </cell>
          <cell r="C2037">
            <v>475006</v>
          </cell>
          <cell r="D2037">
            <v>41426</v>
          </cell>
          <cell r="E2037">
            <v>793979</v>
          </cell>
          <cell r="F2037">
            <v>396990</v>
          </cell>
          <cell r="G2037">
            <v>0</v>
          </cell>
          <cell r="H2037">
            <v>66165</v>
          </cell>
          <cell r="I2037">
            <v>0</v>
          </cell>
        </row>
        <row r="2038">
          <cell r="A2038" t="str">
            <v>3600|211100</v>
          </cell>
          <cell r="B2038" t="str">
            <v>3600</v>
          </cell>
          <cell r="C2038">
            <v>211100</v>
          </cell>
          <cell r="D2038">
            <v>41426</v>
          </cell>
          <cell r="E2038">
            <v>3301548</v>
          </cell>
          <cell r="F2038">
            <v>1650774</v>
          </cell>
          <cell r="G2038">
            <v>1786667</v>
          </cell>
          <cell r="H2038">
            <v>275129</v>
          </cell>
          <cell r="I2038">
            <v>297779</v>
          </cell>
        </row>
        <row r="2039">
          <cell r="A2039" t="str">
            <v>3600|420003</v>
          </cell>
          <cell r="B2039" t="str">
            <v>3600</v>
          </cell>
          <cell r="C2039">
            <v>420003</v>
          </cell>
          <cell r="D2039">
            <v>41426</v>
          </cell>
          <cell r="E2039">
            <v>420326449</v>
          </cell>
          <cell r="F2039">
            <v>210163225</v>
          </cell>
          <cell r="G2039">
            <v>226335677</v>
          </cell>
          <cell r="H2039">
            <v>35027205</v>
          </cell>
          <cell r="I2039">
            <v>46118034</v>
          </cell>
        </row>
        <row r="2040">
          <cell r="A2040" t="str">
            <v>3600|434013</v>
          </cell>
          <cell r="B2040" t="str">
            <v>3600</v>
          </cell>
          <cell r="C2040">
            <v>434013</v>
          </cell>
          <cell r="D2040">
            <v>41426</v>
          </cell>
          <cell r="E2040">
            <v>0</v>
          </cell>
          <cell r="F2040">
            <v>0</v>
          </cell>
          <cell r="G2040">
            <v>4955354</v>
          </cell>
          <cell r="H2040">
            <v>0</v>
          </cell>
          <cell r="I2040">
            <v>1200976</v>
          </cell>
        </row>
        <row r="2041">
          <cell r="A2041" t="str">
            <v>3600|435003</v>
          </cell>
          <cell r="B2041" t="str">
            <v>3600</v>
          </cell>
          <cell r="C2041">
            <v>435003</v>
          </cell>
          <cell r="D2041">
            <v>41426</v>
          </cell>
          <cell r="E2041">
            <v>52540806</v>
          </cell>
          <cell r="F2041">
            <v>26270403</v>
          </cell>
          <cell r="G2041">
            <v>83655000</v>
          </cell>
          <cell r="H2041">
            <v>4378400</v>
          </cell>
          <cell r="I2041">
            <v>0</v>
          </cell>
        </row>
        <row r="2042">
          <cell r="A2042" t="str">
            <v>3600|439003</v>
          </cell>
          <cell r="B2042" t="str">
            <v>3600</v>
          </cell>
          <cell r="C2042">
            <v>439003</v>
          </cell>
          <cell r="D2042">
            <v>41426</v>
          </cell>
          <cell r="E2042">
            <v>39449879</v>
          </cell>
          <cell r="F2042">
            <v>19724940</v>
          </cell>
          <cell r="G2042">
            <v>26539661</v>
          </cell>
          <cell r="H2042">
            <v>3287490</v>
          </cell>
          <cell r="I2042">
            <v>6445211</v>
          </cell>
        </row>
        <row r="2043">
          <cell r="A2043" t="str">
            <v>3600|439203</v>
          </cell>
          <cell r="B2043" t="str">
            <v>3600</v>
          </cell>
          <cell r="C2043">
            <v>439203</v>
          </cell>
          <cell r="D2043">
            <v>41426</v>
          </cell>
          <cell r="E2043">
            <v>5760000</v>
          </cell>
          <cell r="F2043">
            <v>2880000</v>
          </cell>
          <cell r="G2043">
            <v>3650000</v>
          </cell>
          <cell r="H2043">
            <v>480000</v>
          </cell>
          <cell r="I2043">
            <v>975000</v>
          </cell>
        </row>
        <row r="2044">
          <cell r="A2044" t="str">
            <v>3600|440003</v>
          </cell>
          <cell r="B2044" t="str">
            <v>3600</v>
          </cell>
          <cell r="C2044">
            <v>440003</v>
          </cell>
          <cell r="D2044">
            <v>41426</v>
          </cell>
          <cell r="E2044">
            <v>35027204</v>
          </cell>
          <cell r="F2044">
            <v>17513602</v>
          </cell>
          <cell r="G2044">
            <v>22416916</v>
          </cell>
          <cell r="H2044">
            <v>2918934</v>
          </cell>
          <cell r="I2044">
            <v>5481172</v>
          </cell>
        </row>
        <row r="2045">
          <cell r="A2045" t="str">
            <v>3600|447003</v>
          </cell>
          <cell r="B2045" t="str">
            <v>3600</v>
          </cell>
          <cell r="C2045">
            <v>447003</v>
          </cell>
          <cell r="D2045">
            <v>41426</v>
          </cell>
          <cell r="E2045">
            <v>6599470</v>
          </cell>
          <cell r="F2045">
            <v>3299735</v>
          </cell>
          <cell r="G2045">
            <v>2228114</v>
          </cell>
          <cell r="H2045">
            <v>549956</v>
          </cell>
          <cell r="I2045">
            <v>411069</v>
          </cell>
        </row>
        <row r="2046">
          <cell r="A2046" t="str">
            <v>3600|447013</v>
          </cell>
          <cell r="B2046" t="str">
            <v>3600</v>
          </cell>
          <cell r="C2046">
            <v>447013</v>
          </cell>
          <cell r="D2046">
            <v>41426</v>
          </cell>
          <cell r="E2046">
            <v>15552079</v>
          </cell>
          <cell r="F2046">
            <v>7776040</v>
          </cell>
          <cell r="G2046">
            <v>15266718</v>
          </cell>
          <cell r="H2046">
            <v>1296007</v>
          </cell>
          <cell r="I2046">
            <v>2816588</v>
          </cell>
        </row>
        <row r="2047">
          <cell r="A2047" t="str">
            <v>3600|447023</v>
          </cell>
          <cell r="B2047" t="str">
            <v>3600</v>
          </cell>
          <cell r="C2047">
            <v>447023</v>
          </cell>
          <cell r="D2047">
            <v>41426</v>
          </cell>
          <cell r="E2047">
            <v>546151</v>
          </cell>
          <cell r="F2047">
            <v>273076</v>
          </cell>
          <cell r="G2047">
            <v>942475</v>
          </cell>
          <cell r="H2047">
            <v>45513</v>
          </cell>
          <cell r="I2047">
            <v>163650</v>
          </cell>
        </row>
        <row r="2048">
          <cell r="A2048" t="str">
            <v>3600|448003</v>
          </cell>
          <cell r="B2048" t="str">
            <v>3600</v>
          </cell>
          <cell r="C2048">
            <v>448003</v>
          </cell>
          <cell r="D2048">
            <v>41426</v>
          </cell>
          <cell r="E2048">
            <v>21799371</v>
          </cell>
          <cell r="F2048">
            <v>10899686</v>
          </cell>
          <cell r="G2048">
            <v>1966400</v>
          </cell>
          <cell r="H2048">
            <v>1816615</v>
          </cell>
          <cell r="I2048">
            <v>1471600</v>
          </cell>
        </row>
        <row r="2049">
          <cell r="A2049" t="str">
            <v>3600|449040</v>
          </cell>
          <cell r="B2049" t="str">
            <v>3600</v>
          </cell>
          <cell r="C2049">
            <v>449040</v>
          </cell>
          <cell r="D2049">
            <v>41426</v>
          </cell>
          <cell r="E2049">
            <v>17479283</v>
          </cell>
          <cell r="F2049">
            <v>8739642</v>
          </cell>
          <cell r="G2049">
            <v>4850000</v>
          </cell>
          <cell r="H2049">
            <v>1456607</v>
          </cell>
          <cell r="I2049">
            <v>0</v>
          </cell>
        </row>
        <row r="2050">
          <cell r="A2050" t="str">
            <v>3600|449061</v>
          </cell>
          <cell r="B2050" t="str">
            <v>3600</v>
          </cell>
          <cell r="C2050">
            <v>449061</v>
          </cell>
          <cell r="D2050">
            <v>41426</v>
          </cell>
          <cell r="E2050">
            <v>7169637</v>
          </cell>
          <cell r="F2050">
            <v>3584819</v>
          </cell>
          <cell r="G2050">
            <v>5404300</v>
          </cell>
          <cell r="H2050">
            <v>597470</v>
          </cell>
          <cell r="I2050">
            <v>1679100</v>
          </cell>
        </row>
        <row r="2051">
          <cell r="A2051" t="str">
            <v>3600|459000</v>
          </cell>
          <cell r="B2051" t="str">
            <v>3600</v>
          </cell>
          <cell r="C2051">
            <v>459000</v>
          </cell>
          <cell r="D2051">
            <v>41426</v>
          </cell>
          <cell r="E2051">
            <v>636796</v>
          </cell>
          <cell r="F2051">
            <v>318398</v>
          </cell>
          <cell r="G2051">
            <v>0</v>
          </cell>
          <cell r="H2051">
            <v>53066</v>
          </cell>
          <cell r="I2051">
            <v>0</v>
          </cell>
        </row>
        <row r="2052">
          <cell r="A2052" t="str">
            <v>3600|471000</v>
          </cell>
          <cell r="B2052" t="str">
            <v>3600</v>
          </cell>
          <cell r="C2052">
            <v>471000</v>
          </cell>
          <cell r="D2052">
            <v>41426</v>
          </cell>
          <cell r="E2052">
            <v>7490438</v>
          </cell>
          <cell r="F2052">
            <v>3745219</v>
          </cell>
          <cell r="G2052">
            <v>-3980000</v>
          </cell>
          <cell r="H2052">
            <v>624203</v>
          </cell>
          <cell r="I2052">
            <v>0</v>
          </cell>
        </row>
        <row r="2053">
          <cell r="A2053" t="str">
            <v>3600|473120</v>
          </cell>
          <cell r="B2053" t="str">
            <v>3600</v>
          </cell>
          <cell r="C2053">
            <v>473120</v>
          </cell>
          <cell r="D2053">
            <v>41426</v>
          </cell>
          <cell r="E2053">
            <v>12825990</v>
          </cell>
          <cell r="F2053">
            <v>6412995</v>
          </cell>
          <cell r="G2053">
            <v>6784132</v>
          </cell>
          <cell r="H2053">
            <v>1068832</v>
          </cell>
          <cell r="I2053">
            <v>1984314</v>
          </cell>
        </row>
        <row r="2054">
          <cell r="A2054" t="str">
            <v>3600|474100</v>
          </cell>
          <cell r="B2054" t="str">
            <v>3600</v>
          </cell>
          <cell r="C2054">
            <v>474100</v>
          </cell>
          <cell r="D2054">
            <v>41426</v>
          </cell>
          <cell r="E2054">
            <v>95226003</v>
          </cell>
          <cell r="F2054">
            <v>47613002</v>
          </cell>
          <cell r="G2054">
            <v>23128309</v>
          </cell>
          <cell r="H2054">
            <v>7935501</v>
          </cell>
          <cell r="I2054">
            <v>0</v>
          </cell>
        </row>
        <row r="2055">
          <cell r="A2055" t="str">
            <v>3600|474101</v>
          </cell>
          <cell r="B2055" t="str">
            <v>3600</v>
          </cell>
          <cell r="C2055">
            <v>474101</v>
          </cell>
          <cell r="D2055">
            <v>41426</v>
          </cell>
          <cell r="E2055">
            <v>55218987</v>
          </cell>
          <cell r="F2055">
            <v>27609494</v>
          </cell>
          <cell r="G2055">
            <v>22557300</v>
          </cell>
          <cell r="H2055">
            <v>4601583</v>
          </cell>
          <cell r="I2055">
            <v>22317300</v>
          </cell>
        </row>
        <row r="2056">
          <cell r="A2056" t="str">
            <v>3600|475004</v>
          </cell>
          <cell r="B2056" t="str">
            <v>3600</v>
          </cell>
          <cell r="C2056">
            <v>475004</v>
          </cell>
          <cell r="D2056">
            <v>41426</v>
          </cell>
          <cell r="E2056">
            <v>19848324</v>
          </cell>
          <cell r="F2056">
            <v>9924162</v>
          </cell>
          <cell r="G2056">
            <v>14171500</v>
          </cell>
          <cell r="H2056">
            <v>1654027</v>
          </cell>
          <cell r="I2056">
            <v>660000</v>
          </cell>
        </row>
        <row r="2057">
          <cell r="A2057" t="str">
            <v>3600|475006</v>
          </cell>
          <cell r="B2057" t="str">
            <v>3600</v>
          </cell>
          <cell r="C2057">
            <v>475006</v>
          </cell>
          <cell r="D2057">
            <v>41426</v>
          </cell>
          <cell r="E2057">
            <v>5620405</v>
          </cell>
          <cell r="F2057">
            <v>2810203</v>
          </cell>
          <cell r="G2057">
            <v>5161873</v>
          </cell>
          <cell r="H2057">
            <v>468368</v>
          </cell>
          <cell r="I2057">
            <v>961812</v>
          </cell>
        </row>
        <row r="2058">
          <cell r="A2058" t="str">
            <v>3600|476000</v>
          </cell>
          <cell r="B2058" t="str">
            <v>3600</v>
          </cell>
          <cell r="C2058">
            <v>476000</v>
          </cell>
          <cell r="D2058">
            <v>41426</v>
          </cell>
          <cell r="E2058">
            <v>2598833</v>
          </cell>
          <cell r="F2058">
            <v>1299417</v>
          </cell>
          <cell r="G2058">
            <v>788063</v>
          </cell>
          <cell r="H2058">
            <v>216570</v>
          </cell>
          <cell r="I2058">
            <v>161000</v>
          </cell>
        </row>
        <row r="2059">
          <cell r="A2059" t="str">
            <v>3600|476001</v>
          </cell>
          <cell r="B2059" t="str">
            <v>3600</v>
          </cell>
          <cell r="C2059">
            <v>476001</v>
          </cell>
          <cell r="D2059">
            <v>41426</v>
          </cell>
          <cell r="E2059">
            <v>4152062</v>
          </cell>
          <cell r="F2059">
            <v>2076031</v>
          </cell>
          <cell r="G2059">
            <v>2123758</v>
          </cell>
          <cell r="H2059">
            <v>346005</v>
          </cell>
          <cell r="I2059">
            <v>0</v>
          </cell>
        </row>
        <row r="2060">
          <cell r="A2060" t="str">
            <v>3600|476900</v>
          </cell>
          <cell r="B2060" t="str">
            <v>3600</v>
          </cell>
          <cell r="C2060">
            <v>476900</v>
          </cell>
          <cell r="D2060">
            <v>41426</v>
          </cell>
          <cell r="E2060">
            <v>22130766</v>
          </cell>
          <cell r="F2060">
            <v>11065383</v>
          </cell>
          <cell r="G2060">
            <v>20113829</v>
          </cell>
          <cell r="H2060">
            <v>1844230</v>
          </cell>
          <cell r="I2060">
            <v>0</v>
          </cell>
        </row>
        <row r="2061">
          <cell r="A2061" t="str">
            <v>3600|477450</v>
          </cell>
          <cell r="B2061" t="str">
            <v>3600</v>
          </cell>
          <cell r="C2061">
            <v>477450</v>
          </cell>
          <cell r="D2061">
            <v>41426</v>
          </cell>
          <cell r="E2061">
            <v>1180000000</v>
          </cell>
          <cell r="F2061">
            <v>590000000</v>
          </cell>
          <cell r="G2061">
            <v>217192500</v>
          </cell>
          <cell r="H2061">
            <v>98333333</v>
          </cell>
          <cell r="I2061">
            <v>0</v>
          </cell>
        </row>
        <row r="2062">
          <cell r="A2062" t="str">
            <v>3610|211100</v>
          </cell>
          <cell r="B2062" t="str">
            <v>3610</v>
          </cell>
          <cell r="C2062">
            <v>211100</v>
          </cell>
          <cell r="D2062">
            <v>41426</v>
          </cell>
          <cell r="E2062">
            <v>2845290</v>
          </cell>
          <cell r="F2062">
            <v>1422645</v>
          </cell>
          <cell r="G2062">
            <v>1539763</v>
          </cell>
          <cell r="H2062">
            <v>237107</v>
          </cell>
          <cell r="I2062">
            <v>256633</v>
          </cell>
        </row>
        <row r="2063">
          <cell r="A2063" t="str">
            <v>3610|420003</v>
          </cell>
          <cell r="B2063" t="str">
            <v>3610</v>
          </cell>
          <cell r="C2063">
            <v>420003</v>
          </cell>
          <cell r="D2063">
            <v>41426</v>
          </cell>
          <cell r="E2063">
            <v>402427382</v>
          </cell>
          <cell r="F2063">
            <v>201213691</v>
          </cell>
          <cell r="G2063">
            <v>173493985</v>
          </cell>
          <cell r="H2063">
            <v>33535615</v>
          </cell>
          <cell r="I2063">
            <v>21265001</v>
          </cell>
        </row>
        <row r="2064">
          <cell r="A2064" t="str">
            <v>3610|422003</v>
          </cell>
          <cell r="B2064" t="str">
            <v>3610</v>
          </cell>
          <cell r="C2064">
            <v>422003</v>
          </cell>
          <cell r="D2064">
            <v>41426</v>
          </cell>
          <cell r="E2064">
            <v>326970</v>
          </cell>
          <cell r="F2064">
            <v>163485</v>
          </cell>
          <cell r="G2064">
            <v>0</v>
          </cell>
          <cell r="H2064">
            <v>27247</v>
          </cell>
          <cell r="I2064">
            <v>0</v>
          </cell>
        </row>
        <row r="2065">
          <cell r="A2065" t="str">
            <v>3610|434013</v>
          </cell>
          <cell r="B2065" t="str">
            <v>3610</v>
          </cell>
          <cell r="C2065">
            <v>434013</v>
          </cell>
          <cell r="D2065">
            <v>41426</v>
          </cell>
          <cell r="E2065">
            <v>0</v>
          </cell>
          <cell r="F2065">
            <v>0</v>
          </cell>
          <cell r="G2065">
            <v>6295852</v>
          </cell>
          <cell r="H2065">
            <v>0</v>
          </cell>
          <cell r="I2065">
            <v>600488</v>
          </cell>
        </row>
        <row r="2066">
          <cell r="A2066" t="str">
            <v>3610|435003</v>
          </cell>
          <cell r="B2066" t="str">
            <v>3610</v>
          </cell>
          <cell r="C2066">
            <v>435003</v>
          </cell>
          <cell r="D2066">
            <v>41426</v>
          </cell>
          <cell r="E2066">
            <v>50303423</v>
          </cell>
          <cell r="F2066">
            <v>25151712</v>
          </cell>
          <cell r="G2066">
            <v>40874020</v>
          </cell>
          <cell r="H2066">
            <v>4191952</v>
          </cell>
          <cell r="I2066">
            <v>0</v>
          </cell>
        </row>
        <row r="2067">
          <cell r="A2067" t="str">
            <v>3610|439003</v>
          </cell>
          <cell r="B2067" t="str">
            <v>3610</v>
          </cell>
          <cell r="C2067">
            <v>439003</v>
          </cell>
          <cell r="D2067">
            <v>41426</v>
          </cell>
          <cell r="E2067">
            <v>78899758</v>
          </cell>
          <cell r="F2067">
            <v>39449879</v>
          </cell>
          <cell r="G2067">
            <v>33679663</v>
          </cell>
          <cell r="H2067">
            <v>6574980</v>
          </cell>
          <cell r="I2067">
            <v>3222605</v>
          </cell>
        </row>
        <row r="2068">
          <cell r="A2068" t="str">
            <v>3610|439203</v>
          </cell>
          <cell r="B2068" t="str">
            <v>3610</v>
          </cell>
          <cell r="C2068">
            <v>439203</v>
          </cell>
          <cell r="D2068">
            <v>41426</v>
          </cell>
          <cell r="E2068">
            <v>11520000</v>
          </cell>
          <cell r="F2068">
            <v>5760000</v>
          </cell>
          <cell r="G2068">
            <v>5125000</v>
          </cell>
          <cell r="H2068">
            <v>960000</v>
          </cell>
          <cell r="I2068">
            <v>475000</v>
          </cell>
        </row>
        <row r="2069">
          <cell r="A2069" t="str">
            <v>3610|440003</v>
          </cell>
          <cell r="B2069" t="str">
            <v>3610</v>
          </cell>
          <cell r="C2069">
            <v>440003</v>
          </cell>
          <cell r="D2069">
            <v>41426</v>
          </cell>
          <cell r="E2069">
            <v>33535615</v>
          </cell>
          <cell r="F2069">
            <v>16767808</v>
          </cell>
          <cell r="G2069">
            <v>16523522</v>
          </cell>
          <cell r="H2069">
            <v>2794635</v>
          </cell>
          <cell r="I2069">
            <v>2527365</v>
          </cell>
        </row>
        <row r="2070">
          <cell r="A2070" t="str">
            <v>3610|447003</v>
          </cell>
          <cell r="B2070" t="str">
            <v>3610</v>
          </cell>
          <cell r="C2070">
            <v>447003</v>
          </cell>
          <cell r="D2070">
            <v>41426</v>
          </cell>
          <cell r="E2070">
            <v>6318299</v>
          </cell>
          <cell r="F2070">
            <v>3159150</v>
          </cell>
          <cell r="G2070">
            <v>753376</v>
          </cell>
          <cell r="H2070">
            <v>526525</v>
          </cell>
          <cell r="I2070">
            <v>90952</v>
          </cell>
        </row>
        <row r="2071">
          <cell r="A2071" t="str">
            <v>3610|447013</v>
          </cell>
          <cell r="B2071" t="str">
            <v>3610</v>
          </cell>
          <cell r="C2071">
            <v>447013</v>
          </cell>
          <cell r="D2071">
            <v>41426</v>
          </cell>
          <cell r="E2071">
            <v>14889813</v>
          </cell>
          <cell r="F2071">
            <v>7444907</v>
          </cell>
          <cell r="G2071">
            <v>5162018</v>
          </cell>
          <cell r="H2071">
            <v>1240818</v>
          </cell>
          <cell r="I2071">
            <v>623191</v>
          </cell>
        </row>
        <row r="2072">
          <cell r="A2072" t="str">
            <v>3610|447023</v>
          </cell>
          <cell r="B2072" t="str">
            <v>3610</v>
          </cell>
          <cell r="C2072">
            <v>447023</v>
          </cell>
          <cell r="D2072">
            <v>41426</v>
          </cell>
          <cell r="E2072">
            <v>522882</v>
          </cell>
          <cell r="F2072">
            <v>261441</v>
          </cell>
          <cell r="G2072">
            <v>123527</v>
          </cell>
          <cell r="H2072">
            <v>43573</v>
          </cell>
          <cell r="I2072">
            <v>16050</v>
          </cell>
        </row>
        <row r="2073">
          <cell r="A2073" t="str">
            <v>3610|448003</v>
          </cell>
          <cell r="B2073" t="str">
            <v>3610</v>
          </cell>
          <cell r="C2073">
            <v>448003</v>
          </cell>
          <cell r="D2073">
            <v>41426</v>
          </cell>
          <cell r="E2073">
            <v>23792707</v>
          </cell>
          <cell r="F2073">
            <v>11896354</v>
          </cell>
          <cell r="G2073">
            <v>1776600</v>
          </cell>
          <cell r="H2073">
            <v>1982726</v>
          </cell>
          <cell r="I2073">
            <v>597300</v>
          </cell>
        </row>
        <row r="2074">
          <cell r="A2074" t="str">
            <v>3610|449023</v>
          </cell>
          <cell r="B2074" t="str">
            <v>3610</v>
          </cell>
          <cell r="C2074">
            <v>449023</v>
          </cell>
          <cell r="D2074">
            <v>41426</v>
          </cell>
          <cell r="E2074">
            <v>33396000</v>
          </cell>
          <cell r="F2074">
            <v>16698000</v>
          </cell>
          <cell r="G2074">
            <v>20543000</v>
          </cell>
          <cell r="H2074">
            <v>2783000</v>
          </cell>
          <cell r="I2074">
            <v>3200000</v>
          </cell>
        </row>
        <row r="2075">
          <cell r="A2075" t="str">
            <v>3610|449050</v>
          </cell>
          <cell r="B2075" t="str">
            <v>3610</v>
          </cell>
          <cell r="C2075">
            <v>449050</v>
          </cell>
          <cell r="D2075">
            <v>41426</v>
          </cell>
          <cell r="E2075">
            <v>15696065</v>
          </cell>
          <cell r="F2075">
            <v>7848033</v>
          </cell>
          <cell r="G2075">
            <v>14799982</v>
          </cell>
          <cell r="H2075">
            <v>1308006</v>
          </cell>
          <cell r="I2075">
            <v>2466667</v>
          </cell>
        </row>
        <row r="2076">
          <cell r="A2076" t="str">
            <v>3610|449061</v>
          </cell>
          <cell r="B2076" t="str">
            <v>3610</v>
          </cell>
          <cell r="C2076">
            <v>449061</v>
          </cell>
          <cell r="D2076">
            <v>41426</v>
          </cell>
          <cell r="E2076">
            <v>13931598</v>
          </cell>
          <cell r="F2076">
            <v>6965799</v>
          </cell>
          <cell r="G2076">
            <v>1403000</v>
          </cell>
          <cell r="H2076">
            <v>1160966</v>
          </cell>
          <cell r="I2076">
            <v>480000</v>
          </cell>
        </row>
        <row r="2077">
          <cell r="A2077" t="str">
            <v>3610|473120</v>
          </cell>
          <cell r="B2077" t="str">
            <v>3610</v>
          </cell>
          <cell r="C2077">
            <v>473120</v>
          </cell>
          <cell r="D2077">
            <v>41426</v>
          </cell>
          <cell r="E2077">
            <v>4978608</v>
          </cell>
          <cell r="F2077">
            <v>2489304</v>
          </cell>
          <cell r="G2077">
            <v>5233048</v>
          </cell>
          <cell r="H2077">
            <v>414884</v>
          </cell>
          <cell r="I2077">
            <v>560557</v>
          </cell>
        </row>
        <row r="2078">
          <cell r="A2078" t="str">
            <v>3610|475006</v>
          </cell>
          <cell r="B2078" t="str">
            <v>3610</v>
          </cell>
          <cell r="C2078">
            <v>475006</v>
          </cell>
          <cell r="D2078">
            <v>41426</v>
          </cell>
          <cell r="E2078">
            <v>2560349</v>
          </cell>
          <cell r="F2078">
            <v>1280175</v>
          </cell>
          <cell r="G2078">
            <v>1261878</v>
          </cell>
          <cell r="H2078">
            <v>213363</v>
          </cell>
          <cell r="I2078">
            <v>210313</v>
          </cell>
        </row>
        <row r="2079">
          <cell r="A2079" t="str">
            <v>3610|476000</v>
          </cell>
          <cell r="B2079" t="str">
            <v>3610</v>
          </cell>
          <cell r="C2079">
            <v>476000</v>
          </cell>
          <cell r="D2079">
            <v>41426</v>
          </cell>
          <cell r="E2079">
            <v>10166355</v>
          </cell>
          <cell r="F2079">
            <v>5083178</v>
          </cell>
          <cell r="G2079">
            <v>0</v>
          </cell>
          <cell r="H2079">
            <v>847197</v>
          </cell>
          <cell r="I2079">
            <v>0</v>
          </cell>
        </row>
        <row r="2080">
          <cell r="A2080" t="str">
            <v>3610|476001</v>
          </cell>
          <cell r="B2080" t="str">
            <v>3610</v>
          </cell>
          <cell r="C2080">
            <v>476001</v>
          </cell>
          <cell r="D2080">
            <v>41426</v>
          </cell>
          <cell r="E2080">
            <v>0</v>
          </cell>
          <cell r="F2080">
            <v>0</v>
          </cell>
          <cell r="G2080">
            <v>500000</v>
          </cell>
          <cell r="H2080">
            <v>0</v>
          </cell>
          <cell r="I2080">
            <v>0</v>
          </cell>
        </row>
        <row r="2081">
          <cell r="A2081" t="str">
            <v>3700|211100</v>
          </cell>
          <cell r="B2081" t="str">
            <v>3700</v>
          </cell>
          <cell r="C2081">
            <v>211100</v>
          </cell>
          <cell r="D2081">
            <v>41426</v>
          </cell>
          <cell r="E2081">
            <v>41013256</v>
          </cell>
          <cell r="F2081">
            <v>20506628</v>
          </cell>
          <cell r="G2081">
            <v>22588998</v>
          </cell>
          <cell r="H2081">
            <v>3417771</v>
          </cell>
          <cell r="I2081">
            <v>3777975</v>
          </cell>
        </row>
        <row r="2082">
          <cell r="A2082" t="str">
            <v>3700|400040</v>
          </cell>
          <cell r="B2082" t="str">
            <v>3700</v>
          </cell>
          <cell r="C2082">
            <v>400040</v>
          </cell>
          <cell r="D2082">
            <v>41426</v>
          </cell>
          <cell r="E2082">
            <v>0</v>
          </cell>
          <cell r="F2082">
            <v>0</v>
          </cell>
          <cell r="G2082">
            <v>0</v>
          </cell>
          <cell r="H2082">
            <v>0</v>
          </cell>
          <cell r="I2082">
            <v>-305471</v>
          </cell>
        </row>
        <row r="2083">
          <cell r="A2083" t="str">
            <v>3700|405200</v>
          </cell>
          <cell r="B2083" t="str">
            <v>3700</v>
          </cell>
          <cell r="C2083">
            <v>405200</v>
          </cell>
          <cell r="D2083">
            <v>41426</v>
          </cell>
          <cell r="E2083">
            <v>0</v>
          </cell>
          <cell r="F2083">
            <v>0</v>
          </cell>
          <cell r="G2083">
            <v>0</v>
          </cell>
          <cell r="H2083">
            <v>0</v>
          </cell>
          <cell r="I2083">
            <v>-2153000</v>
          </cell>
        </row>
        <row r="2084">
          <cell r="A2084" t="str">
            <v>3700|420003</v>
          </cell>
          <cell r="B2084" t="str">
            <v>3700</v>
          </cell>
          <cell r="C2084">
            <v>420003</v>
          </cell>
          <cell r="D2084">
            <v>41426</v>
          </cell>
          <cell r="E2084">
            <v>0</v>
          </cell>
          <cell r="F2084">
            <v>0</v>
          </cell>
          <cell r="G2084">
            <v>0</v>
          </cell>
          <cell r="H2084">
            <v>0</v>
          </cell>
          <cell r="I2084">
            <v>-101584204</v>
          </cell>
        </row>
        <row r="2085">
          <cell r="A2085" t="str">
            <v>3700|431002</v>
          </cell>
          <cell r="B2085" t="str">
            <v>3700</v>
          </cell>
          <cell r="C2085">
            <v>431002</v>
          </cell>
          <cell r="D2085">
            <v>41426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-408765</v>
          </cell>
        </row>
        <row r="2086">
          <cell r="A2086" t="str">
            <v>3700|434013</v>
          </cell>
          <cell r="B2086" t="str">
            <v>3700</v>
          </cell>
          <cell r="C2086">
            <v>434013</v>
          </cell>
          <cell r="D2086">
            <v>41426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-1911601</v>
          </cell>
        </row>
        <row r="2087">
          <cell r="A2087" t="str">
            <v>3700|439003</v>
          </cell>
          <cell r="B2087" t="str">
            <v>3700</v>
          </cell>
          <cell r="C2087">
            <v>439003</v>
          </cell>
          <cell r="D2087">
            <v>41426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-10204917</v>
          </cell>
        </row>
        <row r="2088">
          <cell r="A2088" t="str">
            <v>3700|439203</v>
          </cell>
          <cell r="B2088" t="str">
            <v>3700</v>
          </cell>
          <cell r="C2088">
            <v>439203</v>
          </cell>
          <cell r="D2088">
            <v>41426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-1475000</v>
          </cell>
        </row>
        <row r="2089">
          <cell r="A2089" t="str">
            <v>3700|440003</v>
          </cell>
          <cell r="B2089" t="str">
            <v>3700</v>
          </cell>
          <cell r="C2089">
            <v>440003</v>
          </cell>
          <cell r="D2089">
            <v>41426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-10224578</v>
          </cell>
        </row>
        <row r="2090">
          <cell r="A2090" t="str">
            <v>3700|447003</v>
          </cell>
          <cell r="B2090" t="str">
            <v>3700</v>
          </cell>
          <cell r="C2090">
            <v>447003</v>
          </cell>
          <cell r="D2090">
            <v>41426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-529635</v>
          </cell>
        </row>
        <row r="2091">
          <cell r="A2091" t="str">
            <v>3700|447013</v>
          </cell>
          <cell r="B2091" t="str">
            <v>3700</v>
          </cell>
          <cell r="C2091">
            <v>447013</v>
          </cell>
          <cell r="D2091">
            <v>41426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-3628980</v>
          </cell>
        </row>
        <row r="2092">
          <cell r="A2092" t="str">
            <v>3700|447023</v>
          </cell>
          <cell r="B2092" t="str">
            <v>3700</v>
          </cell>
          <cell r="C2092">
            <v>447023</v>
          </cell>
          <cell r="D2092">
            <v>41426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-117708</v>
          </cell>
        </row>
        <row r="2093">
          <cell r="A2093" t="str">
            <v>3700|448003</v>
          </cell>
          <cell r="B2093" t="str">
            <v>3700</v>
          </cell>
          <cell r="C2093">
            <v>448003</v>
          </cell>
          <cell r="D2093">
            <v>41426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-510000</v>
          </cell>
        </row>
        <row r="2094">
          <cell r="A2094" t="str">
            <v>3700|449061</v>
          </cell>
          <cell r="B2094" t="str">
            <v>3700</v>
          </cell>
          <cell r="C2094">
            <v>449061</v>
          </cell>
          <cell r="D2094">
            <v>41426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-4219400</v>
          </cell>
        </row>
        <row r="2095">
          <cell r="A2095" t="str">
            <v>3700|472000</v>
          </cell>
          <cell r="B2095" t="str">
            <v>3700</v>
          </cell>
          <cell r="C2095">
            <v>472000</v>
          </cell>
          <cell r="D2095">
            <v>41426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-2012896</v>
          </cell>
        </row>
        <row r="2096">
          <cell r="A2096" t="str">
            <v>3700|473120</v>
          </cell>
          <cell r="B2096" t="str">
            <v>3700</v>
          </cell>
          <cell r="C2096">
            <v>473120</v>
          </cell>
          <cell r="D2096">
            <v>41426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-3585750</v>
          </cell>
        </row>
        <row r="2097">
          <cell r="A2097" t="str">
            <v>3700|475003</v>
          </cell>
          <cell r="B2097" t="str">
            <v>3700</v>
          </cell>
          <cell r="C2097">
            <v>475003</v>
          </cell>
          <cell r="D2097">
            <v>41426</v>
          </cell>
          <cell r="E2097">
            <v>0</v>
          </cell>
          <cell r="F2097">
            <v>0</v>
          </cell>
          <cell r="G2097">
            <v>0</v>
          </cell>
          <cell r="H2097">
            <v>0</v>
          </cell>
          <cell r="I2097">
            <v>-540000</v>
          </cell>
        </row>
        <row r="2098">
          <cell r="A2098" t="str">
            <v>3700|475004</v>
          </cell>
          <cell r="B2098" t="str">
            <v>3700</v>
          </cell>
          <cell r="C2098">
            <v>475004</v>
          </cell>
          <cell r="D2098">
            <v>41426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-11547958</v>
          </cell>
        </row>
        <row r="2099">
          <cell r="A2099" t="str">
            <v>3700|475006</v>
          </cell>
          <cell r="B2099" t="str">
            <v>3700</v>
          </cell>
          <cell r="C2099">
            <v>475006</v>
          </cell>
          <cell r="D2099">
            <v>41426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-5339139</v>
          </cell>
        </row>
        <row r="2100">
          <cell r="A2100" t="str">
            <v>3700|476001</v>
          </cell>
          <cell r="B2100" t="str">
            <v>3700</v>
          </cell>
          <cell r="C2100">
            <v>476001</v>
          </cell>
          <cell r="D2100">
            <v>41426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-4083784</v>
          </cell>
        </row>
        <row r="2101">
          <cell r="A2101" t="str">
            <v>3700|477001</v>
          </cell>
          <cell r="B2101" t="str">
            <v>3700</v>
          </cell>
          <cell r="C2101">
            <v>477001</v>
          </cell>
          <cell r="D2101">
            <v>41426</v>
          </cell>
          <cell r="E2101">
            <v>0</v>
          </cell>
          <cell r="F2101">
            <v>0</v>
          </cell>
          <cell r="G2101">
            <v>-596705894</v>
          </cell>
          <cell r="H2101">
            <v>0</v>
          </cell>
          <cell r="I2101">
            <v>-600000000</v>
          </cell>
        </row>
        <row r="2102">
          <cell r="A2102" t="str">
            <v>3700|477400</v>
          </cell>
          <cell r="B2102" t="str">
            <v>3700</v>
          </cell>
          <cell r="C2102">
            <v>477400</v>
          </cell>
          <cell r="D2102">
            <v>41426</v>
          </cell>
          <cell r="E2102">
            <v>0</v>
          </cell>
          <cell r="F2102">
            <v>0</v>
          </cell>
          <cell r="G2102">
            <v>-239669657</v>
          </cell>
          <cell r="H2102">
            <v>0</v>
          </cell>
          <cell r="I2102">
            <v>-12600000</v>
          </cell>
        </row>
        <row r="2103">
          <cell r="A2103" t="str">
            <v>3700|477450</v>
          </cell>
          <cell r="B2103" t="str">
            <v>3700</v>
          </cell>
          <cell r="C2103">
            <v>477450</v>
          </cell>
          <cell r="D2103">
            <v>41426</v>
          </cell>
          <cell r="E2103">
            <v>0</v>
          </cell>
          <cell r="F2103">
            <v>0</v>
          </cell>
          <cell r="G2103">
            <v>-344089972</v>
          </cell>
          <cell r="H2103">
            <v>0</v>
          </cell>
          <cell r="I2103">
            <v>-364709368</v>
          </cell>
        </row>
        <row r="2104">
          <cell r="A2104" t="str">
            <v>5100|211100</v>
          </cell>
          <cell r="B2104" t="str">
            <v>5100</v>
          </cell>
          <cell r="C2104">
            <v>211100</v>
          </cell>
          <cell r="D2104">
            <v>41426</v>
          </cell>
          <cell r="E2104">
            <v>66200448</v>
          </cell>
          <cell r="F2104">
            <v>33100224</v>
          </cell>
          <cell r="G2104">
            <v>35646001</v>
          </cell>
          <cell r="H2104">
            <v>5516704</v>
          </cell>
          <cell r="I2104">
            <v>5941016</v>
          </cell>
        </row>
        <row r="2105">
          <cell r="A2105" t="str">
            <v>5100|246000</v>
          </cell>
          <cell r="B2105" t="str">
            <v>5100</v>
          </cell>
          <cell r="C2105">
            <v>246000</v>
          </cell>
          <cell r="D2105">
            <v>41426</v>
          </cell>
          <cell r="E2105">
            <v>60000000</v>
          </cell>
          <cell r="F2105">
            <v>30000000</v>
          </cell>
          <cell r="G2105">
            <v>93225</v>
          </cell>
          <cell r="H2105">
            <v>5000000</v>
          </cell>
          <cell r="I2105">
            <v>0</v>
          </cell>
        </row>
        <row r="2106">
          <cell r="A2106" t="str">
            <v>5100|405200</v>
          </cell>
          <cell r="B2106" t="str">
            <v>5100</v>
          </cell>
          <cell r="C2106">
            <v>405200</v>
          </cell>
          <cell r="D2106">
            <v>41426</v>
          </cell>
          <cell r="E2106">
            <v>0</v>
          </cell>
          <cell r="F2106">
            <v>0</v>
          </cell>
          <cell r="G2106">
            <v>4457000</v>
          </cell>
          <cell r="H2106">
            <v>0</v>
          </cell>
          <cell r="I2106">
            <v>0</v>
          </cell>
        </row>
        <row r="2107">
          <cell r="A2107" t="str">
            <v>5100|420002</v>
          </cell>
          <cell r="B2107" t="str">
            <v>5100</v>
          </cell>
          <cell r="C2107">
            <v>420002</v>
          </cell>
          <cell r="D2107">
            <v>41426</v>
          </cell>
          <cell r="E2107">
            <v>79764732</v>
          </cell>
          <cell r="F2107">
            <v>39882366</v>
          </cell>
          <cell r="G2107">
            <v>25533000</v>
          </cell>
          <cell r="H2107">
            <v>6647061</v>
          </cell>
          <cell r="I2107">
            <v>4255500</v>
          </cell>
        </row>
        <row r="2108">
          <cell r="A2108" t="str">
            <v>5100|420003</v>
          </cell>
          <cell r="B2108" t="str">
            <v>5100</v>
          </cell>
          <cell r="C2108">
            <v>420003</v>
          </cell>
          <cell r="D2108">
            <v>41426</v>
          </cell>
          <cell r="E2108">
            <v>1191318551</v>
          </cell>
          <cell r="F2108">
            <v>595659276</v>
          </cell>
          <cell r="G2108">
            <v>574638284</v>
          </cell>
          <cell r="H2108">
            <v>99276546</v>
          </cell>
          <cell r="I2108">
            <v>96107444</v>
          </cell>
        </row>
        <row r="2109">
          <cell r="A2109" t="str">
            <v>5100|422002</v>
          </cell>
          <cell r="B2109" t="str">
            <v>5100</v>
          </cell>
          <cell r="C2109">
            <v>422002</v>
          </cell>
          <cell r="D2109">
            <v>41426</v>
          </cell>
          <cell r="E2109">
            <v>288630</v>
          </cell>
          <cell r="F2109">
            <v>144315</v>
          </cell>
          <cell r="G2109">
            <v>235950</v>
          </cell>
          <cell r="H2109">
            <v>24052</v>
          </cell>
          <cell r="I2109">
            <v>0</v>
          </cell>
        </row>
        <row r="2110">
          <cell r="A2110" t="str">
            <v>5100|422003</v>
          </cell>
          <cell r="B2110" t="str">
            <v>5100</v>
          </cell>
          <cell r="C2110">
            <v>422003</v>
          </cell>
          <cell r="D2110">
            <v>41426</v>
          </cell>
          <cell r="E2110">
            <v>1224071133</v>
          </cell>
          <cell r="F2110">
            <v>612035567</v>
          </cell>
          <cell r="G2110">
            <v>711052421</v>
          </cell>
          <cell r="H2110">
            <v>102005928</v>
          </cell>
          <cell r="I2110">
            <v>143802479</v>
          </cell>
        </row>
        <row r="2111">
          <cell r="A2111" t="str">
            <v>5100|431002</v>
          </cell>
          <cell r="B2111" t="str">
            <v>5100</v>
          </cell>
          <cell r="C2111">
            <v>431002</v>
          </cell>
          <cell r="D2111">
            <v>41426</v>
          </cell>
          <cell r="E2111">
            <v>49632182</v>
          </cell>
          <cell r="F2111">
            <v>24816091</v>
          </cell>
          <cell r="G2111">
            <v>55003117</v>
          </cell>
          <cell r="H2111">
            <v>4136015</v>
          </cell>
          <cell r="I2111">
            <v>7071937</v>
          </cell>
        </row>
        <row r="2112">
          <cell r="A2112" t="str">
            <v>5100|434012</v>
          </cell>
          <cell r="B2112" t="str">
            <v>5100</v>
          </cell>
          <cell r="C2112">
            <v>434012</v>
          </cell>
          <cell r="D2112">
            <v>41426</v>
          </cell>
          <cell r="E2112">
            <v>0</v>
          </cell>
          <cell r="F2112">
            <v>0</v>
          </cell>
          <cell r="G2112">
            <v>987200</v>
          </cell>
          <cell r="H2112">
            <v>0</v>
          </cell>
          <cell r="I2112">
            <v>166248</v>
          </cell>
        </row>
        <row r="2113">
          <cell r="A2113" t="str">
            <v>5100|434013</v>
          </cell>
          <cell r="B2113" t="str">
            <v>5100</v>
          </cell>
          <cell r="C2113">
            <v>434013</v>
          </cell>
          <cell r="D2113">
            <v>41426</v>
          </cell>
          <cell r="E2113">
            <v>0</v>
          </cell>
          <cell r="F2113">
            <v>0</v>
          </cell>
          <cell r="G2113">
            <v>3750402</v>
          </cell>
          <cell r="H2113">
            <v>0</v>
          </cell>
          <cell r="I2113">
            <v>600488</v>
          </cell>
        </row>
        <row r="2114">
          <cell r="A2114" t="str">
            <v>5100|435002</v>
          </cell>
          <cell r="B2114" t="str">
            <v>5100</v>
          </cell>
          <cell r="C2114">
            <v>435002</v>
          </cell>
          <cell r="D2114">
            <v>41426</v>
          </cell>
          <cell r="E2114">
            <v>13626475</v>
          </cell>
          <cell r="F2114">
            <v>6813238</v>
          </cell>
          <cell r="G2114">
            <v>5033000</v>
          </cell>
          <cell r="H2114">
            <v>1135540</v>
          </cell>
          <cell r="I2114">
            <v>0</v>
          </cell>
        </row>
        <row r="2115">
          <cell r="A2115" t="str">
            <v>5100|435003</v>
          </cell>
          <cell r="B2115" t="str">
            <v>5100</v>
          </cell>
          <cell r="C2115">
            <v>435003</v>
          </cell>
          <cell r="D2115">
            <v>41426</v>
          </cell>
          <cell r="E2115">
            <v>599703931</v>
          </cell>
          <cell r="F2115">
            <v>299851966</v>
          </cell>
          <cell r="G2115">
            <v>20544000</v>
          </cell>
          <cell r="H2115">
            <v>49975328</v>
          </cell>
          <cell r="I2115">
            <v>0</v>
          </cell>
        </row>
        <row r="2116">
          <cell r="A2116" t="str">
            <v>5100|439003</v>
          </cell>
          <cell r="B2116" t="str">
            <v>5100</v>
          </cell>
          <cell r="C2116">
            <v>439003</v>
          </cell>
          <cell r="D2116">
            <v>41426</v>
          </cell>
          <cell r="E2116">
            <v>39449879</v>
          </cell>
          <cell r="F2116">
            <v>19724940</v>
          </cell>
          <cell r="G2116">
            <v>20073108</v>
          </cell>
          <cell r="H2116">
            <v>3287490</v>
          </cell>
          <cell r="I2116">
            <v>3222605</v>
          </cell>
        </row>
        <row r="2117">
          <cell r="A2117" t="str">
            <v>5100|439006</v>
          </cell>
          <cell r="B2117" t="str">
            <v>5100</v>
          </cell>
          <cell r="C2117">
            <v>439006</v>
          </cell>
          <cell r="D2117">
            <v>41426</v>
          </cell>
          <cell r="E2117">
            <v>107671723</v>
          </cell>
          <cell r="F2117">
            <v>53835862</v>
          </cell>
          <cell r="G2117">
            <v>133172007</v>
          </cell>
          <cell r="H2117">
            <v>8972644</v>
          </cell>
          <cell r="I2117">
            <v>0</v>
          </cell>
        </row>
        <row r="2118">
          <cell r="A2118" t="str">
            <v>5100|439008</v>
          </cell>
          <cell r="B2118" t="str">
            <v>5100</v>
          </cell>
          <cell r="C2118">
            <v>439008</v>
          </cell>
          <cell r="D2118">
            <v>41426</v>
          </cell>
          <cell r="E2118">
            <v>16422063</v>
          </cell>
          <cell r="F2118">
            <v>8211032</v>
          </cell>
          <cell r="G2118">
            <v>9508951</v>
          </cell>
          <cell r="H2118">
            <v>1368506</v>
          </cell>
          <cell r="I2118">
            <v>1598254</v>
          </cell>
        </row>
        <row r="2119">
          <cell r="A2119" t="str">
            <v>5100|440002</v>
          </cell>
          <cell r="B2119" t="str">
            <v>5100</v>
          </cell>
          <cell r="C2119">
            <v>440002</v>
          </cell>
          <cell r="D2119">
            <v>41426</v>
          </cell>
          <cell r="E2119">
            <v>6647061</v>
          </cell>
          <cell r="F2119">
            <v>3323531</v>
          </cell>
          <cell r="G2119">
            <v>3531249</v>
          </cell>
          <cell r="H2119">
            <v>553922</v>
          </cell>
          <cell r="I2119">
            <v>397619</v>
          </cell>
        </row>
        <row r="2120">
          <cell r="A2120" t="str">
            <v>5100|440003</v>
          </cell>
          <cell r="B2120" t="str">
            <v>5100</v>
          </cell>
          <cell r="C2120">
            <v>440003</v>
          </cell>
          <cell r="D2120">
            <v>41426</v>
          </cell>
          <cell r="E2120">
            <v>12242225</v>
          </cell>
          <cell r="F2120">
            <v>6121113</v>
          </cell>
          <cell r="G2120">
            <v>6894237</v>
          </cell>
          <cell r="H2120">
            <v>1020186</v>
          </cell>
          <cell r="I2120">
            <v>1417877</v>
          </cell>
        </row>
        <row r="2121">
          <cell r="A2121" t="str">
            <v>5100|446002</v>
          </cell>
          <cell r="B2121" t="str">
            <v>5100</v>
          </cell>
          <cell r="C2121">
            <v>446002</v>
          </cell>
          <cell r="D2121">
            <v>41426</v>
          </cell>
          <cell r="E2121">
            <v>3323530</v>
          </cell>
          <cell r="F2121">
            <v>1661765</v>
          </cell>
          <cell r="G2121">
            <v>900000</v>
          </cell>
          <cell r="H2121">
            <v>276961</v>
          </cell>
          <cell r="I2121">
            <v>150000</v>
          </cell>
        </row>
        <row r="2122">
          <cell r="A2122" t="str">
            <v>5100|447002</v>
          </cell>
          <cell r="B2122" t="str">
            <v>5100</v>
          </cell>
          <cell r="C2122">
            <v>447002</v>
          </cell>
          <cell r="D2122">
            <v>41426</v>
          </cell>
          <cell r="E2122">
            <v>1252306</v>
          </cell>
          <cell r="F2122">
            <v>626153</v>
          </cell>
          <cell r="G2122">
            <v>137880</v>
          </cell>
          <cell r="H2122">
            <v>104359</v>
          </cell>
          <cell r="I2122">
            <v>22980</v>
          </cell>
        </row>
        <row r="2123">
          <cell r="A2123" t="str">
            <v>5100|447003</v>
          </cell>
          <cell r="B2123" t="str">
            <v>5100</v>
          </cell>
          <cell r="C2123">
            <v>447003</v>
          </cell>
          <cell r="D2123">
            <v>41426</v>
          </cell>
          <cell r="E2123">
            <v>2306058</v>
          </cell>
          <cell r="F2123">
            <v>1153029</v>
          </cell>
          <cell r="G2123">
            <v>866454</v>
          </cell>
          <cell r="H2123">
            <v>192171</v>
          </cell>
          <cell r="I2123">
            <v>144409</v>
          </cell>
        </row>
        <row r="2124">
          <cell r="A2124" t="str">
            <v>5100|447012</v>
          </cell>
          <cell r="B2124" t="str">
            <v>5100</v>
          </cell>
          <cell r="C2124">
            <v>447012</v>
          </cell>
          <cell r="D2124">
            <v>41426</v>
          </cell>
          <cell r="E2124">
            <v>2951295</v>
          </cell>
          <cell r="F2124">
            <v>1475648</v>
          </cell>
          <cell r="G2124">
            <v>944724</v>
          </cell>
          <cell r="H2124">
            <v>245942</v>
          </cell>
          <cell r="I2124">
            <v>157454</v>
          </cell>
        </row>
        <row r="2125">
          <cell r="A2125" t="str">
            <v>5100|447013</v>
          </cell>
          <cell r="B2125" t="str">
            <v>5100</v>
          </cell>
          <cell r="C2125">
            <v>447013</v>
          </cell>
          <cell r="D2125">
            <v>41426</v>
          </cell>
          <cell r="E2125">
            <v>5435548</v>
          </cell>
          <cell r="F2125">
            <v>2717774</v>
          </cell>
          <cell r="G2125">
            <v>2041956</v>
          </cell>
          <cell r="H2125">
            <v>452962</v>
          </cell>
          <cell r="I2125">
            <v>340326</v>
          </cell>
        </row>
        <row r="2126">
          <cell r="A2126" t="str">
            <v>5100|447022</v>
          </cell>
          <cell r="B2126" t="str">
            <v>5100</v>
          </cell>
          <cell r="C2126">
            <v>447022</v>
          </cell>
          <cell r="D2126">
            <v>41426</v>
          </cell>
          <cell r="E2126">
            <v>125231</v>
          </cell>
          <cell r="F2126">
            <v>62616</v>
          </cell>
          <cell r="G2126">
            <v>24326</v>
          </cell>
          <cell r="H2126">
            <v>10436</v>
          </cell>
          <cell r="I2126">
            <v>4050</v>
          </cell>
        </row>
        <row r="2127">
          <cell r="A2127" t="str">
            <v>5100|447023</v>
          </cell>
          <cell r="B2127" t="str">
            <v>5100</v>
          </cell>
          <cell r="C2127">
            <v>447023</v>
          </cell>
          <cell r="D2127">
            <v>41426</v>
          </cell>
          <cell r="E2127">
            <v>190842</v>
          </cell>
          <cell r="F2127">
            <v>95421</v>
          </cell>
          <cell r="G2127">
            <v>144725</v>
          </cell>
          <cell r="H2127">
            <v>15903</v>
          </cell>
          <cell r="I2127">
            <v>23925</v>
          </cell>
        </row>
        <row r="2128">
          <cell r="A2128" t="str">
            <v>5100|448002</v>
          </cell>
          <cell r="B2128" t="str">
            <v>5100</v>
          </cell>
          <cell r="C2128">
            <v>448002</v>
          </cell>
          <cell r="D2128">
            <v>41426</v>
          </cell>
          <cell r="E2128">
            <v>5967791</v>
          </cell>
          <cell r="F2128">
            <v>2983896</v>
          </cell>
          <cell r="G2128">
            <v>1337130</v>
          </cell>
          <cell r="H2128">
            <v>497316</v>
          </cell>
          <cell r="I2128">
            <v>0</v>
          </cell>
        </row>
        <row r="2129">
          <cell r="A2129" t="str">
            <v>5100|448003</v>
          </cell>
          <cell r="B2129" t="str">
            <v>5100</v>
          </cell>
          <cell r="C2129">
            <v>448003</v>
          </cell>
          <cell r="D2129">
            <v>41426</v>
          </cell>
          <cell r="E2129">
            <v>9322276</v>
          </cell>
          <cell r="F2129">
            <v>4661138</v>
          </cell>
          <cell r="G2129">
            <v>1212900</v>
          </cell>
          <cell r="H2129">
            <v>776856</v>
          </cell>
          <cell r="I2129">
            <v>79700</v>
          </cell>
        </row>
        <row r="2130">
          <cell r="A2130" t="str">
            <v>5100|449012</v>
          </cell>
          <cell r="B2130" t="str">
            <v>5100</v>
          </cell>
          <cell r="C2130">
            <v>449012</v>
          </cell>
          <cell r="D2130">
            <v>41426</v>
          </cell>
          <cell r="E2130">
            <v>0</v>
          </cell>
          <cell r="F2130">
            <v>0</v>
          </cell>
          <cell r="G2130">
            <v>61082010</v>
          </cell>
          <cell r="H2130">
            <v>0</v>
          </cell>
          <cell r="I2130">
            <v>0</v>
          </cell>
        </row>
        <row r="2131">
          <cell r="A2131" t="str">
            <v>5100|449022</v>
          </cell>
          <cell r="B2131" t="str">
            <v>5100</v>
          </cell>
          <cell r="C2131">
            <v>449022</v>
          </cell>
          <cell r="D2131">
            <v>41426</v>
          </cell>
          <cell r="E2131">
            <v>3960000</v>
          </cell>
          <cell r="F2131">
            <v>1980000</v>
          </cell>
          <cell r="G2131">
            <v>2686000</v>
          </cell>
          <cell r="H2131">
            <v>330000</v>
          </cell>
          <cell r="I2131">
            <v>374000</v>
          </cell>
        </row>
        <row r="2132">
          <cell r="A2132" t="str">
            <v>5100|449023</v>
          </cell>
          <cell r="B2132" t="str">
            <v>5100</v>
          </cell>
          <cell r="C2132">
            <v>449023</v>
          </cell>
          <cell r="D2132">
            <v>41426</v>
          </cell>
          <cell r="E2132">
            <v>3960000</v>
          </cell>
          <cell r="F2132">
            <v>1980000</v>
          </cell>
          <cell r="G2132">
            <v>2091000</v>
          </cell>
          <cell r="H2132">
            <v>330000</v>
          </cell>
          <cell r="I2132">
            <v>340000</v>
          </cell>
        </row>
        <row r="2133">
          <cell r="A2133" t="str">
            <v>5100|449040</v>
          </cell>
          <cell r="B2133" t="str">
            <v>5100</v>
          </cell>
          <cell r="C2133">
            <v>449040</v>
          </cell>
          <cell r="D2133">
            <v>41426</v>
          </cell>
          <cell r="E2133">
            <v>28116840</v>
          </cell>
          <cell r="F2133">
            <v>14058420</v>
          </cell>
          <cell r="G2133">
            <v>251662857</v>
          </cell>
          <cell r="H2133">
            <v>2343070</v>
          </cell>
          <cell r="I2133">
            <v>-86457214</v>
          </cell>
        </row>
        <row r="2134">
          <cell r="A2134" t="str">
            <v>5100|449050</v>
          </cell>
          <cell r="B2134" t="str">
            <v>5100</v>
          </cell>
          <cell r="C2134">
            <v>449050</v>
          </cell>
          <cell r="D2134">
            <v>41426</v>
          </cell>
          <cell r="E2134">
            <v>533712288</v>
          </cell>
          <cell r="F2134">
            <v>266856144</v>
          </cell>
          <cell r="G2134">
            <v>64948828</v>
          </cell>
          <cell r="H2134">
            <v>44476024</v>
          </cell>
          <cell r="I2134">
            <v>7245882</v>
          </cell>
        </row>
        <row r="2135">
          <cell r="A2135" t="str">
            <v>5100|449061</v>
          </cell>
          <cell r="B2135" t="str">
            <v>5100</v>
          </cell>
          <cell r="C2135">
            <v>449061</v>
          </cell>
          <cell r="D2135">
            <v>41426</v>
          </cell>
          <cell r="E2135">
            <v>9266595</v>
          </cell>
          <cell r="F2135">
            <v>4633298</v>
          </cell>
          <cell r="G2135">
            <v>3609000</v>
          </cell>
          <cell r="H2135">
            <v>772217</v>
          </cell>
          <cell r="I2135">
            <v>554000</v>
          </cell>
        </row>
        <row r="2136">
          <cell r="A2136" t="str">
            <v>5100|451000</v>
          </cell>
          <cell r="B2136" t="str">
            <v>5100</v>
          </cell>
          <cell r="C2136">
            <v>451000</v>
          </cell>
          <cell r="D2136">
            <v>41426</v>
          </cell>
          <cell r="E2136">
            <v>1199313</v>
          </cell>
          <cell r="F2136">
            <v>599657</v>
          </cell>
          <cell r="G2136">
            <v>0</v>
          </cell>
          <cell r="H2136">
            <v>99943</v>
          </cell>
          <cell r="I2136">
            <v>0</v>
          </cell>
        </row>
        <row r="2137">
          <cell r="A2137" t="str">
            <v>5100|455000</v>
          </cell>
          <cell r="B2137" t="str">
            <v>5100</v>
          </cell>
          <cell r="C2137">
            <v>455000</v>
          </cell>
          <cell r="D2137">
            <v>41426</v>
          </cell>
          <cell r="E2137">
            <v>13600000</v>
          </cell>
          <cell r="F2137">
            <v>6800000</v>
          </cell>
          <cell r="G2137">
            <v>1253250</v>
          </cell>
          <cell r="H2137">
            <v>1133333</v>
          </cell>
          <cell r="I2137">
            <v>0</v>
          </cell>
        </row>
        <row r="2138">
          <cell r="A2138" t="str">
            <v>5100|459000</v>
          </cell>
          <cell r="B2138" t="str">
            <v>5100</v>
          </cell>
          <cell r="C2138">
            <v>459000</v>
          </cell>
          <cell r="D2138">
            <v>41426</v>
          </cell>
          <cell r="E2138">
            <v>8360990</v>
          </cell>
          <cell r="F2138">
            <v>4180495</v>
          </cell>
          <cell r="G2138">
            <v>8080750</v>
          </cell>
          <cell r="H2138">
            <v>696749</v>
          </cell>
          <cell r="I2138">
            <v>1300000</v>
          </cell>
        </row>
        <row r="2139">
          <cell r="A2139" t="str">
            <v>5100|459005</v>
          </cell>
          <cell r="B2139" t="str">
            <v>5100</v>
          </cell>
          <cell r="C2139">
            <v>459005</v>
          </cell>
          <cell r="D2139">
            <v>41426</v>
          </cell>
          <cell r="E2139">
            <v>466670</v>
          </cell>
          <cell r="F2139">
            <v>233335</v>
          </cell>
          <cell r="G2139">
            <v>0</v>
          </cell>
          <cell r="H2139">
            <v>38889</v>
          </cell>
          <cell r="I2139">
            <v>0</v>
          </cell>
        </row>
        <row r="2140">
          <cell r="A2140" t="str">
            <v>5100|470001</v>
          </cell>
          <cell r="B2140" t="str">
            <v>5100</v>
          </cell>
          <cell r="C2140">
            <v>470001</v>
          </cell>
          <cell r="D2140">
            <v>41426</v>
          </cell>
          <cell r="E2140">
            <v>465615648</v>
          </cell>
          <cell r="F2140">
            <v>232807824</v>
          </cell>
          <cell r="G2140">
            <v>201495000</v>
          </cell>
          <cell r="H2140">
            <v>38801304</v>
          </cell>
          <cell r="I2140">
            <v>33582500</v>
          </cell>
        </row>
        <row r="2141">
          <cell r="A2141" t="str">
            <v>5100|470102</v>
          </cell>
          <cell r="B2141" t="str">
            <v>5100</v>
          </cell>
          <cell r="C2141">
            <v>470102</v>
          </cell>
          <cell r="D2141">
            <v>41426</v>
          </cell>
          <cell r="E2141">
            <v>2119808</v>
          </cell>
          <cell r="F2141">
            <v>1059904</v>
          </cell>
          <cell r="G2141">
            <v>853067</v>
          </cell>
          <cell r="H2141">
            <v>176651</v>
          </cell>
          <cell r="I2141">
            <v>408455</v>
          </cell>
        </row>
        <row r="2142">
          <cell r="A2142" t="str">
            <v>5100|472000</v>
          </cell>
          <cell r="B2142" t="str">
            <v>5100</v>
          </cell>
          <cell r="C2142">
            <v>472000</v>
          </cell>
          <cell r="D2142">
            <v>41426</v>
          </cell>
          <cell r="E2142">
            <v>1200000</v>
          </cell>
          <cell r="F2142">
            <v>600000</v>
          </cell>
          <cell r="G2142">
            <v>-2263320</v>
          </cell>
          <cell r="H2142">
            <v>100000</v>
          </cell>
          <cell r="I2142">
            <v>-2263320</v>
          </cell>
        </row>
        <row r="2143">
          <cell r="A2143" t="str">
            <v>5100|473000</v>
          </cell>
          <cell r="B2143" t="str">
            <v>5100</v>
          </cell>
          <cell r="C2143">
            <v>473000</v>
          </cell>
          <cell r="D2143">
            <v>41426</v>
          </cell>
          <cell r="E2143">
            <v>54783</v>
          </cell>
          <cell r="F2143">
            <v>27392</v>
          </cell>
          <cell r="G2143">
            <v>633414</v>
          </cell>
          <cell r="H2143">
            <v>4566</v>
          </cell>
          <cell r="I2143">
            <v>0</v>
          </cell>
        </row>
        <row r="2144">
          <cell r="A2144" t="str">
            <v>5100|473120</v>
          </cell>
          <cell r="B2144" t="str">
            <v>5100</v>
          </cell>
          <cell r="C2144">
            <v>473120</v>
          </cell>
          <cell r="D2144">
            <v>41426</v>
          </cell>
          <cell r="E2144">
            <v>31363562</v>
          </cell>
          <cell r="F2144">
            <v>15681781</v>
          </cell>
          <cell r="G2144">
            <v>12475282</v>
          </cell>
          <cell r="H2144">
            <v>2613630</v>
          </cell>
          <cell r="I2144">
            <v>1377902</v>
          </cell>
        </row>
        <row r="2145">
          <cell r="A2145" t="str">
            <v>5100|474100</v>
          </cell>
          <cell r="B2145" t="str">
            <v>5100</v>
          </cell>
          <cell r="C2145">
            <v>474100</v>
          </cell>
          <cell r="D2145">
            <v>41426</v>
          </cell>
          <cell r="E2145">
            <v>57565427</v>
          </cell>
          <cell r="F2145">
            <v>28782714</v>
          </cell>
          <cell r="G2145">
            <v>50194859</v>
          </cell>
          <cell r="H2145">
            <v>4797119</v>
          </cell>
          <cell r="I2145">
            <v>18123071</v>
          </cell>
        </row>
        <row r="2146">
          <cell r="A2146" t="str">
            <v>5100|474101</v>
          </cell>
          <cell r="B2146" t="str">
            <v>5100</v>
          </cell>
          <cell r="C2146">
            <v>474101</v>
          </cell>
          <cell r="D2146">
            <v>41426</v>
          </cell>
          <cell r="E2146">
            <v>4394246</v>
          </cell>
          <cell r="F2146">
            <v>2197123</v>
          </cell>
          <cell r="G2146">
            <v>2271217</v>
          </cell>
          <cell r="H2146">
            <v>366187</v>
          </cell>
          <cell r="I2146">
            <v>0</v>
          </cell>
        </row>
        <row r="2147">
          <cell r="A2147" t="str">
            <v>5100|475003</v>
          </cell>
          <cell r="B2147" t="str">
            <v>5100</v>
          </cell>
          <cell r="C2147">
            <v>475003</v>
          </cell>
          <cell r="D2147">
            <v>41426</v>
          </cell>
          <cell r="E2147">
            <v>2437422</v>
          </cell>
          <cell r="F2147">
            <v>1218711</v>
          </cell>
          <cell r="G2147">
            <v>0</v>
          </cell>
          <cell r="H2147">
            <v>203118</v>
          </cell>
          <cell r="I2147">
            <v>0</v>
          </cell>
        </row>
        <row r="2148">
          <cell r="A2148" t="str">
            <v>5100|475004</v>
          </cell>
          <cell r="B2148" t="str">
            <v>5100</v>
          </cell>
          <cell r="C2148">
            <v>475004</v>
          </cell>
          <cell r="D2148">
            <v>41426</v>
          </cell>
          <cell r="E2148">
            <v>37852373</v>
          </cell>
          <cell r="F2148">
            <v>18926187</v>
          </cell>
          <cell r="G2148">
            <v>21632000</v>
          </cell>
          <cell r="H2148">
            <v>3154365</v>
          </cell>
          <cell r="I2148">
            <v>2105000</v>
          </cell>
        </row>
        <row r="2149">
          <cell r="A2149" t="str">
            <v>5100|475005</v>
          </cell>
          <cell r="B2149" t="str">
            <v>5100</v>
          </cell>
          <cell r="C2149">
            <v>475005</v>
          </cell>
          <cell r="D2149">
            <v>41426</v>
          </cell>
          <cell r="E2149">
            <v>5073</v>
          </cell>
          <cell r="F2149">
            <v>2537</v>
          </cell>
          <cell r="G2149">
            <v>4975400</v>
          </cell>
          <cell r="H2149">
            <v>423</v>
          </cell>
          <cell r="I2149">
            <v>0</v>
          </cell>
        </row>
        <row r="2150">
          <cell r="A2150" t="str">
            <v>5100|475006</v>
          </cell>
          <cell r="B2150" t="str">
            <v>5100</v>
          </cell>
          <cell r="C2150">
            <v>475006</v>
          </cell>
          <cell r="D2150">
            <v>41426</v>
          </cell>
          <cell r="E2150">
            <v>17068872</v>
          </cell>
          <cell r="F2150">
            <v>8534436</v>
          </cell>
          <cell r="G2150">
            <v>7782841</v>
          </cell>
          <cell r="H2150">
            <v>1422406</v>
          </cell>
          <cell r="I2150">
            <v>1297141</v>
          </cell>
        </row>
        <row r="2151">
          <cell r="A2151" t="str">
            <v>5100|476000</v>
          </cell>
          <cell r="B2151" t="str">
            <v>5100</v>
          </cell>
          <cell r="C2151">
            <v>476000</v>
          </cell>
          <cell r="D2151">
            <v>41426</v>
          </cell>
          <cell r="E2151">
            <v>12084655</v>
          </cell>
          <cell r="F2151">
            <v>6042328</v>
          </cell>
          <cell r="G2151">
            <v>602000</v>
          </cell>
          <cell r="H2151">
            <v>1007055</v>
          </cell>
          <cell r="I2151">
            <v>0</v>
          </cell>
        </row>
        <row r="2152">
          <cell r="A2152" t="str">
            <v>5100|476001</v>
          </cell>
          <cell r="B2152" t="str">
            <v>5100</v>
          </cell>
          <cell r="C2152">
            <v>476001</v>
          </cell>
          <cell r="D2152">
            <v>41426</v>
          </cell>
          <cell r="E2152">
            <v>209053</v>
          </cell>
          <cell r="F2152">
            <v>104527</v>
          </cell>
          <cell r="G2152">
            <v>170000</v>
          </cell>
          <cell r="H2152">
            <v>17422</v>
          </cell>
          <cell r="I2152">
            <v>170000</v>
          </cell>
        </row>
        <row r="2153">
          <cell r="A2153" t="str">
            <v>5100|476002</v>
          </cell>
          <cell r="B2153" t="str">
            <v>5100</v>
          </cell>
          <cell r="C2153">
            <v>476002</v>
          </cell>
          <cell r="D2153">
            <v>41426</v>
          </cell>
          <cell r="E2153">
            <v>5755759</v>
          </cell>
          <cell r="F2153">
            <v>2877880</v>
          </cell>
          <cell r="G2153">
            <v>247125</v>
          </cell>
          <cell r="H2153">
            <v>479647</v>
          </cell>
          <cell r="I2153">
            <v>0</v>
          </cell>
        </row>
        <row r="2154">
          <cell r="A2154" t="str">
            <v>5100|476900</v>
          </cell>
          <cell r="B2154" t="str">
            <v>5100</v>
          </cell>
          <cell r="C2154">
            <v>476900</v>
          </cell>
          <cell r="D2154">
            <v>41426</v>
          </cell>
          <cell r="E2154">
            <v>1312955</v>
          </cell>
          <cell r="F2154">
            <v>656478</v>
          </cell>
          <cell r="G2154">
            <v>0</v>
          </cell>
          <cell r="H2154">
            <v>109413</v>
          </cell>
          <cell r="I2154">
            <v>0</v>
          </cell>
        </row>
        <row r="2155">
          <cell r="A2155" t="str">
            <v>5100|476910</v>
          </cell>
          <cell r="B2155" t="str">
            <v>5100</v>
          </cell>
          <cell r="C2155">
            <v>476910</v>
          </cell>
          <cell r="D2155">
            <v>41426</v>
          </cell>
          <cell r="E2155">
            <v>352235</v>
          </cell>
          <cell r="F2155">
            <v>176118</v>
          </cell>
          <cell r="G2155">
            <v>0</v>
          </cell>
          <cell r="H2155">
            <v>29353</v>
          </cell>
          <cell r="I2155">
            <v>0</v>
          </cell>
        </row>
        <row r="2156">
          <cell r="A2156" t="str">
            <v>5200|211100</v>
          </cell>
          <cell r="B2156" t="str">
            <v>5200</v>
          </cell>
          <cell r="C2156">
            <v>211100</v>
          </cell>
          <cell r="D2156">
            <v>41426</v>
          </cell>
          <cell r="E2156">
            <v>62810166</v>
          </cell>
          <cell r="F2156">
            <v>31405083</v>
          </cell>
          <cell r="G2156">
            <v>17434914</v>
          </cell>
          <cell r="H2156">
            <v>5234180</v>
          </cell>
          <cell r="I2156">
            <v>2905819</v>
          </cell>
        </row>
        <row r="2157">
          <cell r="A2157" t="str">
            <v>5200|211104</v>
          </cell>
          <cell r="B2157" t="str">
            <v>5200</v>
          </cell>
          <cell r="C2157">
            <v>211104</v>
          </cell>
          <cell r="D2157">
            <v>41426</v>
          </cell>
          <cell r="E2157">
            <v>1451802125</v>
          </cell>
          <cell r="F2157">
            <v>725901063</v>
          </cell>
          <cell r="G2157">
            <v>369188709</v>
          </cell>
          <cell r="H2157">
            <v>120983511</v>
          </cell>
          <cell r="I2157">
            <v>61581300</v>
          </cell>
        </row>
        <row r="2158">
          <cell r="A2158" t="str">
            <v>5200|246000</v>
          </cell>
          <cell r="B2158" t="str">
            <v>5200</v>
          </cell>
          <cell r="C2158">
            <v>246000</v>
          </cell>
          <cell r="D2158">
            <v>41426</v>
          </cell>
          <cell r="E2158">
            <v>9300000</v>
          </cell>
          <cell r="F2158">
            <v>4650000</v>
          </cell>
          <cell r="G2158">
            <v>0</v>
          </cell>
          <cell r="H2158">
            <v>775000</v>
          </cell>
          <cell r="I2158">
            <v>0</v>
          </cell>
        </row>
        <row r="2159">
          <cell r="A2159" t="str">
            <v>5200|400040</v>
          </cell>
          <cell r="B2159" t="str">
            <v>5200</v>
          </cell>
          <cell r="C2159">
            <v>400040</v>
          </cell>
          <cell r="D2159">
            <v>41426</v>
          </cell>
          <cell r="E2159">
            <v>82000000</v>
          </cell>
          <cell r="F2159">
            <v>41000000</v>
          </cell>
          <cell r="G2159">
            <v>42932231</v>
          </cell>
          <cell r="H2159">
            <v>6833333</v>
          </cell>
          <cell r="I2159">
            <v>994050</v>
          </cell>
        </row>
        <row r="2160">
          <cell r="A2160" t="str">
            <v>5200|405250</v>
          </cell>
          <cell r="B2160" t="str">
            <v>5200</v>
          </cell>
          <cell r="C2160">
            <v>405250</v>
          </cell>
          <cell r="D2160">
            <v>41426</v>
          </cell>
          <cell r="E2160">
            <v>68000000</v>
          </cell>
          <cell r="F2160">
            <v>34000000</v>
          </cell>
          <cell r="G2160">
            <v>3639360</v>
          </cell>
          <cell r="H2160">
            <v>5666667</v>
          </cell>
          <cell r="I2160">
            <v>-10215640</v>
          </cell>
        </row>
        <row r="2161">
          <cell r="A2161" t="str">
            <v>5200|416102</v>
          </cell>
          <cell r="B2161" t="str">
            <v>5200</v>
          </cell>
          <cell r="C2161">
            <v>416102</v>
          </cell>
          <cell r="D2161">
            <v>41426</v>
          </cell>
          <cell r="E2161">
            <v>1613800000</v>
          </cell>
          <cell r="F2161">
            <v>806900000</v>
          </cell>
          <cell r="G2161">
            <v>660265879</v>
          </cell>
          <cell r="H2161">
            <v>134483333</v>
          </cell>
          <cell r="I2161">
            <v>114281231</v>
          </cell>
        </row>
        <row r="2162">
          <cell r="A2162" t="str">
            <v>5200|416103</v>
          </cell>
          <cell r="B2162" t="str">
            <v>5200</v>
          </cell>
          <cell r="C2162">
            <v>416103</v>
          </cell>
          <cell r="D2162">
            <v>41426</v>
          </cell>
          <cell r="E2162">
            <v>192077400</v>
          </cell>
          <cell r="F2162">
            <v>96038700</v>
          </cell>
          <cell r="G2162">
            <v>136124360</v>
          </cell>
          <cell r="H2162">
            <v>16006450</v>
          </cell>
          <cell r="I2162">
            <v>30657695</v>
          </cell>
        </row>
        <row r="2163">
          <cell r="A2163" t="str">
            <v>5200|416302</v>
          </cell>
          <cell r="B2163" t="str">
            <v>5200</v>
          </cell>
          <cell r="C2163">
            <v>416302</v>
          </cell>
          <cell r="D2163">
            <v>41426</v>
          </cell>
          <cell r="E2163">
            <v>62000000</v>
          </cell>
          <cell r="F2163">
            <v>31000000</v>
          </cell>
          <cell r="G2163">
            <v>22411693</v>
          </cell>
          <cell r="H2163">
            <v>5166667</v>
          </cell>
          <cell r="I2163">
            <v>9387000</v>
          </cell>
        </row>
        <row r="2164">
          <cell r="A2164" t="str">
            <v>5200|420000</v>
          </cell>
          <cell r="B2164" t="str">
            <v>5200</v>
          </cell>
          <cell r="C2164">
            <v>420000</v>
          </cell>
          <cell r="D2164">
            <v>41426</v>
          </cell>
          <cell r="E2164">
            <v>729830798</v>
          </cell>
          <cell r="F2164">
            <v>364915399</v>
          </cell>
          <cell r="G2164">
            <v>370089975</v>
          </cell>
          <cell r="H2164">
            <v>60819233</v>
          </cell>
          <cell r="I2164">
            <v>58765670</v>
          </cell>
        </row>
        <row r="2165">
          <cell r="A2165" t="str">
            <v>5200|420001</v>
          </cell>
          <cell r="B2165" t="str">
            <v>5200</v>
          </cell>
          <cell r="C2165">
            <v>420001</v>
          </cell>
          <cell r="D2165">
            <v>41426</v>
          </cell>
          <cell r="E2165">
            <v>709537703</v>
          </cell>
          <cell r="F2165">
            <v>354768852</v>
          </cell>
          <cell r="G2165">
            <v>344227911</v>
          </cell>
          <cell r="H2165">
            <v>59128142</v>
          </cell>
          <cell r="I2165">
            <v>55605860</v>
          </cell>
        </row>
        <row r="2166">
          <cell r="A2166" t="str">
            <v>5200|420002</v>
          </cell>
          <cell r="B2166" t="str">
            <v>5200</v>
          </cell>
          <cell r="C2166">
            <v>420002</v>
          </cell>
          <cell r="D2166">
            <v>41426</v>
          </cell>
          <cell r="E2166">
            <v>79764732</v>
          </cell>
          <cell r="F2166">
            <v>39882366</v>
          </cell>
          <cell r="G2166">
            <v>41736000</v>
          </cell>
          <cell r="H2166">
            <v>6647061</v>
          </cell>
          <cell r="I2166">
            <v>6956000</v>
          </cell>
        </row>
        <row r="2167">
          <cell r="A2167" t="str">
            <v>5200|420003</v>
          </cell>
          <cell r="B2167" t="str">
            <v>5200</v>
          </cell>
          <cell r="C2167">
            <v>420003</v>
          </cell>
          <cell r="D2167">
            <v>41426</v>
          </cell>
          <cell r="E2167">
            <v>696240779</v>
          </cell>
          <cell r="F2167">
            <v>348120390</v>
          </cell>
          <cell r="G2167">
            <v>338544189</v>
          </cell>
          <cell r="H2167">
            <v>58020065</v>
          </cell>
          <cell r="I2167">
            <v>57054634</v>
          </cell>
        </row>
        <row r="2168">
          <cell r="A2168" t="str">
            <v>5200|422000</v>
          </cell>
          <cell r="B2168" t="str">
            <v>5200</v>
          </cell>
          <cell r="C2168">
            <v>422000</v>
          </cell>
          <cell r="D2168">
            <v>41426</v>
          </cell>
          <cell r="E2168">
            <v>3568027</v>
          </cell>
          <cell r="F2168">
            <v>1784014</v>
          </cell>
          <cell r="G2168">
            <v>2643500</v>
          </cell>
          <cell r="H2168">
            <v>297336</v>
          </cell>
          <cell r="I2168">
            <v>49850</v>
          </cell>
        </row>
        <row r="2169">
          <cell r="A2169" t="str">
            <v>5200|422001</v>
          </cell>
          <cell r="B2169" t="str">
            <v>5200</v>
          </cell>
          <cell r="C2169">
            <v>422001</v>
          </cell>
          <cell r="D2169">
            <v>41426</v>
          </cell>
          <cell r="E2169">
            <v>2309503</v>
          </cell>
          <cell r="F2169">
            <v>1154752</v>
          </cell>
          <cell r="G2169">
            <v>1865850</v>
          </cell>
          <cell r="H2169">
            <v>192459</v>
          </cell>
          <cell r="I2169">
            <v>0</v>
          </cell>
        </row>
        <row r="2170">
          <cell r="A2170" t="str">
            <v>5200|431000</v>
          </cell>
          <cell r="B2170" t="str">
            <v>5200</v>
          </cell>
          <cell r="C2170">
            <v>431000</v>
          </cell>
          <cell r="D2170">
            <v>41426</v>
          </cell>
          <cell r="E2170">
            <v>255000000</v>
          </cell>
          <cell r="F2170">
            <v>127500000</v>
          </cell>
          <cell r="G2170">
            <v>161581985</v>
          </cell>
          <cell r="H2170">
            <v>21250000</v>
          </cell>
          <cell r="I2170">
            <v>18048048</v>
          </cell>
        </row>
        <row r="2171">
          <cell r="A2171" t="str">
            <v>5200|431001</v>
          </cell>
          <cell r="B2171" t="str">
            <v>5200</v>
          </cell>
          <cell r="C2171">
            <v>431001</v>
          </cell>
          <cell r="D2171">
            <v>41426</v>
          </cell>
          <cell r="E2171">
            <v>125000000</v>
          </cell>
          <cell r="F2171">
            <v>62500000</v>
          </cell>
          <cell r="G2171">
            <v>67955805</v>
          </cell>
          <cell r="H2171">
            <v>10416667</v>
          </cell>
          <cell r="I2171">
            <v>0</v>
          </cell>
        </row>
        <row r="2172">
          <cell r="A2172" t="str">
            <v>5200|431002</v>
          </cell>
          <cell r="B2172" t="str">
            <v>5200</v>
          </cell>
          <cell r="C2172">
            <v>431002</v>
          </cell>
          <cell r="D2172">
            <v>41426</v>
          </cell>
          <cell r="E2172">
            <v>12001138</v>
          </cell>
          <cell r="F2172">
            <v>6000569</v>
          </cell>
          <cell r="G2172">
            <v>4803900</v>
          </cell>
          <cell r="H2172">
            <v>1000095</v>
          </cell>
          <cell r="I2172">
            <v>0</v>
          </cell>
        </row>
        <row r="2173">
          <cell r="A2173" t="str">
            <v>5200|433001</v>
          </cell>
          <cell r="B2173" t="str">
            <v>5200</v>
          </cell>
          <cell r="C2173">
            <v>433001</v>
          </cell>
          <cell r="D2173">
            <v>41426</v>
          </cell>
          <cell r="E2173">
            <v>4049527</v>
          </cell>
          <cell r="F2173">
            <v>2024764</v>
          </cell>
          <cell r="G2173">
            <v>2147550</v>
          </cell>
          <cell r="H2173">
            <v>337461</v>
          </cell>
          <cell r="I2173">
            <v>357925</v>
          </cell>
        </row>
        <row r="2174">
          <cell r="A2174" t="str">
            <v>5200|434010</v>
          </cell>
          <cell r="B2174" t="str">
            <v>5200</v>
          </cell>
          <cell r="C2174">
            <v>434010</v>
          </cell>
          <cell r="D2174">
            <v>41426</v>
          </cell>
          <cell r="E2174">
            <v>0</v>
          </cell>
          <cell r="F2174">
            <v>0</v>
          </cell>
          <cell r="G2174">
            <v>29787909</v>
          </cell>
          <cell r="H2174">
            <v>0</v>
          </cell>
          <cell r="I2174">
            <v>4784875</v>
          </cell>
        </row>
        <row r="2175">
          <cell r="A2175" t="str">
            <v>5200|434011</v>
          </cell>
          <cell r="B2175" t="str">
            <v>5200</v>
          </cell>
          <cell r="C2175">
            <v>434011</v>
          </cell>
          <cell r="D2175">
            <v>41426</v>
          </cell>
          <cell r="E2175">
            <v>100000000</v>
          </cell>
          <cell r="F2175">
            <v>50000000</v>
          </cell>
          <cell r="G2175">
            <v>27521052</v>
          </cell>
          <cell r="H2175">
            <v>8333333</v>
          </cell>
          <cell r="I2175">
            <v>4517087</v>
          </cell>
        </row>
        <row r="2176">
          <cell r="A2176" t="str">
            <v>5200|434012</v>
          </cell>
          <cell r="B2176" t="str">
            <v>5200</v>
          </cell>
          <cell r="C2176">
            <v>434012</v>
          </cell>
          <cell r="D2176">
            <v>41426</v>
          </cell>
          <cell r="E2176">
            <v>0</v>
          </cell>
          <cell r="F2176">
            <v>0</v>
          </cell>
          <cell r="G2176">
            <v>987200</v>
          </cell>
          <cell r="H2176">
            <v>0</v>
          </cell>
          <cell r="I2176">
            <v>166248</v>
          </cell>
        </row>
        <row r="2177">
          <cell r="A2177" t="str">
            <v>5200|434013</v>
          </cell>
          <cell r="B2177" t="str">
            <v>5200</v>
          </cell>
          <cell r="C2177">
            <v>434013</v>
          </cell>
          <cell r="D2177">
            <v>41426</v>
          </cell>
          <cell r="E2177">
            <v>16108191</v>
          </cell>
          <cell r="F2177">
            <v>8054096</v>
          </cell>
          <cell r="G2177">
            <v>15001608</v>
          </cell>
          <cell r="H2177">
            <v>1342350</v>
          </cell>
          <cell r="I2177">
            <v>2401952</v>
          </cell>
        </row>
        <row r="2178">
          <cell r="A2178" t="str">
            <v>5200|435000</v>
          </cell>
          <cell r="B2178" t="str">
            <v>5200</v>
          </cell>
          <cell r="C2178">
            <v>435000</v>
          </cell>
          <cell r="D2178">
            <v>41426</v>
          </cell>
          <cell r="E2178">
            <v>67391357</v>
          </cell>
          <cell r="F2178">
            <v>33695679</v>
          </cell>
          <cell r="G2178">
            <v>88594910</v>
          </cell>
          <cell r="H2178">
            <v>5615947</v>
          </cell>
          <cell r="I2178">
            <v>0</v>
          </cell>
        </row>
        <row r="2179">
          <cell r="A2179" t="str">
            <v>5200|435001</v>
          </cell>
          <cell r="B2179" t="str">
            <v>5200</v>
          </cell>
          <cell r="C2179">
            <v>435001</v>
          </cell>
          <cell r="D2179">
            <v>41426</v>
          </cell>
          <cell r="E2179">
            <v>65176174</v>
          </cell>
          <cell r="F2179">
            <v>32588087</v>
          </cell>
          <cell r="G2179">
            <v>68416018</v>
          </cell>
          <cell r="H2179">
            <v>5431348</v>
          </cell>
          <cell r="I2179">
            <v>0</v>
          </cell>
        </row>
        <row r="2180">
          <cell r="A2180" t="str">
            <v>5200|435002</v>
          </cell>
          <cell r="B2180" t="str">
            <v>5200</v>
          </cell>
          <cell r="C2180">
            <v>435002</v>
          </cell>
          <cell r="D2180">
            <v>41426</v>
          </cell>
          <cell r="E2180">
            <v>13626475</v>
          </cell>
          <cell r="F2180">
            <v>6813238</v>
          </cell>
          <cell r="G2180">
            <v>8551500</v>
          </cell>
          <cell r="H2180">
            <v>1135540</v>
          </cell>
          <cell r="I2180">
            <v>0</v>
          </cell>
        </row>
        <row r="2181">
          <cell r="A2181" t="str">
            <v>5200|435003</v>
          </cell>
          <cell r="B2181" t="str">
            <v>5200</v>
          </cell>
          <cell r="C2181">
            <v>435003</v>
          </cell>
          <cell r="D2181">
            <v>41426</v>
          </cell>
          <cell r="E2181">
            <v>87030097</v>
          </cell>
          <cell r="F2181">
            <v>43515049</v>
          </cell>
          <cell r="G2181">
            <v>144857500</v>
          </cell>
          <cell r="H2181">
            <v>7252509</v>
          </cell>
          <cell r="I2181">
            <v>0</v>
          </cell>
        </row>
        <row r="2182">
          <cell r="A2182" t="str">
            <v>5200|439000</v>
          </cell>
          <cell r="B2182" t="str">
            <v>5200</v>
          </cell>
          <cell r="C2182">
            <v>439000</v>
          </cell>
          <cell r="D2182">
            <v>41426</v>
          </cell>
          <cell r="E2182">
            <v>113227045</v>
          </cell>
          <cell r="F2182">
            <v>56613523</v>
          </cell>
          <cell r="G2182">
            <v>55238052</v>
          </cell>
          <cell r="H2182">
            <v>9435588</v>
          </cell>
          <cell r="I2182">
            <v>8867520</v>
          </cell>
        </row>
        <row r="2183">
          <cell r="A2183" t="str">
            <v>5200|439001</v>
          </cell>
          <cell r="B2183" t="str">
            <v>5200</v>
          </cell>
          <cell r="C2183">
            <v>439001</v>
          </cell>
          <cell r="D2183">
            <v>41426</v>
          </cell>
          <cell r="E2183">
            <v>124045697</v>
          </cell>
          <cell r="F2183">
            <v>62022849</v>
          </cell>
          <cell r="G2183">
            <v>60697573</v>
          </cell>
          <cell r="H2183">
            <v>10337142</v>
          </cell>
          <cell r="I2183">
            <v>10072086</v>
          </cell>
        </row>
        <row r="2184">
          <cell r="A2184" t="str">
            <v>5200|439003</v>
          </cell>
          <cell r="B2184" t="str">
            <v>5200</v>
          </cell>
          <cell r="C2184">
            <v>439003</v>
          </cell>
          <cell r="D2184">
            <v>41426</v>
          </cell>
          <cell r="E2184">
            <v>157799517</v>
          </cell>
          <cell r="F2184">
            <v>78899759</v>
          </cell>
          <cell r="G2184">
            <v>80292432</v>
          </cell>
          <cell r="H2184">
            <v>13149960</v>
          </cell>
          <cell r="I2184">
            <v>12890421</v>
          </cell>
        </row>
        <row r="2185">
          <cell r="A2185" t="str">
            <v>5200|439008</v>
          </cell>
          <cell r="B2185" t="str">
            <v>5200</v>
          </cell>
          <cell r="C2185">
            <v>439008</v>
          </cell>
          <cell r="D2185">
            <v>41426</v>
          </cell>
          <cell r="E2185">
            <v>16422063</v>
          </cell>
          <cell r="F2185">
            <v>8211032</v>
          </cell>
          <cell r="G2185">
            <v>9508951</v>
          </cell>
          <cell r="H2185">
            <v>1368506</v>
          </cell>
          <cell r="I2185">
            <v>1598254</v>
          </cell>
        </row>
        <row r="2186">
          <cell r="A2186" t="str">
            <v>5200|439100</v>
          </cell>
          <cell r="B2186" t="str">
            <v>5200</v>
          </cell>
          <cell r="C2186">
            <v>439100</v>
          </cell>
          <cell r="D2186">
            <v>41426</v>
          </cell>
          <cell r="E2186">
            <v>0</v>
          </cell>
          <cell r="F2186">
            <v>0</v>
          </cell>
          <cell r="G2186">
            <v>3000000</v>
          </cell>
          <cell r="H2186">
            <v>0</v>
          </cell>
          <cell r="I2186">
            <v>1000000</v>
          </cell>
        </row>
        <row r="2187">
          <cell r="A2187" t="str">
            <v>5200|439200</v>
          </cell>
          <cell r="B2187" t="str">
            <v>5200</v>
          </cell>
          <cell r="C2187">
            <v>439200</v>
          </cell>
          <cell r="D2187">
            <v>41426</v>
          </cell>
          <cell r="E2187">
            <v>1182750</v>
          </cell>
          <cell r="F2187">
            <v>591375</v>
          </cell>
          <cell r="G2187">
            <v>0</v>
          </cell>
          <cell r="H2187">
            <v>98562</v>
          </cell>
          <cell r="I2187">
            <v>0</v>
          </cell>
        </row>
        <row r="2188">
          <cell r="A2188" t="str">
            <v>5200|439201</v>
          </cell>
          <cell r="B2188" t="str">
            <v>5200</v>
          </cell>
          <cell r="C2188">
            <v>439201</v>
          </cell>
          <cell r="D2188">
            <v>41426</v>
          </cell>
          <cell r="E2188">
            <v>5760000</v>
          </cell>
          <cell r="F2188">
            <v>2880000</v>
          </cell>
          <cell r="G2188">
            <v>3125000</v>
          </cell>
          <cell r="H2188">
            <v>480000</v>
          </cell>
          <cell r="I2188">
            <v>500000</v>
          </cell>
        </row>
        <row r="2189">
          <cell r="A2189" t="str">
            <v>5200|439203</v>
          </cell>
          <cell r="B2189" t="str">
            <v>5200</v>
          </cell>
          <cell r="C2189">
            <v>439203</v>
          </cell>
          <cell r="D2189">
            <v>41426</v>
          </cell>
          <cell r="E2189">
            <v>0</v>
          </cell>
          <cell r="F2189">
            <v>0</v>
          </cell>
          <cell r="G2189">
            <v>69000</v>
          </cell>
          <cell r="H2189">
            <v>0</v>
          </cell>
          <cell r="I2189">
            <v>0</v>
          </cell>
        </row>
        <row r="2190">
          <cell r="A2190" t="str">
            <v>5200|440000</v>
          </cell>
          <cell r="B2190" t="str">
            <v>5200</v>
          </cell>
          <cell r="C2190">
            <v>440000</v>
          </cell>
          <cell r="D2190">
            <v>41426</v>
          </cell>
          <cell r="E2190">
            <v>60819233</v>
          </cell>
          <cell r="F2190">
            <v>30409617</v>
          </cell>
          <cell r="G2190">
            <v>28158097</v>
          </cell>
          <cell r="H2190">
            <v>5068270</v>
          </cell>
          <cell r="I2190">
            <v>3639834</v>
          </cell>
        </row>
        <row r="2191">
          <cell r="A2191" t="str">
            <v>5200|440001</v>
          </cell>
          <cell r="B2191" t="str">
            <v>5200</v>
          </cell>
          <cell r="C2191">
            <v>440001</v>
          </cell>
          <cell r="D2191">
            <v>41426</v>
          </cell>
          <cell r="E2191">
            <v>59128142</v>
          </cell>
          <cell r="F2191">
            <v>29564071</v>
          </cell>
          <cell r="G2191">
            <v>29527745</v>
          </cell>
          <cell r="H2191">
            <v>4927345</v>
          </cell>
          <cell r="I2191">
            <v>4783670</v>
          </cell>
        </row>
        <row r="2192">
          <cell r="A2192" t="str">
            <v>5200|440002</v>
          </cell>
          <cell r="B2192" t="str">
            <v>5200</v>
          </cell>
          <cell r="C2192">
            <v>440002</v>
          </cell>
          <cell r="D2192">
            <v>41426</v>
          </cell>
          <cell r="E2192">
            <v>6647061</v>
          </cell>
          <cell r="F2192">
            <v>3323531</v>
          </cell>
          <cell r="G2192">
            <v>3531249</v>
          </cell>
          <cell r="H2192">
            <v>553922</v>
          </cell>
          <cell r="I2192">
            <v>397619</v>
          </cell>
        </row>
        <row r="2193">
          <cell r="A2193" t="str">
            <v>5200|440003</v>
          </cell>
          <cell r="B2193" t="str">
            <v>5200</v>
          </cell>
          <cell r="C2193">
            <v>440003</v>
          </cell>
          <cell r="D2193">
            <v>41426</v>
          </cell>
          <cell r="E2193">
            <v>58020065</v>
          </cell>
          <cell r="F2193">
            <v>29010033</v>
          </cell>
          <cell r="G2193">
            <v>32971688</v>
          </cell>
          <cell r="H2193">
            <v>4835006</v>
          </cell>
          <cell r="I2193">
            <v>6780997</v>
          </cell>
        </row>
        <row r="2194">
          <cell r="A2194" t="str">
            <v>5200|446000</v>
          </cell>
          <cell r="B2194" t="str">
            <v>5200</v>
          </cell>
          <cell r="C2194">
            <v>446000</v>
          </cell>
          <cell r="D2194">
            <v>41426</v>
          </cell>
          <cell r="E2194">
            <v>20727157</v>
          </cell>
          <cell r="F2194">
            <v>10363579</v>
          </cell>
          <cell r="G2194">
            <v>15600000</v>
          </cell>
          <cell r="H2194">
            <v>1727264</v>
          </cell>
          <cell r="I2194">
            <v>2600000</v>
          </cell>
        </row>
        <row r="2195">
          <cell r="A2195" t="str">
            <v>5200|446001</v>
          </cell>
          <cell r="B2195" t="str">
            <v>5200</v>
          </cell>
          <cell r="C2195">
            <v>446001</v>
          </cell>
          <cell r="D2195">
            <v>41426</v>
          </cell>
          <cell r="E2195">
            <v>23516038</v>
          </cell>
          <cell r="F2195">
            <v>11758019</v>
          </cell>
          <cell r="G2195">
            <v>14200000</v>
          </cell>
          <cell r="H2195">
            <v>1959670</v>
          </cell>
          <cell r="I2195">
            <v>2300000</v>
          </cell>
        </row>
        <row r="2196">
          <cell r="A2196" t="str">
            <v>5200|446002</v>
          </cell>
          <cell r="B2196" t="str">
            <v>5200</v>
          </cell>
          <cell r="C2196">
            <v>446002</v>
          </cell>
          <cell r="D2196">
            <v>41426</v>
          </cell>
          <cell r="E2196">
            <v>3323530</v>
          </cell>
          <cell r="F2196">
            <v>1661765</v>
          </cell>
          <cell r="G2196">
            <v>1200000</v>
          </cell>
          <cell r="H2196">
            <v>276961</v>
          </cell>
          <cell r="I2196">
            <v>200000</v>
          </cell>
        </row>
        <row r="2197">
          <cell r="A2197" t="str">
            <v>5200|447000</v>
          </cell>
          <cell r="B2197" t="str">
            <v>5200</v>
          </cell>
          <cell r="C2197">
            <v>447000</v>
          </cell>
          <cell r="D2197">
            <v>41426</v>
          </cell>
          <cell r="E2197">
            <v>11458344</v>
          </cell>
          <cell r="F2197">
            <v>5729172</v>
          </cell>
          <cell r="G2197">
            <v>5781582</v>
          </cell>
          <cell r="H2197">
            <v>954862</v>
          </cell>
          <cell r="I2197">
            <v>963597</v>
          </cell>
        </row>
        <row r="2198">
          <cell r="A2198" t="str">
            <v>5200|447001</v>
          </cell>
          <cell r="B2198" t="str">
            <v>5200</v>
          </cell>
          <cell r="C2198">
            <v>447001</v>
          </cell>
          <cell r="D2198">
            <v>41426</v>
          </cell>
          <cell r="E2198">
            <v>11139742</v>
          </cell>
          <cell r="F2198">
            <v>5569871</v>
          </cell>
          <cell r="G2198">
            <v>4954578</v>
          </cell>
          <cell r="H2198">
            <v>928312</v>
          </cell>
          <cell r="I2198">
            <v>825763</v>
          </cell>
        </row>
        <row r="2199">
          <cell r="A2199" t="str">
            <v>5200|447002</v>
          </cell>
          <cell r="B2199" t="str">
            <v>5200</v>
          </cell>
          <cell r="C2199">
            <v>447002</v>
          </cell>
          <cell r="D2199">
            <v>41426</v>
          </cell>
          <cell r="E2199">
            <v>1252306</v>
          </cell>
          <cell r="F2199">
            <v>626153</v>
          </cell>
          <cell r="G2199">
            <v>655254</v>
          </cell>
          <cell r="H2199">
            <v>104359</v>
          </cell>
          <cell r="I2199">
            <v>109209</v>
          </cell>
        </row>
        <row r="2200">
          <cell r="A2200" t="str">
            <v>5200|447003</v>
          </cell>
          <cell r="B2200" t="str">
            <v>5200</v>
          </cell>
          <cell r="C2200">
            <v>447003</v>
          </cell>
          <cell r="D2200">
            <v>41426</v>
          </cell>
          <cell r="E2200">
            <v>10930416</v>
          </cell>
          <cell r="F2200">
            <v>5465208</v>
          </cell>
          <cell r="G2200">
            <v>6127620</v>
          </cell>
          <cell r="H2200">
            <v>910868</v>
          </cell>
          <cell r="I2200">
            <v>1021270</v>
          </cell>
        </row>
        <row r="2201">
          <cell r="A2201" t="str">
            <v>5200|447010</v>
          </cell>
          <cell r="B2201" t="str">
            <v>5200</v>
          </cell>
          <cell r="C2201">
            <v>447010</v>
          </cell>
          <cell r="D2201">
            <v>41426</v>
          </cell>
          <cell r="E2201">
            <v>27003740</v>
          </cell>
          <cell r="F2201">
            <v>13501870</v>
          </cell>
          <cell r="G2201">
            <v>13625310</v>
          </cell>
          <cell r="H2201">
            <v>2250312</v>
          </cell>
          <cell r="I2201">
            <v>2270885</v>
          </cell>
        </row>
        <row r="2202">
          <cell r="A2202" t="str">
            <v>5200|447011</v>
          </cell>
          <cell r="B2202" t="str">
            <v>5200</v>
          </cell>
          <cell r="C2202">
            <v>447011</v>
          </cell>
          <cell r="D2202">
            <v>41426</v>
          </cell>
          <cell r="E2202">
            <v>26252895</v>
          </cell>
          <cell r="F2202">
            <v>13126448</v>
          </cell>
          <cell r="G2202">
            <v>12718944</v>
          </cell>
          <cell r="H2202">
            <v>2187742</v>
          </cell>
          <cell r="I2202">
            <v>2119824</v>
          </cell>
        </row>
        <row r="2203">
          <cell r="A2203" t="str">
            <v>5200|447012</v>
          </cell>
          <cell r="B2203" t="str">
            <v>5200</v>
          </cell>
          <cell r="C2203">
            <v>447012</v>
          </cell>
          <cell r="D2203">
            <v>41426</v>
          </cell>
          <cell r="E2203">
            <v>2951295</v>
          </cell>
          <cell r="F2203">
            <v>1475648</v>
          </cell>
          <cell r="G2203">
            <v>1544232</v>
          </cell>
          <cell r="H2203">
            <v>245942</v>
          </cell>
          <cell r="I2203">
            <v>257372</v>
          </cell>
        </row>
        <row r="2204">
          <cell r="A2204" t="str">
            <v>5200|447013</v>
          </cell>
          <cell r="B2204" t="str">
            <v>5200</v>
          </cell>
          <cell r="C2204">
            <v>447013</v>
          </cell>
          <cell r="D2204">
            <v>41426</v>
          </cell>
          <cell r="E2204">
            <v>25760909</v>
          </cell>
          <cell r="F2204">
            <v>12880455</v>
          </cell>
          <cell r="G2204">
            <v>14440878</v>
          </cell>
          <cell r="H2204">
            <v>2146743</v>
          </cell>
          <cell r="I2204">
            <v>2406813</v>
          </cell>
        </row>
        <row r="2205">
          <cell r="A2205" t="str">
            <v>5200|447020</v>
          </cell>
          <cell r="B2205" t="str">
            <v>5200</v>
          </cell>
          <cell r="C2205">
            <v>447020</v>
          </cell>
          <cell r="D2205">
            <v>41426</v>
          </cell>
          <cell r="E2205">
            <v>1145834</v>
          </cell>
          <cell r="F2205">
            <v>572917</v>
          </cell>
          <cell r="G2205">
            <v>754073</v>
          </cell>
          <cell r="H2205">
            <v>95486</v>
          </cell>
          <cell r="I2205">
            <v>106375</v>
          </cell>
        </row>
        <row r="2206">
          <cell r="A2206" t="str">
            <v>5200|447021</v>
          </cell>
          <cell r="B2206" t="str">
            <v>5200</v>
          </cell>
          <cell r="C2206">
            <v>447021</v>
          </cell>
          <cell r="D2206">
            <v>41426</v>
          </cell>
          <cell r="E2206">
            <v>1113974</v>
          </cell>
          <cell r="F2206">
            <v>556987</v>
          </cell>
          <cell r="G2206">
            <v>596095</v>
          </cell>
          <cell r="H2206">
            <v>92831</v>
          </cell>
          <cell r="I2206">
            <v>83400</v>
          </cell>
        </row>
        <row r="2207">
          <cell r="A2207" t="str">
            <v>5200|447022</v>
          </cell>
          <cell r="B2207" t="str">
            <v>5200</v>
          </cell>
          <cell r="C2207">
            <v>447022</v>
          </cell>
          <cell r="D2207">
            <v>41426</v>
          </cell>
          <cell r="E2207">
            <v>125231</v>
          </cell>
          <cell r="F2207">
            <v>62616</v>
          </cell>
          <cell r="G2207">
            <v>110100</v>
          </cell>
          <cell r="H2207">
            <v>10436</v>
          </cell>
          <cell r="I2207">
            <v>18150</v>
          </cell>
        </row>
        <row r="2208">
          <cell r="A2208" t="str">
            <v>5200|447023</v>
          </cell>
          <cell r="B2208" t="str">
            <v>5200</v>
          </cell>
          <cell r="C2208">
            <v>447023</v>
          </cell>
          <cell r="D2208">
            <v>41426</v>
          </cell>
          <cell r="E2208">
            <v>904566</v>
          </cell>
          <cell r="F2208">
            <v>452283</v>
          </cell>
          <cell r="G2208">
            <v>1465480</v>
          </cell>
          <cell r="H2208">
            <v>75380</v>
          </cell>
          <cell r="I2208">
            <v>244500</v>
          </cell>
        </row>
        <row r="2209">
          <cell r="A2209" t="str">
            <v>5200|448000</v>
          </cell>
          <cell r="B2209" t="str">
            <v>5200</v>
          </cell>
          <cell r="C2209">
            <v>448000</v>
          </cell>
          <cell r="D2209">
            <v>41426</v>
          </cell>
          <cell r="E2209">
            <v>65401364</v>
          </cell>
          <cell r="F2209">
            <v>32700682</v>
          </cell>
          <cell r="G2209">
            <v>36347640</v>
          </cell>
          <cell r="H2209">
            <v>5450114</v>
          </cell>
          <cell r="I2209">
            <v>1633100</v>
          </cell>
        </row>
        <row r="2210">
          <cell r="A2210" t="str">
            <v>5200|448001</v>
          </cell>
          <cell r="B2210" t="str">
            <v>5200</v>
          </cell>
          <cell r="C2210">
            <v>448001</v>
          </cell>
          <cell r="D2210">
            <v>41426</v>
          </cell>
          <cell r="E2210">
            <v>58386364</v>
          </cell>
          <cell r="F2210">
            <v>29193182</v>
          </cell>
          <cell r="G2210">
            <v>22379215</v>
          </cell>
          <cell r="H2210">
            <v>4865530</v>
          </cell>
          <cell r="I2210">
            <v>6847850</v>
          </cell>
        </row>
        <row r="2211">
          <cell r="A2211" t="str">
            <v>5200|448002</v>
          </cell>
          <cell r="B2211" t="str">
            <v>5200</v>
          </cell>
          <cell r="C2211">
            <v>448002</v>
          </cell>
          <cell r="D2211">
            <v>41426</v>
          </cell>
          <cell r="E2211">
            <v>5967791</v>
          </cell>
          <cell r="F2211">
            <v>2983896</v>
          </cell>
          <cell r="G2211">
            <v>2772000</v>
          </cell>
          <cell r="H2211">
            <v>497316</v>
          </cell>
          <cell r="I2211">
            <v>125000</v>
          </cell>
        </row>
        <row r="2212">
          <cell r="A2212" t="str">
            <v>5200|448003</v>
          </cell>
          <cell r="B2212" t="str">
            <v>5200</v>
          </cell>
          <cell r="C2212">
            <v>448003</v>
          </cell>
          <cell r="D2212">
            <v>41426</v>
          </cell>
          <cell r="E2212">
            <v>42437260</v>
          </cell>
          <cell r="F2212">
            <v>21218630</v>
          </cell>
          <cell r="G2212">
            <v>15435970</v>
          </cell>
          <cell r="H2212">
            <v>3536438</v>
          </cell>
          <cell r="I2212">
            <v>1552300</v>
          </cell>
        </row>
        <row r="2213">
          <cell r="A2213" t="str">
            <v>5200|449020</v>
          </cell>
          <cell r="B2213" t="str">
            <v>5200</v>
          </cell>
          <cell r="C2213">
            <v>449020</v>
          </cell>
          <cell r="D2213">
            <v>41426</v>
          </cell>
          <cell r="E2213">
            <v>55440000</v>
          </cell>
          <cell r="F2213">
            <v>27720000</v>
          </cell>
          <cell r="G2213">
            <v>42498000</v>
          </cell>
          <cell r="H2213">
            <v>4620000</v>
          </cell>
          <cell r="I2213">
            <v>6333000</v>
          </cell>
        </row>
        <row r="2214">
          <cell r="A2214" t="str">
            <v>5200|449022</v>
          </cell>
          <cell r="B2214" t="str">
            <v>5200</v>
          </cell>
          <cell r="C2214">
            <v>449022</v>
          </cell>
          <cell r="D2214">
            <v>41426</v>
          </cell>
          <cell r="E2214">
            <v>3960000</v>
          </cell>
          <cell r="F2214">
            <v>1980000</v>
          </cell>
          <cell r="G2214">
            <v>2797000</v>
          </cell>
          <cell r="H2214">
            <v>330000</v>
          </cell>
          <cell r="I2214">
            <v>369000</v>
          </cell>
        </row>
        <row r="2215">
          <cell r="A2215" t="str">
            <v>5200|449023</v>
          </cell>
          <cell r="B2215" t="str">
            <v>5200</v>
          </cell>
          <cell r="C2215">
            <v>449023</v>
          </cell>
          <cell r="D2215">
            <v>41426</v>
          </cell>
          <cell r="E2215">
            <v>41316000</v>
          </cell>
          <cell r="F2215">
            <v>20658000</v>
          </cell>
          <cell r="G2215">
            <v>25202000</v>
          </cell>
          <cell r="H2215">
            <v>3443000</v>
          </cell>
          <cell r="I2215">
            <v>4067000</v>
          </cell>
        </row>
        <row r="2216">
          <cell r="A2216" t="str">
            <v>5200|449025</v>
          </cell>
          <cell r="B2216" t="str">
            <v>5200</v>
          </cell>
          <cell r="C2216">
            <v>449025</v>
          </cell>
          <cell r="D2216">
            <v>41426</v>
          </cell>
          <cell r="E2216">
            <v>43560000</v>
          </cell>
          <cell r="F2216">
            <v>21780000</v>
          </cell>
          <cell r="G2216">
            <v>25976000</v>
          </cell>
          <cell r="H2216">
            <v>3630000</v>
          </cell>
          <cell r="I2216">
            <v>3849000</v>
          </cell>
        </row>
        <row r="2217">
          <cell r="A2217" t="str">
            <v>5200|449032</v>
          </cell>
          <cell r="B2217" t="str">
            <v>5200</v>
          </cell>
          <cell r="C2217">
            <v>449032</v>
          </cell>
          <cell r="D2217">
            <v>41426</v>
          </cell>
          <cell r="E2217">
            <v>4172100</v>
          </cell>
          <cell r="F2217">
            <v>2086050</v>
          </cell>
          <cell r="G2217">
            <v>0</v>
          </cell>
          <cell r="H2217">
            <v>347675</v>
          </cell>
          <cell r="I2217">
            <v>0</v>
          </cell>
        </row>
        <row r="2218">
          <cell r="A2218" t="str">
            <v>5200|449040</v>
          </cell>
          <cell r="B2218" t="str">
            <v>5200</v>
          </cell>
          <cell r="C2218">
            <v>449040</v>
          </cell>
          <cell r="D2218">
            <v>41426</v>
          </cell>
          <cell r="E2218">
            <v>0</v>
          </cell>
          <cell r="F2218">
            <v>0</v>
          </cell>
          <cell r="G2218">
            <v>507000</v>
          </cell>
          <cell r="H2218">
            <v>0</v>
          </cell>
          <cell r="I2218">
            <v>0</v>
          </cell>
        </row>
        <row r="2219">
          <cell r="A2219" t="str">
            <v>5200|449050</v>
          </cell>
          <cell r="B2219" t="str">
            <v>5200</v>
          </cell>
          <cell r="C2219">
            <v>449050</v>
          </cell>
          <cell r="D2219">
            <v>41426</v>
          </cell>
          <cell r="E2219">
            <v>26907540</v>
          </cell>
          <cell r="F2219">
            <v>13453770</v>
          </cell>
          <cell r="G2219">
            <v>14799982</v>
          </cell>
          <cell r="H2219">
            <v>2242295</v>
          </cell>
          <cell r="I2219">
            <v>2466667</v>
          </cell>
        </row>
        <row r="2220">
          <cell r="A2220" t="str">
            <v>5200|449060</v>
          </cell>
          <cell r="B2220" t="str">
            <v>5200</v>
          </cell>
          <cell r="C2220">
            <v>449060</v>
          </cell>
          <cell r="D2220">
            <v>41426</v>
          </cell>
          <cell r="E2220">
            <v>1900000</v>
          </cell>
          <cell r="F2220">
            <v>950000</v>
          </cell>
          <cell r="G2220">
            <v>605089</v>
          </cell>
          <cell r="H2220">
            <v>158333</v>
          </cell>
          <cell r="I2220">
            <v>0</v>
          </cell>
        </row>
        <row r="2221">
          <cell r="A2221" t="str">
            <v>5200|449061</v>
          </cell>
          <cell r="B2221" t="str">
            <v>5200</v>
          </cell>
          <cell r="C2221">
            <v>449061</v>
          </cell>
          <cell r="D2221">
            <v>41426</v>
          </cell>
          <cell r="E2221">
            <v>23650107</v>
          </cell>
          <cell r="F2221">
            <v>11825054</v>
          </cell>
          <cell r="G2221">
            <v>2448000</v>
          </cell>
          <cell r="H2221">
            <v>1970843</v>
          </cell>
          <cell r="I2221">
            <v>352000</v>
          </cell>
        </row>
        <row r="2222">
          <cell r="A2222" t="str">
            <v>5200|451000</v>
          </cell>
          <cell r="B2222" t="str">
            <v>5200</v>
          </cell>
          <cell r="C2222">
            <v>451000</v>
          </cell>
          <cell r="D2222">
            <v>41426</v>
          </cell>
          <cell r="E2222">
            <v>365647600</v>
          </cell>
          <cell r="F2222">
            <v>182823800</v>
          </cell>
          <cell r="G2222">
            <v>177124549</v>
          </cell>
          <cell r="H2222">
            <v>30470633</v>
          </cell>
          <cell r="I2222">
            <v>-13382563</v>
          </cell>
        </row>
        <row r="2223">
          <cell r="A2223" t="str">
            <v>5200|451001</v>
          </cell>
          <cell r="B2223" t="str">
            <v>5200</v>
          </cell>
          <cell r="C2223">
            <v>451001</v>
          </cell>
          <cell r="D2223">
            <v>41426</v>
          </cell>
          <cell r="E2223">
            <v>620000000</v>
          </cell>
          <cell r="F2223">
            <v>310000000</v>
          </cell>
          <cell r="G2223">
            <v>259538875</v>
          </cell>
          <cell r="H2223">
            <v>51666667</v>
          </cell>
          <cell r="I2223">
            <v>64931075</v>
          </cell>
        </row>
        <row r="2224">
          <cell r="A2224" t="str">
            <v>5200|452000</v>
          </cell>
          <cell r="B2224" t="str">
            <v>5200</v>
          </cell>
          <cell r="C2224">
            <v>452000</v>
          </cell>
          <cell r="D2224">
            <v>41426</v>
          </cell>
          <cell r="E2224">
            <v>321000000</v>
          </cell>
          <cell r="F2224">
            <v>160500000</v>
          </cell>
          <cell r="G2224">
            <v>73877125</v>
          </cell>
          <cell r="H2224">
            <v>26750000</v>
          </cell>
          <cell r="I2224">
            <v>-71062500</v>
          </cell>
        </row>
        <row r="2225">
          <cell r="A2225" t="str">
            <v>5200|455000</v>
          </cell>
          <cell r="B2225" t="str">
            <v>5200</v>
          </cell>
          <cell r="C2225">
            <v>455000</v>
          </cell>
          <cell r="D2225">
            <v>41426</v>
          </cell>
          <cell r="E2225">
            <v>42000000</v>
          </cell>
          <cell r="F2225">
            <v>21000000</v>
          </cell>
          <cell r="G2225">
            <v>23426405</v>
          </cell>
          <cell r="H2225">
            <v>3500000</v>
          </cell>
          <cell r="I2225">
            <v>1788750</v>
          </cell>
        </row>
        <row r="2226">
          <cell r="A2226" t="str">
            <v>5200|455001</v>
          </cell>
          <cell r="B2226" t="str">
            <v>5200</v>
          </cell>
          <cell r="C2226">
            <v>455001</v>
          </cell>
          <cell r="D2226">
            <v>41426</v>
          </cell>
          <cell r="E2226">
            <v>25000000</v>
          </cell>
          <cell r="F2226">
            <v>12500000</v>
          </cell>
          <cell r="G2226">
            <v>8255699</v>
          </cell>
          <cell r="H2226">
            <v>2083333</v>
          </cell>
          <cell r="I2226">
            <v>0</v>
          </cell>
        </row>
        <row r="2227">
          <cell r="A2227" t="str">
            <v>5200|455002</v>
          </cell>
          <cell r="B2227" t="str">
            <v>5200</v>
          </cell>
          <cell r="C2227">
            <v>455002</v>
          </cell>
          <cell r="D2227">
            <v>41426</v>
          </cell>
          <cell r="E2227">
            <v>2000000</v>
          </cell>
          <cell r="F2227">
            <v>1000000</v>
          </cell>
          <cell r="G2227">
            <v>0</v>
          </cell>
          <cell r="H2227">
            <v>166667</v>
          </cell>
          <cell r="I2227">
            <v>0</v>
          </cell>
        </row>
        <row r="2228">
          <cell r="A2228" t="str">
            <v>5200|470101</v>
          </cell>
          <cell r="B2228" t="str">
            <v>5200</v>
          </cell>
          <cell r="C2228">
            <v>470101</v>
          </cell>
          <cell r="D2228">
            <v>41426</v>
          </cell>
          <cell r="E2228">
            <v>267126</v>
          </cell>
          <cell r="F2228">
            <v>133563</v>
          </cell>
          <cell r="G2228">
            <v>-53900</v>
          </cell>
          <cell r="H2228">
            <v>22260</v>
          </cell>
          <cell r="I2228">
            <v>-53900</v>
          </cell>
        </row>
        <row r="2229">
          <cell r="A2229" t="str">
            <v>5200|470102</v>
          </cell>
          <cell r="B2229" t="str">
            <v>5200</v>
          </cell>
          <cell r="C2229">
            <v>470102</v>
          </cell>
          <cell r="D2229">
            <v>41426</v>
          </cell>
          <cell r="E2229">
            <v>1007448</v>
          </cell>
          <cell r="F2229">
            <v>503724</v>
          </cell>
          <cell r="G2229">
            <v>5824232</v>
          </cell>
          <cell r="H2229">
            <v>83954</v>
          </cell>
          <cell r="I2229">
            <v>2075300</v>
          </cell>
        </row>
        <row r="2230">
          <cell r="A2230" t="str">
            <v>5200|471000</v>
          </cell>
          <cell r="B2230" t="str">
            <v>5200</v>
          </cell>
          <cell r="C2230">
            <v>471000</v>
          </cell>
          <cell r="D2230">
            <v>41426</v>
          </cell>
          <cell r="E2230">
            <v>26792151</v>
          </cell>
          <cell r="F2230">
            <v>13396076</v>
          </cell>
          <cell r="G2230">
            <v>10819440</v>
          </cell>
          <cell r="H2230">
            <v>2232680</v>
          </cell>
          <cell r="I2230">
            <v>2202680</v>
          </cell>
        </row>
        <row r="2231">
          <cell r="A2231" t="str">
            <v>5200|473120</v>
          </cell>
          <cell r="B2231" t="str">
            <v>5200</v>
          </cell>
          <cell r="C2231">
            <v>473120</v>
          </cell>
          <cell r="D2231">
            <v>41426</v>
          </cell>
          <cell r="E2231">
            <v>15678842</v>
          </cell>
          <cell r="F2231">
            <v>7839421</v>
          </cell>
          <cell r="G2231">
            <v>8953305</v>
          </cell>
          <cell r="H2231">
            <v>1306570</v>
          </cell>
          <cell r="I2231">
            <v>1953205</v>
          </cell>
        </row>
        <row r="2232">
          <cell r="A2232" t="str">
            <v>5200|475001</v>
          </cell>
          <cell r="B2232" t="str">
            <v>5200</v>
          </cell>
          <cell r="C2232">
            <v>475001</v>
          </cell>
          <cell r="D2232">
            <v>41426</v>
          </cell>
          <cell r="E2232">
            <v>0</v>
          </cell>
          <cell r="F2232">
            <v>0</v>
          </cell>
          <cell r="G2232">
            <v>2184100</v>
          </cell>
          <cell r="H2232">
            <v>0</v>
          </cell>
          <cell r="I2232">
            <v>0</v>
          </cell>
        </row>
        <row r="2233">
          <cell r="A2233" t="str">
            <v>5200|475006</v>
          </cell>
          <cell r="B2233" t="str">
            <v>5200</v>
          </cell>
          <cell r="C2233">
            <v>475006</v>
          </cell>
          <cell r="D2233">
            <v>41426</v>
          </cell>
          <cell r="E2233">
            <v>2560352</v>
          </cell>
          <cell r="F2233">
            <v>1280176</v>
          </cell>
          <cell r="G2233">
            <v>1107187</v>
          </cell>
          <cell r="H2233">
            <v>213363</v>
          </cell>
          <cell r="I2233">
            <v>184531</v>
          </cell>
        </row>
        <row r="2234">
          <cell r="A2234" t="str">
            <v>5200|476000</v>
          </cell>
          <cell r="B2234" t="str">
            <v>5200</v>
          </cell>
          <cell r="C2234">
            <v>476000</v>
          </cell>
          <cell r="D2234">
            <v>41426</v>
          </cell>
          <cell r="E2234">
            <v>27446964</v>
          </cell>
          <cell r="F2234">
            <v>13723482</v>
          </cell>
          <cell r="G2234">
            <v>14470199</v>
          </cell>
          <cell r="H2234">
            <v>2287247</v>
          </cell>
          <cell r="I2234">
            <v>0</v>
          </cell>
        </row>
        <row r="2235">
          <cell r="A2235" t="str">
            <v>5200|476001</v>
          </cell>
          <cell r="B2235" t="str">
            <v>5200</v>
          </cell>
          <cell r="C2235">
            <v>476001</v>
          </cell>
          <cell r="D2235">
            <v>41426</v>
          </cell>
          <cell r="E2235">
            <v>43901</v>
          </cell>
          <cell r="F2235">
            <v>21951</v>
          </cell>
          <cell r="G2235">
            <v>89000</v>
          </cell>
          <cell r="H2235">
            <v>3659</v>
          </cell>
          <cell r="I2235">
            <v>0</v>
          </cell>
        </row>
        <row r="2236">
          <cell r="A2236" t="str">
            <v>5200|476220</v>
          </cell>
          <cell r="B2236" t="str">
            <v>5200</v>
          </cell>
          <cell r="C2236">
            <v>476220</v>
          </cell>
          <cell r="D2236">
            <v>41426</v>
          </cell>
          <cell r="E2236">
            <v>6249323</v>
          </cell>
          <cell r="F2236">
            <v>3124662</v>
          </cell>
          <cell r="G2236">
            <v>1000000</v>
          </cell>
          <cell r="H2236">
            <v>520777</v>
          </cell>
          <cell r="I2236">
            <v>0</v>
          </cell>
        </row>
        <row r="2237">
          <cell r="A2237" t="str">
            <v>5200|476223</v>
          </cell>
          <cell r="B2237" t="str">
            <v>5200</v>
          </cell>
          <cell r="C2237">
            <v>476223</v>
          </cell>
          <cell r="D2237">
            <v>41426</v>
          </cell>
          <cell r="E2237">
            <v>186000000</v>
          </cell>
          <cell r="F2237">
            <v>93000000</v>
          </cell>
          <cell r="G2237">
            <v>55045000</v>
          </cell>
          <cell r="H2237">
            <v>15500000</v>
          </cell>
          <cell r="I2237">
            <v>11000000</v>
          </cell>
        </row>
        <row r="2238">
          <cell r="A2238" t="str">
            <v>5400|211100</v>
          </cell>
          <cell r="B2238" t="str">
            <v>5400</v>
          </cell>
          <cell r="C2238">
            <v>211100</v>
          </cell>
          <cell r="D2238">
            <v>41426</v>
          </cell>
          <cell r="E2238">
            <v>400000000</v>
          </cell>
          <cell r="F2238">
            <v>200000000</v>
          </cell>
          <cell r="G2238">
            <v>0</v>
          </cell>
          <cell r="H2238">
            <v>33333333</v>
          </cell>
          <cell r="I2238">
            <v>0</v>
          </cell>
        </row>
        <row r="2239">
          <cell r="A2239" t="str">
            <v>5400|211104</v>
          </cell>
          <cell r="B2239" t="str">
            <v>5400</v>
          </cell>
          <cell r="C2239">
            <v>211104</v>
          </cell>
          <cell r="D2239">
            <v>41426</v>
          </cell>
          <cell r="E2239">
            <v>37938144</v>
          </cell>
          <cell r="F2239">
            <v>18969072</v>
          </cell>
          <cell r="G2239">
            <v>24726916</v>
          </cell>
          <cell r="H2239">
            <v>3161512</v>
          </cell>
          <cell r="I2239">
            <v>4110299</v>
          </cell>
        </row>
        <row r="2240">
          <cell r="A2240" t="str">
            <v>5400|400040</v>
          </cell>
          <cell r="B2240" t="str">
            <v>5400</v>
          </cell>
          <cell r="C2240">
            <v>400040</v>
          </cell>
          <cell r="D2240">
            <v>41426</v>
          </cell>
          <cell r="E2240">
            <v>13000000</v>
          </cell>
          <cell r="F2240">
            <v>6500000</v>
          </cell>
          <cell r="G2240">
            <v>10858457</v>
          </cell>
          <cell r="H2240">
            <v>1083333</v>
          </cell>
          <cell r="I2240">
            <v>865486</v>
          </cell>
        </row>
        <row r="2241">
          <cell r="A2241" t="str">
            <v>5400|405251</v>
          </cell>
          <cell r="B2241" t="str">
            <v>5400</v>
          </cell>
          <cell r="C2241">
            <v>405251</v>
          </cell>
          <cell r="D2241">
            <v>41426</v>
          </cell>
          <cell r="E2241">
            <v>5600000</v>
          </cell>
          <cell r="F2241">
            <v>2800000</v>
          </cell>
          <cell r="G2241">
            <v>-308432092</v>
          </cell>
          <cell r="H2241">
            <v>466667</v>
          </cell>
          <cell r="I2241">
            <v>-329884164</v>
          </cell>
        </row>
        <row r="2242">
          <cell r="A2242" t="str">
            <v>5400|405252</v>
          </cell>
          <cell r="B2242" t="str">
            <v>5400</v>
          </cell>
          <cell r="C2242">
            <v>405252</v>
          </cell>
          <cell r="D2242">
            <v>41426</v>
          </cell>
          <cell r="E2242">
            <v>974500000</v>
          </cell>
          <cell r="F2242">
            <v>487250000</v>
          </cell>
          <cell r="G2242">
            <v>-84250769</v>
          </cell>
          <cell r="H2242">
            <v>81208333</v>
          </cell>
          <cell r="I2242">
            <v>-12098087</v>
          </cell>
        </row>
        <row r="2243">
          <cell r="A2243" t="str">
            <v>5400|420001</v>
          </cell>
          <cell r="B2243" t="str">
            <v>5400</v>
          </cell>
          <cell r="C2243">
            <v>420001</v>
          </cell>
          <cell r="D2243">
            <v>41426</v>
          </cell>
          <cell r="E2243">
            <v>139795920</v>
          </cell>
          <cell r="F2243">
            <v>69897960</v>
          </cell>
          <cell r="G2243">
            <v>69006000</v>
          </cell>
          <cell r="H2243">
            <v>11649660</v>
          </cell>
          <cell r="I2243">
            <v>11501000</v>
          </cell>
        </row>
        <row r="2244">
          <cell r="A2244" t="str">
            <v>5400|420002</v>
          </cell>
          <cell r="B2244" t="str">
            <v>5400</v>
          </cell>
          <cell r="C2244">
            <v>420002</v>
          </cell>
          <cell r="D2244">
            <v>41426</v>
          </cell>
          <cell r="E2244">
            <v>558353122</v>
          </cell>
          <cell r="F2244">
            <v>279176561</v>
          </cell>
          <cell r="G2244">
            <v>164935500</v>
          </cell>
          <cell r="H2244">
            <v>46529427</v>
          </cell>
          <cell r="I2244">
            <v>24719500</v>
          </cell>
        </row>
        <row r="2245">
          <cell r="A2245" t="str">
            <v>5400|420003</v>
          </cell>
          <cell r="B2245" t="str">
            <v>5400</v>
          </cell>
          <cell r="C2245">
            <v>420003</v>
          </cell>
          <cell r="D2245">
            <v>41426</v>
          </cell>
          <cell r="E2245">
            <v>843147477</v>
          </cell>
          <cell r="F2245">
            <v>421573739</v>
          </cell>
          <cell r="G2245">
            <v>397788247</v>
          </cell>
          <cell r="H2245">
            <v>70262290</v>
          </cell>
          <cell r="I2245">
            <v>68984511</v>
          </cell>
        </row>
        <row r="2246">
          <cell r="A2246" t="str">
            <v>5400|422001</v>
          </cell>
          <cell r="B2246" t="str">
            <v>5400</v>
          </cell>
          <cell r="C2246">
            <v>422001</v>
          </cell>
          <cell r="D2246">
            <v>41426</v>
          </cell>
          <cell r="E2246">
            <v>207900</v>
          </cell>
          <cell r="F2246">
            <v>103950</v>
          </cell>
          <cell r="G2246">
            <v>155450</v>
          </cell>
          <cell r="H2246">
            <v>17325</v>
          </cell>
          <cell r="I2246">
            <v>0</v>
          </cell>
        </row>
        <row r="2247">
          <cell r="A2247" t="str">
            <v>5400|422002</v>
          </cell>
          <cell r="B2247" t="str">
            <v>5400</v>
          </cell>
          <cell r="C2247">
            <v>422002</v>
          </cell>
          <cell r="D2247">
            <v>41426</v>
          </cell>
          <cell r="E2247">
            <v>28620</v>
          </cell>
          <cell r="F2247">
            <v>14310</v>
          </cell>
          <cell r="G2247">
            <v>0</v>
          </cell>
          <cell r="H2247">
            <v>2385</v>
          </cell>
          <cell r="I2247">
            <v>0</v>
          </cell>
        </row>
        <row r="2248">
          <cell r="A2248" t="str">
            <v>5400|422003</v>
          </cell>
          <cell r="B2248" t="str">
            <v>5400</v>
          </cell>
          <cell r="C2248">
            <v>422003</v>
          </cell>
          <cell r="D2248">
            <v>41426</v>
          </cell>
          <cell r="E2248">
            <v>1547910</v>
          </cell>
          <cell r="F2248">
            <v>773955</v>
          </cell>
          <cell r="G2248">
            <v>365850</v>
          </cell>
          <cell r="H2248">
            <v>128992</v>
          </cell>
          <cell r="I2248">
            <v>0</v>
          </cell>
        </row>
        <row r="2249">
          <cell r="A2249" t="str">
            <v>5400|431000</v>
          </cell>
          <cell r="B2249" t="str">
            <v>5400</v>
          </cell>
          <cell r="C2249">
            <v>431000</v>
          </cell>
          <cell r="D2249">
            <v>41426</v>
          </cell>
          <cell r="E2249">
            <v>500000</v>
          </cell>
          <cell r="F2249">
            <v>250000</v>
          </cell>
          <cell r="G2249">
            <v>10527790</v>
          </cell>
          <cell r="H2249">
            <v>41667</v>
          </cell>
          <cell r="I2249">
            <v>4927831</v>
          </cell>
        </row>
        <row r="2250">
          <cell r="A2250" t="str">
            <v>5400|431001</v>
          </cell>
          <cell r="B2250" t="str">
            <v>5400</v>
          </cell>
          <cell r="C2250">
            <v>431001</v>
          </cell>
          <cell r="D2250">
            <v>41426</v>
          </cell>
          <cell r="E2250">
            <v>15000000</v>
          </cell>
          <cell r="F2250">
            <v>7500000</v>
          </cell>
          <cell r="G2250">
            <v>13672020</v>
          </cell>
          <cell r="H2250">
            <v>1250000</v>
          </cell>
          <cell r="I2250">
            <v>0</v>
          </cell>
        </row>
        <row r="2251">
          <cell r="A2251" t="str">
            <v>5400|431002</v>
          </cell>
          <cell r="B2251" t="str">
            <v>5400</v>
          </cell>
          <cell r="C2251">
            <v>431002</v>
          </cell>
          <cell r="D2251">
            <v>41426</v>
          </cell>
          <cell r="E2251">
            <v>13372034</v>
          </cell>
          <cell r="F2251">
            <v>6686017</v>
          </cell>
          <cell r="G2251">
            <v>3205570</v>
          </cell>
          <cell r="H2251">
            <v>1114336</v>
          </cell>
          <cell r="I2251">
            <v>272791</v>
          </cell>
        </row>
        <row r="2252">
          <cell r="A2252" t="str">
            <v>5400|434011</v>
          </cell>
          <cell r="B2252" t="str">
            <v>5400</v>
          </cell>
          <cell r="C2252">
            <v>434011</v>
          </cell>
          <cell r="D2252">
            <v>41426</v>
          </cell>
          <cell r="E2252">
            <v>0</v>
          </cell>
          <cell r="F2252">
            <v>0</v>
          </cell>
          <cell r="G2252">
            <v>5003826</v>
          </cell>
          <cell r="H2252">
            <v>0</v>
          </cell>
          <cell r="I2252">
            <v>821288</v>
          </cell>
        </row>
        <row r="2253">
          <cell r="A2253" t="str">
            <v>5400|434012</v>
          </cell>
          <cell r="B2253" t="str">
            <v>5400</v>
          </cell>
          <cell r="C2253">
            <v>434012</v>
          </cell>
          <cell r="D2253">
            <v>41426</v>
          </cell>
          <cell r="E2253">
            <v>8746133</v>
          </cell>
          <cell r="F2253">
            <v>4373067</v>
          </cell>
          <cell r="G2253">
            <v>4431584</v>
          </cell>
          <cell r="H2253">
            <v>728845</v>
          </cell>
          <cell r="I2253">
            <v>664993</v>
          </cell>
        </row>
        <row r="2254">
          <cell r="A2254" t="str">
            <v>5400|434013</v>
          </cell>
          <cell r="B2254" t="str">
            <v>5400</v>
          </cell>
          <cell r="C2254">
            <v>434013</v>
          </cell>
          <cell r="D2254">
            <v>41426</v>
          </cell>
          <cell r="E2254">
            <v>16108191</v>
          </cell>
          <cell r="F2254">
            <v>8054096</v>
          </cell>
          <cell r="G2254">
            <v>18147545</v>
          </cell>
          <cell r="H2254">
            <v>1342350</v>
          </cell>
          <cell r="I2254">
            <v>3002440</v>
          </cell>
        </row>
        <row r="2255">
          <cell r="A2255" t="str">
            <v>5400|435001</v>
          </cell>
          <cell r="B2255" t="str">
            <v>5400</v>
          </cell>
          <cell r="C2255">
            <v>435001</v>
          </cell>
          <cell r="D2255">
            <v>41426</v>
          </cell>
          <cell r="E2255">
            <v>11649660</v>
          </cell>
          <cell r="F2255">
            <v>5824830</v>
          </cell>
          <cell r="G2255">
            <v>11448500</v>
          </cell>
          <cell r="H2255">
            <v>970805</v>
          </cell>
          <cell r="I2255">
            <v>0</v>
          </cell>
        </row>
        <row r="2256">
          <cell r="A2256" t="str">
            <v>5400|435002</v>
          </cell>
          <cell r="B2256" t="str">
            <v>5400</v>
          </cell>
          <cell r="C2256">
            <v>435002</v>
          </cell>
          <cell r="D2256">
            <v>41426</v>
          </cell>
          <cell r="E2256">
            <v>95385325</v>
          </cell>
          <cell r="F2256">
            <v>47692663</v>
          </cell>
          <cell r="G2256">
            <v>22210428</v>
          </cell>
          <cell r="H2256">
            <v>7948778</v>
          </cell>
          <cell r="I2256">
            <v>0</v>
          </cell>
        </row>
        <row r="2257">
          <cell r="A2257" t="str">
            <v>5400|435003</v>
          </cell>
          <cell r="B2257" t="str">
            <v>5400</v>
          </cell>
          <cell r="C2257">
            <v>435003</v>
          </cell>
          <cell r="D2257">
            <v>41426</v>
          </cell>
          <cell r="E2257">
            <v>105393435</v>
          </cell>
          <cell r="F2257">
            <v>52696718</v>
          </cell>
          <cell r="G2257">
            <v>130428000</v>
          </cell>
          <cell r="H2257">
            <v>8782787</v>
          </cell>
          <cell r="I2257">
            <v>0</v>
          </cell>
        </row>
        <row r="2258">
          <cell r="A2258" t="str">
            <v>5400|439001</v>
          </cell>
          <cell r="B2258" t="str">
            <v>5400</v>
          </cell>
          <cell r="C2258">
            <v>439001</v>
          </cell>
          <cell r="D2258">
            <v>41426</v>
          </cell>
          <cell r="E2258">
            <v>22553763</v>
          </cell>
          <cell r="F2258">
            <v>11276882</v>
          </cell>
          <cell r="G2258">
            <v>11035921</v>
          </cell>
          <cell r="H2258">
            <v>1879481</v>
          </cell>
          <cell r="I2258">
            <v>1831288</v>
          </cell>
        </row>
        <row r="2259">
          <cell r="A2259" t="str">
            <v>5400|439003</v>
          </cell>
          <cell r="B2259" t="str">
            <v>5400</v>
          </cell>
          <cell r="C2259">
            <v>439003</v>
          </cell>
          <cell r="D2259">
            <v>41426</v>
          </cell>
          <cell r="E2259">
            <v>197249396</v>
          </cell>
          <cell r="F2259">
            <v>98624698</v>
          </cell>
          <cell r="G2259">
            <v>97121591</v>
          </cell>
          <cell r="H2259">
            <v>16437450</v>
          </cell>
          <cell r="I2259">
            <v>16113026</v>
          </cell>
        </row>
        <row r="2260">
          <cell r="A2260" t="str">
            <v>5400|439008</v>
          </cell>
          <cell r="B2260" t="str">
            <v>5400</v>
          </cell>
          <cell r="C2260">
            <v>439008</v>
          </cell>
          <cell r="D2260">
            <v>41426</v>
          </cell>
          <cell r="E2260">
            <v>114954438</v>
          </cell>
          <cell r="F2260">
            <v>57477219</v>
          </cell>
          <cell r="G2260">
            <v>101645823</v>
          </cell>
          <cell r="H2260">
            <v>9579536</v>
          </cell>
          <cell r="I2260">
            <v>6393017</v>
          </cell>
        </row>
        <row r="2261">
          <cell r="A2261" t="str">
            <v>5400|440001</v>
          </cell>
          <cell r="B2261" t="str">
            <v>5400</v>
          </cell>
          <cell r="C2261">
            <v>440001</v>
          </cell>
          <cell r="D2261">
            <v>41426</v>
          </cell>
          <cell r="E2261">
            <v>11649660</v>
          </cell>
          <cell r="F2261">
            <v>5824830</v>
          </cell>
          <cell r="G2261">
            <v>5368682</v>
          </cell>
          <cell r="H2261">
            <v>970805</v>
          </cell>
          <cell r="I2261">
            <v>869758</v>
          </cell>
        </row>
        <row r="2262">
          <cell r="A2262" t="str">
            <v>5400|440002</v>
          </cell>
          <cell r="B2262" t="str">
            <v>5400</v>
          </cell>
          <cell r="C2262">
            <v>440002</v>
          </cell>
          <cell r="D2262">
            <v>41426</v>
          </cell>
          <cell r="E2262">
            <v>46529427</v>
          </cell>
          <cell r="F2262">
            <v>23264714</v>
          </cell>
          <cell r="G2262">
            <v>15720120</v>
          </cell>
          <cell r="H2262">
            <v>3877453</v>
          </cell>
          <cell r="I2262">
            <v>1590476</v>
          </cell>
        </row>
        <row r="2263">
          <cell r="A2263" t="str">
            <v>5400|440003</v>
          </cell>
          <cell r="B2263" t="str">
            <v>5400</v>
          </cell>
          <cell r="C2263">
            <v>440003</v>
          </cell>
          <cell r="D2263">
            <v>41426</v>
          </cell>
          <cell r="E2263">
            <v>70262290</v>
          </cell>
          <cell r="F2263">
            <v>35131145</v>
          </cell>
          <cell r="G2263">
            <v>38624111</v>
          </cell>
          <cell r="H2263">
            <v>5855191</v>
          </cell>
          <cell r="I2263">
            <v>8198874</v>
          </cell>
        </row>
        <row r="2264">
          <cell r="A2264" t="str">
            <v>5400|446001</v>
          </cell>
          <cell r="B2264" t="str">
            <v>5400</v>
          </cell>
          <cell r="C2264">
            <v>446001</v>
          </cell>
          <cell r="D2264">
            <v>41426</v>
          </cell>
          <cell r="E2264">
            <v>5824830</v>
          </cell>
          <cell r="F2264">
            <v>2912415</v>
          </cell>
          <cell r="G2264">
            <v>2700000</v>
          </cell>
          <cell r="H2264">
            <v>485402</v>
          </cell>
          <cell r="I2264">
            <v>450000</v>
          </cell>
        </row>
        <row r="2265">
          <cell r="A2265" t="str">
            <v>5400|446002</v>
          </cell>
          <cell r="B2265" t="str">
            <v>5400</v>
          </cell>
          <cell r="C2265">
            <v>446002</v>
          </cell>
          <cell r="D2265">
            <v>41426</v>
          </cell>
          <cell r="E2265">
            <v>34844713</v>
          </cell>
          <cell r="F2265">
            <v>17422357</v>
          </cell>
          <cell r="G2265">
            <v>1500000</v>
          </cell>
          <cell r="H2265">
            <v>2903727</v>
          </cell>
          <cell r="I2265">
            <v>50000</v>
          </cell>
        </row>
        <row r="2266">
          <cell r="A2266" t="str">
            <v>5400|447001</v>
          </cell>
          <cell r="B2266" t="str">
            <v>5400</v>
          </cell>
          <cell r="C2266">
            <v>447001</v>
          </cell>
          <cell r="D2266">
            <v>41426</v>
          </cell>
          <cell r="E2266">
            <v>2194796</v>
          </cell>
          <cell r="F2266">
            <v>1097398</v>
          </cell>
          <cell r="G2266">
            <v>1083396</v>
          </cell>
          <cell r="H2266">
            <v>182900</v>
          </cell>
          <cell r="I2266">
            <v>180566</v>
          </cell>
        </row>
        <row r="2267">
          <cell r="A2267" t="str">
            <v>5400|447002</v>
          </cell>
          <cell r="B2267" t="str">
            <v>5400</v>
          </cell>
          <cell r="C2267">
            <v>447002</v>
          </cell>
          <cell r="D2267">
            <v>41426</v>
          </cell>
          <cell r="E2267">
            <v>8766144</v>
          </cell>
          <cell r="F2267">
            <v>4383072</v>
          </cell>
          <cell r="G2267">
            <v>2589494</v>
          </cell>
          <cell r="H2267">
            <v>730512</v>
          </cell>
          <cell r="I2267">
            <v>388097</v>
          </cell>
        </row>
        <row r="2268">
          <cell r="A2268" t="str">
            <v>5400|447003</v>
          </cell>
          <cell r="B2268" t="str">
            <v>5400</v>
          </cell>
          <cell r="C2268">
            <v>447003</v>
          </cell>
          <cell r="D2268">
            <v>41426</v>
          </cell>
          <cell r="E2268">
            <v>13236474</v>
          </cell>
          <cell r="F2268">
            <v>6618237</v>
          </cell>
          <cell r="G2268">
            <v>6121233</v>
          </cell>
          <cell r="H2268">
            <v>1103039</v>
          </cell>
          <cell r="I2268">
            <v>1053322</v>
          </cell>
        </row>
        <row r="2269">
          <cell r="A2269" t="str">
            <v>5400|447011</v>
          </cell>
          <cell r="B2269" t="str">
            <v>5400</v>
          </cell>
          <cell r="C2269">
            <v>447011</v>
          </cell>
          <cell r="D2269">
            <v>41426</v>
          </cell>
          <cell r="E2269">
            <v>5172449</v>
          </cell>
          <cell r="F2269">
            <v>2586225</v>
          </cell>
          <cell r="G2269">
            <v>2553222</v>
          </cell>
          <cell r="H2269">
            <v>431038</v>
          </cell>
          <cell r="I2269">
            <v>425537</v>
          </cell>
        </row>
        <row r="2270">
          <cell r="A2270" t="str">
            <v>5400|447012</v>
          </cell>
          <cell r="B2270" t="str">
            <v>5400</v>
          </cell>
          <cell r="C2270">
            <v>447012</v>
          </cell>
          <cell r="D2270">
            <v>41426</v>
          </cell>
          <cell r="E2270">
            <v>20659066</v>
          </cell>
          <cell r="F2270">
            <v>10329533</v>
          </cell>
          <cell r="G2270">
            <v>6102617</v>
          </cell>
          <cell r="H2270">
            <v>1721589</v>
          </cell>
          <cell r="I2270">
            <v>914622</v>
          </cell>
        </row>
        <row r="2271">
          <cell r="A2271" t="str">
            <v>5400|447013</v>
          </cell>
          <cell r="B2271" t="str">
            <v>5400</v>
          </cell>
          <cell r="C2271">
            <v>447013</v>
          </cell>
          <cell r="D2271">
            <v>41426</v>
          </cell>
          <cell r="E2271">
            <v>31196457</v>
          </cell>
          <cell r="F2271">
            <v>15598229</v>
          </cell>
          <cell r="G2271">
            <v>14425828</v>
          </cell>
          <cell r="H2271">
            <v>2599705</v>
          </cell>
          <cell r="I2271">
            <v>2482350</v>
          </cell>
        </row>
        <row r="2272">
          <cell r="A2272" t="str">
            <v>5400|447021</v>
          </cell>
          <cell r="B2272" t="str">
            <v>5400</v>
          </cell>
          <cell r="C2272">
            <v>447021</v>
          </cell>
          <cell r="D2272">
            <v>41426</v>
          </cell>
          <cell r="E2272">
            <v>219480</v>
          </cell>
          <cell r="F2272">
            <v>109740</v>
          </cell>
          <cell r="G2272">
            <v>54004</v>
          </cell>
          <cell r="H2272">
            <v>18290</v>
          </cell>
          <cell r="I2272">
            <v>9000</v>
          </cell>
        </row>
        <row r="2273">
          <cell r="A2273" t="str">
            <v>5400|447022</v>
          </cell>
          <cell r="B2273" t="str">
            <v>5400</v>
          </cell>
          <cell r="C2273">
            <v>447022</v>
          </cell>
          <cell r="D2273">
            <v>41426</v>
          </cell>
          <cell r="E2273">
            <v>876614</v>
          </cell>
          <cell r="F2273">
            <v>438307</v>
          </cell>
          <cell r="G2273">
            <v>239727</v>
          </cell>
          <cell r="H2273">
            <v>73051</v>
          </cell>
          <cell r="I2273">
            <v>32995</v>
          </cell>
        </row>
        <row r="2274">
          <cell r="A2274" t="str">
            <v>5400|447023</v>
          </cell>
          <cell r="B2274" t="str">
            <v>5400</v>
          </cell>
          <cell r="C2274">
            <v>447023</v>
          </cell>
          <cell r="D2274">
            <v>41426</v>
          </cell>
          <cell r="E2274">
            <v>1095408</v>
          </cell>
          <cell r="F2274">
            <v>547704</v>
          </cell>
          <cell r="G2274">
            <v>1068782</v>
          </cell>
          <cell r="H2274">
            <v>91284</v>
          </cell>
          <cell r="I2274">
            <v>185250</v>
          </cell>
        </row>
        <row r="2275">
          <cell r="A2275" t="str">
            <v>5400|448001</v>
          </cell>
          <cell r="B2275" t="str">
            <v>5400</v>
          </cell>
          <cell r="C2275">
            <v>448001</v>
          </cell>
          <cell r="D2275">
            <v>41426</v>
          </cell>
          <cell r="E2275">
            <v>11935582</v>
          </cell>
          <cell r="F2275">
            <v>5967791</v>
          </cell>
          <cell r="G2275">
            <v>3385600</v>
          </cell>
          <cell r="H2275">
            <v>994632</v>
          </cell>
          <cell r="I2275">
            <v>218900</v>
          </cell>
        </row>
        <row r="2276">
          <cell r="A2276" t="str">
            <v>5400|448002</v>
          </cell>
          <cell r="B2276" t="str">
            <v>5400</v>
          </cell>
          <cell r="C2276">
            <v>448002</v>
          </cell>
          <cell r="D2276">
            <v>41426</v>
          </cell>
          <cell r="E2276">
            <v>41774536</v>
          </cell>
          <cell r="F2276">
            <v>20887268</v>
          </cell>
          <cell r="G2276">
            <v>53528830</v>
          </cell>
          <cell r="H2276">
            <v>3481211</v>
          </cell>
          <cell r="I2276">
            <v>380000</v>
          </cell>
        </row>
        <row r="2277">
          <cell r="A2277" t="str">
            <v>5400|448003</v>
          </cell>
          <cell r="B2277" t="str">
            <v>5400</v>
          </cell>
          <cell r="C2277">
            <v>448003</v>
          </cell>
          <cell r="D2277">
            <v>41426</v>
          </cell>
          <cell r="E2277">
            <v>51759536</v>
          </cell>
          <cell r="F2277">
            <v>25879768</v>
          </cell>
          <cell r="G2277">
            <v>21991430</v>
          </cell>
          <cell r="H2277">
            <v>4313295</v>
          </cell>
          <cell r="I2277">
            <v>3508800</v>
          </cell>
        </row>
        <row r="2278">
          <cell r="A2278" t="str">
            <v>5400|449022</v>
          </cell>
          <cell r="B2278" t="str">
            <v>5400</v>
          </cell>
          <cell r="C2278">
            <v>449022</v>
          </cell>
          <cell r="D2278">
            <v>41426</v>
          </cell>
          <cell r="E2278">
            <v>27720000</v>
          </cell>
          <cell r="F2278">
            <v>13860000</v>
          </cell>
          <cell r="G2278">
            <v>8805500</v>
          </cell>
          <cell r="H2278">
            <v>2310000</v>
          </cell>
          <cell r="I2278">
            <v>1326000</v>
          </cell>
        </row>
        <row r="2279">
          <cell r="A2279" t="str">
            <v>5400|449023</v>
          </cell>
          <cell r="B2279" t="str">
            <v>5400</v>
          </cell>
          <cell r="C2279">
            <v>449023</v>
          </cell>
          <cell r="D2279">
            <v>41426</v>
          </cell>
          <cell r="E2279">
            <v>45276000</v>
          </cell>
          <cell r="F2279">
            <v>22638000</v>
          </cell>
          <cell r="G2279">
            <v>26766000</v>
          </cell>
          <cell r="H2279">
            <v>3773000</v>
          </cell>
          <cell r="I2279">
            <v>4511000</v>
          </cell>
        </row>
        <row r="2280">
          <cell r="A2280" t="str">
            <v>5400|449025</v>
          </cell>
          <cell r="B2280" t="str">
            <v>5400</v>
          </cell>
          <cell r="C2280">
            <v>449025</v>
          </cell>
          <cell r="D2280">
            <v>41426</v>
          </cell>
          <cell r="E2280">
            <v>7920000</v>
          </cell>
          <cell r="F2280">
            <v>3960000</v>
          </cell>
          <cell r="G2280">
            <v>4114000</v>
          </cell>
          <cell r="H2280">
            <v>660000</v>
          </cell>
          <cell r="I2280">
            <v>595000</v>
          </cell>
        </row>
        <row r="2281">
          <cell r="A2281" t="str">
            <v>5400|449032</v>
          </cell>
          <cell r="B2281" t="str">
            <v>5400</v>
          </cell>
          <cell r="C2281">
            <v>449032</v>
          </cell>
          <cell r="D2281">
            <v>41426</v>
          </cell>
          <cell r="E2281">
            <v>12416474</v>
          </cell>
          <cell r="F2281">
            <v>6208237</v>
          </cell>
          <cell r="G2281">
            <v>0</v>
          </cell>
          <cell r="H2281">
            <v>1034706</v>
          </cell>
          <cell r="I2281">
            <v>0</v>
          </cell>
        </row>
        <row r="2282">
          <cell r="A2282" t="str">
            <v>5400|449050</v>
          </cell>
          <cell r="B2282" t="str">
            <v>5400</v>
          </cell>
          <cell r="C2282">
            <v>449050</v>
          </cell>
          <cell r="D2282">
            <v>41426</v>
          </cell>
          <cell r="E2282">
            <v>49931500</v>
          </cell>
          <cell r="F2282">
            <v>24965750</v>
          </cell>
          <cell r="G2282">
            <v>27066630</v>
          </cell>
          <cell r="H2282">
            <v>4160958</v>
          </cell>
          <cell r="I2282">
            <v>5533334</v>
          </cell>
        </row>
        <row r="2283">
          <cell r="A2283" t="str">
            <v>5400|449060</v>
          </cell>
          <cell r="B2283" t="str">
            <v>5400</v>
          </cell>
          <cell r="C2283">
            <v>449060</v>
          </cell>
          <cell r="D2283">
            <v>41426</v>
          </cell>
          <cell r="E2283">
            <v>600000</v>
          </cell>
          <cell r="F2283">
            <v>300000</v>
          </cell>
          <cell r="G2283">
            <v>463509</v>
          </cell>
          <cell r="H2283">
            <v>50000</v>
          </cell>
          <cell r="I2283">
            <v>0</v>
          </cell>
        </row>
        <row r="2284">
          <cell r="A2284" t="str">
            <v>5400|449061</v>
          </cell>
          <cell r="B2284" t="str">
            <v>5400</v>
          </cell>
          <cell r="C2284">
            <v>449061</v>
          </cell>
          <cell r="D2284">
            <v>41426</v>
          </cell>
          <cell r="E2284">
            <v>14694474</v>
          </cell>
          <cell r="F2284">
            <v>7347237</v>
          </cell>
          <cell r="G2284">
            <v>4017400</v>
          </cell>
          <cell r="H2284">
            <v>1224539</v>
          </cell>
          <cell r="I2284">
            <v>1049900</v>
          </cell>
        </row>
        <row r="2285">
          <cell r="A2285" t="str">
            <v>5400|452000</v>
          </cell>
          <cell r="B2285" t="str">
            <v>5400</v>
          </cell>
          <cell r="C2285">
            <v>452000</v>
          </cell>
          <cell r="D2285">
            <v>41426</v>
          </cell>
          <cell r="E2285">
            <v>1300000</v>
          </cell>
          <cell r="F2285">
            <v>650000</v>
          </cell>
          <cell r="G2285">
            <v>0</v>
          </cell>
          <cell r="H2285">
            <v>108333</v>
          </cell>
          <cell r="I2285">
            <v>0</v>
          </cell>
        </row>
        <row r="2286">
          <cell r="A2286" t="str">
            <v>5400|455000</v>
          </cell>
          <cell r="B2286" t="str">
            <v>5400</v>
          </cell>
          <cell r="C2286">
            <v>455000</v>
          </cell>
          <cell r="D2286">
            <v>41426</v>
          </cell>
          <cell r="E2286">
            <v>9000000</v>
          </cell>
          <cell r="F2286">
            <v>4500000</v>
          </cell>
          <cell r="G2286">
            <v>2631013</v>
          </cell>
          <cell r="H2286">
            <v>750000</v>
          </cell>
          <cell r="I2286">
            <v>697827</v>
          </cell>
        </row>
        <row r="2287">
          <cell r="A2287" t="str">
            <v>5400|455002</v>
          </cell>
          <cell r="B2287" t="str">
            <v>5400</v>
          </cell>
          <cell r="C2287">
            <v>455002</v>
          </cell>
          <cell r="D2287">
            <v>41426</v>
          </cell>
          <cell r="E2287">
            <v>0</v>
          </cell>
          <cell r="F2287">
            <v>0</v>
          </cell>
          <cell r="G2287">
            <v>778340</v>
          </cell>
          <cell r="H2287">
            <v>0</v>
          </cell>
          <cell r="I2287">
            <v>0</v>
          </cell>
        </row>
        <row r="2288">
          <cell r="A2288" t="str">
            <v>5400|459000</v>
          </cell>
          <cell r="B2288" t="str">
            <v>5400</v>
          </cell>
          <cell r="C2288">
            <v>459000</v>
          </cell>
          <cell r="D2288">
            <v>41426</v>
          </cell>
          <cell r="E2288">
            <v>4933092</v>
          </cell>
          <cell r="F2288">
            <v>2466546</v>
          </cell>
          <cell r="G2288">
            <v>1050000</v>
          </cell>
          <cell r="H2288">
            <v>411091</v>
          </cell>
          <cell r="I2288">
            <v>0</v>
          </cell>
        </row>
        <row r="2289">
          <cell r="A2289" t="str">
            <v>5400|459003</v>
          </cell>
          <cell r="B2289" t="str">
            <v>5400</v>
          </cell>
          <cell r="C2289">
            <v>459003</v>
          </cell>
          <cell r="D2289">
            <v>41426</v>
          </cell>
          <cell r="E2289">
            <v>0</v>
          </cell>
          <cell r="F2289">
            <v>0</v>
          </cell>
          <cell r="G2289">
            <v>2401152</v>
          </cell>
          <cell r="H2289">
            <v>0</v>
          </cell>
          <cell r="I2289">
            <v>0</v>
          </cell>
        </row>
        <row r="2290">
          <cell r="A2290" t="str">
            <v>5400|459005</v>
          </cell>
          <cell r="B2290" t="str">
            <v>5400</v>
          </cell>
          <cell r="C2290">
            <v>459005</v>
          </cell>
          <cell r="D2290">
            <v>41426</v>
          </cell>
          <cell r="E2290">
            <v>698885</v>
          </cell>
          <cell r="F2290">
            <v>349443</v>
          </cell>
          <cell r="G2290">
            <v>0</v>
          </cell>
          <cell r="H2290">
            <v>58241</v>
          </cell>
          <cell r="I2290">
            <v>0</v>
          </cell>
        </row>
        <row r="2291">
          <cell r="A2291" t="str">
            <v>5400|470102</v>
          </cell>
          <cell r="B2291" t="str">
            <v>5400</v>
          </cell>
          <cell r="C2291">
            <v>470102</v>
          </cell>
          <cell r="D2291">
            <v>41426</v>
          </cell>
          <cell r="E2291">
            <v>5236918</v>
          </cell>
          <cell r="F2291">
            <v>2618459</v>
          </cell>
          <cell r="G2291">
            <v>1374475</v>
          </cell>
          <cell r="H2291">
            <v>436410</v>
          </cell>
          <cell r="I2291">
            <v>176499</v>
          </cell>
        </row>
        <row r="2292">
          <cell r="A2292" t="str">
            <v>5400|471000</v>
          </cell>
          <cell r="B2292" t="str">
            <v>5400</v>
          </cell>
          <cell r="C2292">
            <v>471000</v>
          </cell>
          <cell r="D2292">
            <v>41426</v>
          </cell>
          <cell r="E2292">
            <v>28777214</v>
          </cell>
          <cell r="F2292">
            <v>14388607</v>
          </cell>
          <cell r="G2292">
            <v>9939010</v>
          </cell>
          <cell r="H2292">
            <v>2398101</v>
          </cell>
          <cell r="I2292">
            <v>0</v>
          </cell>
        </row>
        <row r="2293">
          <cell r="A2293" t="str">
            <v>5400|472000</v>
          </cell>
          <cell r="B2293" t="str">
            <v>5400</v>
          </cell>
          <cell r="C2293">
            <v>472000</v>
          </cell>
          <cell r="D2293">
            <v>41426</v>
          </cell>
          <cell r="E2293">
            <v>6500000</v>
          </cell>
          <cell r="F2293">
            <v>3250000</v>
          </cell>
          <cell r="G2293">
            <v>2260285</v>
          </cell>
          <cell r="H2293">
            <v>541667</v>
          </cell>
          <cell r="I2293">
            <v>2260285</v>
          </cell>
        </row>
        <row r="2294">
          <cell r="A2294" t="str">
            <v>5400|473120</v>
          </cell>
          <cell r="B2294" t="str">
            <v>5400</v>
          </cell>
          <cell r="C2294">
            <v>473120</v>
          </cell>
          <cell r="D2294">
            <v>41426</v>
          </cell>
          <cell r="E2294">
            <v>7504266</v>
          </cell>
          <cell r="F2294">
            <v>3752133</v>
          </cell>
          <cell r="G2294">
            <v>4093702</v>
          </cell>
          <cell r="H2294">
            <v>625355</v>
          </cell>
          <cell r="I2294">
            <v>1062606</v>
          </cell>
        </row>
        <row r="2295">
          <cell r="A2295" t="str">
            <v>5400|474100</v>
          </cell>
          <cell r="B2295" t="str">
            <v>5400</v>
          </cell>
          <cell r="C2295">
            <v>474100</v>
          </cell>
          <cell r="D2295">
            <v>41426</v>
          </cell>
          <cell r="E2295">
            <v>0</v>
          </cell>
          <cell r="F2295">
            <v>0</v>
          </cell>
          <cell r="G2295">
            <v>2500000</v>
          </cell>
          <cell r="H2295">
            <v>0</v>
          </cell>
          <cell r="I2295">
            <v>0</v>
          </cell>
        </row>
        <row r="2296">
          <cell r="A2296" t="str">
            <v>5400|474101</v>
          </cell>
          <cell r="B2296" t="str">
            <v>5400</v>
          </cell>
          <cell r="C2296">
            <v>474101</v>
          </cell>
          <cell r="D2296">
            <v>41426</v>
          </cell>
          <cell r="E2296">
            <v>18443932</v>
          </cell>
          <cell r="F2296">
            <v>9221966</v>
          </cell>
          <cell r="G2296">
            <v>-452783</v>
          </cell>
          <cell r="H2296">
            <v>1536994</v>
          </cell>
          <cell r="I2296">
            <v>0</v>
          </cell>
        </row>
        <row r="2297">
          <cell r="A2297" t="str">
            <v>5400|475002</v>
          </cell>
          <cell r="B2297" t="str">
            <v>5400</v>
          </cell>
          <cell r="C2297">
            <v>475002</v>
          </cell>
          <cell r="D2297">
            <v>41426</v>
          </cell>
          <cell r="E2297">
            <v>1888061</v>
          </cell>
          <cell r="F2297">
            <v>944031</v>
          </cell>
          <cell r="G2297">
            <v>4429544</v>
          </cell>
          <cell r="H2297">
            <v>157339</v>
          </cell>
          <cell r="I2297">
            <v>738257</v>
          </cell>
        </row>
        <row r="2298">
          <cell r="A2298" t="str">
            <v>5400|475003</v>
          </cell>
          <cell r="B2298" t="str">
            <v>5400</v>
          </cell>
          <cell r="C2298">
            <v>475003</v>
          </cell>
          <cell r="D2298">
            <v>41426</v>
          </cell>
          <cell r="E2298">
            <v>313243</v>
          </cell>
          <cell r="F2298">
            <v>156622</v>
          </cell>
          <cell r="G2298">
            <v>0</v>
          </cell>
          <cell r="H2298">
            <v>26104</v>
          </cell>
          <cell r="I2298">
            <v>0</v>
          </cell>
        </row>
        <row r="2299">
          <cell r="A2299" t="str">
            <v>5400|475006</v>
          </cell>
          <cell r="B2299" t="str">
            <v>5400</v>
          </cell>
          <cell r="C2299">
            <v>475006</v>
          </cell>
          <cell r="D2299">
            <v>41426</v>
          </cell>
          <cell r="E2299">
            <v>5223416</v>
          </cell>
          <cell r="F2299">
            <v>2611708</v>
          </cell>
          <cell r="G2299">
            <v>2595161</v>
          </cell>
          <cell r="H2299">
            <v>435285</v>
          </cell>
          <cell r="I2299">
            <v>0</v>
          </cell>
        </row>
        <row r="2300">
          <cell r="A2300" t="str">
            <v>5400|476000</v>
          </cell>
          <cell r="B2300" t="str">
            <v>5400</v>
          </cell>
          <cell r="C2300">
            <v>476000</v>
          </cell>
          <cell r="D2300">
            <v>41426</v>
          </cell>
          <cell r="E2300">
            <v>12007057</v>
          </cell>
          <cell r="F2300">
            <v>6003529</v>
          </cell>
          <cell r="G2300">
            <v>2959320</v>
          </cell>
          <cell r="H2300">
            <v>1000589</v>
          </cell>
          <cell r="I2300">
            <v>0</v>
          </cell>
        </row>
        <row r="2301">
          <cell r="A2301" t="str">
            <v>5400|476001</v>
          </cell>
          <cell r="B2301" t="str">
            <v>5400</v>
          </cell>
          <cell r="C2301">
            <v>476001</v>
          </cell>
          <cell r="D2301">
            <v>41426</v>
          </cell>
          <cell r="E2301">
            <v>43901</v>
          </cell>
          <cell r="F2301">
            <v>21951</v>
          </cell>
          <cell r="G2301">
            <v>0</v>
          </cell>
          <cell r="H2301">
            <v>3659</v>
          </cell>
          <cell r="I2301">
            <v>0</v>
          </cell>
        </row>
        <row r="2302">
          <cell r="A2302" t="str">
            <v>5400|476220</v>
          </cell>
          <cell r="B2302" t="str">
            <v>5400</v>
          </cell>
          <cell r="C2302">
            <v>476220</v>
          </cell>
          <cell r="D2302">
            <v>41426</v>
          </cell>
          <cell r="E2302">
            <v>2709234</v>
          </cell>
          <cell r="F2302">
            <v>1354617</v>
          </cell>
          <cell r="G2302">
            <v>0</v>
          </cell>
          <cell r="H2302">
            <v>225769</v>
          </cell>
          <cell r="I2302">
            <v>0</v>
          </cell>
        </row>
        <row r="2303">
          <cell r="A2303" t="str">
            <v>5400|476900</v>
          </cell>
          <cell r="B2303" t="str">
            <v>5400</v>
          </cell>
          <cell r="C2303">
            <v>476900</v>
          </cell>
          <cell r="D2303">
            <v>41426</v>
          </cell>
          <cell r="E2303">
            <v>2372994</v>
          </cell>
          <cell r="F2303">
            <v>1186497</v>
          </cell>
          <cell r="G2303">
            <v>0</v>
          </cell>
          <cell r="H2303">
            <v>197749</v>
          </cell>
          <cell r="I2303">
            <v>0</v>
          </cell>
        </row>
        <row r="2304">
          <cell r="A2304" t="str">
            <v>5410|211104</v>
          </cell>
          <cell r="B2304" t="str">
            <v>5410</v>
          </cell>
          <cell r="C2304">
            <v>211104</v>
          </cell>
          <cell r="D2304">
            <v>41426</v>
          </cell>
          <cell r="E2304">
            <v>43744715</v>
          </cell>
          <cell r="F2304">
            <v>21872358</v>
          </cell>
          <cell r="G2304">
            <v>21125930</v>
          </cell>
          <cell r="H2304">
            <v>3645393</v>
          </cell>
          <cell r="I2304">
            <v>3520991</v>
          </cell>
        </row>
        <row r="2305">
          <cell r="A2305" t="str">
            <v>5410|449061</v>
          </cell>
          <cell r="B2305" t="str">
            <v>5410</v>
          </cell>
          <cell r="C2305">
            <v>449061</v>
          </cell>
          <cell r="D2305">
            <v>41426</v>
          </cell>
          <cell r="E2305">
            <v>2893000</v>
          </cell>
          <cell r="F2305">
            <v>1446500</v>
          </cell>
          <cell r="G2305">
            <v>0</v>
          </cell>
          <cell r="H2305">
            <v>241083</v>
          </cell>
          <cell r="I2305">
            <v>0</v>
          </cell>
        </row>
        <row r="2306">
          <cell r="A2306" t="str">
            <v>5410|470102</v>
          </cell>
          <cell r="B2306" t="str">
            <v>5410</v>
          </cell>
          <cell r="C2306">
            <v>470102</v>
          </cell>
          <cell r="D2306">
            <v>41426</v>
          </cell>
          <cell r="E2306">
            <v>1876393</v>
          </cell>
          <cell r="F2306">
            <v>938197</v>
          </cell>
          <cell r="G2306">
            <v>1168500</v>
          </cell>
          <cell r="H2306">
            <v>156367</v>
          </cell>
          <cell r="I2306">
            <v>186999</v>
          </cell>
        </row>
        <row r="2307">
          <cell r="A2307" t="str">
            <v>5410|473120</v>
          </cell>
          <cell r="B2307" t="str">
            <v>5410</v>
          </cell>
          <cell r="C2307">
            <v>473120</v>
          </cell>
          <cell r="D2307">
            <v>41426</v>
          </cell>
          <cell r="E2307">
            <v>6066517</v>
          </cell>
          <cell r="F2307">
            <v>3033259</v>
          </cell>
          <cell r="G2307">
            <v>0</v>
          </cell>
          <cell r="H2307">
            <v>505544</v>
          </cell>
          <cell r="I2307">
            <v>0</v>
          </cell>
        </row>
        <row r="2308">
          <cell r="A2308" t="str">
            <v>5500|211104</v>
          </cell>
          <cell r="B2308" t="str">
            <v>5500</v>
          </cell>
          <cell r="C2308">
            <v>211104</v>
          </cell>
          <cell r="D2308">
            <v>41426</v>
          </cell>
          <cell r="E2308">
            <v>662067852</v>
          </cell>
          <cell r="F2308">
            <v>331033926</v>
          </cell>
          <cell r="G2308">
            <v>114320203</v>
          </cell>
          <cell r="H2308">
            <v>55172321</v>
          </cell>
          <cell r="I2308">
            <v>28151441</v>
          </cell>
        </row>
        <row r="2309">
          <cell r="A2309" t="str">
            <v>5500|246000</v>
          </cell>
          <cell r="B2309" t="str">
            <v>5500</v>
          </cell>
          <cell r="C2309">
            <v>246000</v>
          </cell>
          <cell r="D2309">
            <v>41426</v>
          </cell>
          <cell r="E2309">
            <v>700000</v>
          </cell>
          <cell r="F2309">
            <v>350000</v>
          </cell>
          <cell r="G2309">
            <v>860000</v>
          </cell>
          <cell r="H2309">
            <v>58333</v>
          </cell>
          <cell r="I2309">
            <v>250000</v>
          </cell>
        </row>
        <row r="2310">
          <cell r="A2310" t="str">
            <v>5500|246006</v>
          </cell>
          <cell r="B2310" t="str">
            <v>5500</v>
          </cell>
          <cell r="C2310">
            <v>246006</v>
          </cell>
          <cell r="D2310">
            <v>41426</v>
          </cell>
          <cell r="E2310">
            <v>4000000</v>
          </cell>
          <cell r="F2310">
            <v>2000000</v>
          </cell>
          <cell r="G2310">
            <v>4000000</v>
          </cell>
          <cell r="H2310">
            <v>333333</v>
          </cell>
          <cell r="I2310">
            <v>0</v>
          </cell>
        </row>
        <row r="2311">
          <cell r="A2311" t="str">
            <v>5500|400040</v>
          </cell>
          <cell r="B2311" t="str">
            <v>5500</v>
          </cell>
          <cell r="C2311">
            <v>400040</v>
          </cell>
          <cell r="D2311">
            <v>41426</v>
          </cell>
          <cell r="E2311">
            <v>30200000</v>
          </cell>
          <cell r="F2311">
            <v>15100000</v>
          </cell>
          <cell r="G2311">
            <v>30692326</v>
          </cell>
          <cell r="H2311">
            <v>2516667</v>
          </cell>
          <cell r="I2311">
            <v>0</v>
          </cell>
        </row>
        <row r="2312">
          <cell r="A2312" t="str">
            <v>5500|405200</v>
          </cell>
          <cell r="B2312" t="str">
            <v>5500</v>
          </cell>
          <cell r="C2312">
            <v>405200</v>
          </cell>
          <cell r="D2312">
            <v>41426</v>
          </cell>
          <cell r="E2312">
            <v>4000000</v>
          </cell>
          <cell r="F2312">
            <v>2000000</v>
          </cell>
          <cell r="G2312">
            <v>3839000</v>
          </cell>
          <cell r="H2312">
            <v>333333</v>
          </cell>
          <cell r="I2312">
            <v>0</v>
          </cell>
        </row>
        <row r="2313">
          <cell r="A2313" t="str">
            <v>5500|405252</v>
          </cell>
          <cell r="B2313" t="str">
            <v>5500</v>
          </cell>
          <cell r="C2313">
            <v>405252</v>
          </cell>
          <cell r="D2313">
            <v>41426</v>
          </cell>
          <cell r="E2313">
            <v>4926000000</v>
          </cell>
          <cell r="F2313">
            <v>2463000000</v>
          </cell>
          <cell r="G2313">
            <v>2794756385</v>
          </cell>
          <cell r="H2313">
            <v>410500000</v>
          </cell>
          <cell r="I2313">
            <v>-341989296</v>
          </cell>
        </row>
        <row r="2314">
          <cell r="A2314" t="str">
            <v>5500|420002</v>
          </cell>
          <cell r="B2314" t="str">
            <v>5500</v>
          </cell>
          <cell r="C2314">
            <v>420002</v>
          </cell>
          <cell r="D2314">
            <v>41426</v>
          </cell>
          <cell r="E2314">
            <v>877412049</v>
          </cell>
          <cell r="F2314">
            <v>438706025</v>
          </cell>
          <cell r="G2314">
            <v>334611744</v>
          </cell>
          <cell r="H2314">
            <v>73117671</v>
          </cell>
          <cell r="I2314">
            <v>56489000</v>
          </cell>
        </row>
        <row r="2315">
          <cell r="A2315" t="str">
            <v>5500|420003</v>
          </cell>
          <cell r="B2315" t="str">
            <v>5500</v>
          </cell>
          <cell r="C2315">
            <v>420003</v>
          </cell>
          <cell r="D2315">
            <v>41426</v>
          </cell>
          <cell r="E2315">
            <v>2547341499</v>
          </cell>
          <cell r="F2315">
            <v>1273670750</v>
          </cell>
          <cell r="G2315">
            <v>1104327207</v>
          </cell>
          <cell r="H2315">
            <v>212278459</v>
          </cell>
          <cell r="I2315">
            <v>172157179</v>
          </cell>
        </row>
        <row r="2316">
          <cell r="A2316" t="str">
            <v>5500|422002</v>
          </cell>
          <cell r="B2316" t="str">
            <v>5500</v>
          </cell>
          <cell r="C2316">
            <v>422002</v>
          </cell>
          <cell r="D2316">
            <v>41426</v>
          </cell>
          <cell r="E2316">
            <v>838350</v>
          </cell>
          <cell r="F2316">
            <v>419175</v>
          </cell>
          <cell r="G2316">
            <v>880300</v>
          </cell>
          <cell r="H2316">
            <v>69862</v>
          </cell>
          <cell r="I2316">
            <v>0</v>
          </cell>
        </row>
        <row r="2317">
          <cell r="A2317" t="str">
            <v>5500|422003</v>
          </cell>
          <cell r="B2317" t="str">
            <v>5500</v>
          </cell>
          <cell r="C2317">
            <v>422003</v>
          </cell>
          <cell r="D2317">
            <v>41426</v>
          </cell>
          <cell r="E2317">
            <v>1174500</v>
          </cell>
          <cell r="F2317">
            <v>587250</v>
          </cell>
          <cell r="G2317">
            <v>541800</v>
          </cell>
          <cell r="H2317">
            <v>97875</v>
          </cell>
          <cell r="I2317">
            <v>0</v>
          </cell>
        </row>
        <row r="2318">
          <cell r="A2318" t="str">
            <v>5500|431000</v>
          </cell>
          <cell r="B2318" t="str">
            <v>5500</v>
          </cell>
          <cell r="C2318">
            <v>431000</v>
          </cell>
          <cell r="D2318">
            <v>41426</v>
          </cell>
          <cell r="E2318">
            <v>57000000</v>
          </cell>
          <cell r="F2318">
            <v>28500000</v>
          </cell>
          <cell r="G2318">
            <v>40091595</v>
          </cell>
          <cell r="H2318">
            <v>4750000</v>
          </cell>
          <cell r="I2318">
            <v>0</v>
          </cell>
        </row>
        <row r="2319">
          <cell r="A2319" t="str">
            <v>5500|431001</v>
          </cell>
          <cell r="B2319" t="str">
            <v>5500</v>
          </cell>
          <cell r="C2319">
            <v>431001</v>
          </cell>
          <cell r="D2319">
            <v>41426</v>
          </cell>
          <cell r="E2319">
            <v>3000000</v>
          </cell>
          <cell r="F2319">
            <v>1500000</v>
          </cell>
          <cell r="G2319">
            <v>1000800</v>
          </cell>
          <cell r="H2319">
            <v>250000</v>
          </cell>
          <cell r="I2319">
            <v>0</v>
          </cell>
        </row>
        <row r="2320">
          <cell r="A2320" t="str">
            <v>5500|431002</v>
          </cell>
          <cell r="B2320" t="str">
            <v>5500</v>
          </cell>
          <cell r="C2320">
            <v>431002</v>
          </cell>
          <cell r="D2320">
            <v>41426</v>
          </cell>
          <cell r="E2320">
            <v>21381160</v>
          </cell>
          <cell r="F2320">
            <v>10690580</v>
          </cell>
          <cell r="G2320">
            <v>21747509</v>
          </cell>
          <cell r="H2320">
            <v>1781763</v>
          </cell>
          <cell r="I2320">
            <v>6010657</v>
          </cell>
        </row>
        <row r="2321">
          <cell r="A2321" t="str">
            <v>5500|434012</v>
          </cell>
          <cell r="B2321" t="str">
            <v>5500</v>
          </cell>
          <cell r="C2321">
            <v>434012</v>
          </cell>
          <cell r="D2321">
            <v>41426</v>
          </cell>
          <cell r="E2321">
            <v>0</v>
          </cell>
          <cell r="F2321">
            <v>0</v>
          </cell>
          <cell r="G2321">
            <v>8884806</v>
          </cell>
          <cell r="H2321">
            <v>0</v>
          </cell>
          <cell r="I2321">
            <v>1496234</v>
          </cell>
        </row>
        <row r="2322">
          <cell r="A2322" t="str">
            <v>5500|434013</v>
          </cell>
          <cell r="B2322" t="str">
            <v>5500</v>
          </cell>
          <cell r="C2322">
            <v>434013</v>
          </cell>
          <cell r="D2322">
            <v>41426</v>
          </cell>
          <cell r="E2322">
            <v>48324572</v>
          </cell>
          <cell r="F2322">
            <v>24162286</v>
          </cell>
          <cell r="G2322">
            <v>44608966</v>
          </cell>
          <cell r="H2322">
            <v>4027048</v>
          </cell>
          <cell r="I2322">
            <v>6605367</v>
          </cell>
        </row>
        <row r="2323">
          <cell r="A2323" t="str">
            <v>5500|435002</v>
          </cell>
          <cell r="B2323" t="str">
            <v>5500</v>
          </cell>
          <cell r="C2323">
            <v>435002</v>
          </cell>
          <cell r="D2323">
            <v>41426</v>
          </cell>
          <cell r="E2323">
            <v>124891225</v>
          </cell>
          <cell r="F2323">
            <v>62445613</v>
          </cell>
          <cell r="G2323">
            <v>47393000</v>
          </cell>
          <cell r="H2323">
            <v>10407603</v>
          </cell>
          <cell r="I2323">
            <v>0</v>
          </cell>
        </row>
        <row r="2324">
          <cell r="A2324" t="str">
            <v>5500|435003</v>
          </cell>
          <cell r="B2324" t="str">
            <v>5500</v>
          </cell>
          <cell r="C2324">
            <v>435003</v>
          </cell>
          <cell r="D2324">
            <v>41426</v>
          </cell>
          <cell r="E2324">
            <v>318417687</v>
          </cell>
          <cell r="F2324">
            <v>159208844</v>
          </cell>
          <cell r="G2324">
            <v>402842000</v>
          </cell>
          <cell r="H2324">
            <v>26534808</v>
          </cell>
          <cell r="I2324">
            <v>0</v>
          </cell>
        </row>
        <row r="2325">
          <cell r="A2325" t="str">
            <v>5500|439003</v>
          </cell>
          <cell r="B2325" t="str">
            <v>5500</v>
          </cell>
          <cell r="C2325">
            <v>439003</v>
          </cell>
          <cell r="D2325">
            <v>41426</v>
          </cell>
          <cell r="E2325">
            <v>552298309</v>
          </cell>
          <cell r="F2325">
            <v>276149155</v>
          </cell>
          <cell r="G2325">
            <v>231009103</v>
          </cell>
          <cell r="H2325">
            <v>46024860</v>
          </cell>
          <cell r="I2325">
            <v>35448658</v>
          </cell>
        </row>
        <row r="2326">
          <cell r="A2326" t="str">
            <v>5500|439008</v>
          </cell>
          <cell r="B2326" t="str">
            <v>5500</v>
          </cell>
          <cell r="C2326">
            <v>439008</v>
          </cell>
          <cell r="D2326">
            <v>41426</v>
          </cell>
          <cell r="E2326">
            <v>180642688</v>
          </cell>
          <cell r="F2326">
            <v>90321344</v>
          </cell>
          <cell r="G2326">
            <v>85580559</v>
          </cell>
          <cell r="H2326">
            <v>15053557</v>
          </cell>
          <cell r="I2326">
            <v>14384288</v>
          </cell>
        </row>
        <row r="2327">
          <cell r="A2327" t="str">
            <v>5500|439203</v>
          </cell>
          <cell r="B2327" t="str">
            <v>5500</v>
          </cell>
          <cell r="C2327">
            <v>439203</v>
          </cell>
          <cell r="D2327">
            <v>41426</v>
          </cell>
          <cell r="E2327">
            <v>0</v>
          </cell>
          <cell r="F2327">
            <v>0</v>
          </cell>
          <cell r="G2327">
            <v>6386350</v>
          </cell>
          <cell r="H2327">
            <v>0</v>
          </cell>
          <cell r="I2327">
            <v>12500</v>
          </cell>
        </row>
        <row r="2328">
          <cell r="A2328" t="str">
            <v>5500|440002</v>
          </cell>
          <cell r="B2328" t="str">
            <v>5500</v>
          </cell>
          <cell r="C2328">
            <v>440002</v>
          </cell>
          <cell r="D2328">
            <v>41426</v>
          </cell>
          <cell r="E2328">
            <v>73117671</v>
          </cell>
          <cell r="F2328">
            <v>36558836</v>
          </cell>
          <cell r="G2328">
            <v>31781237</v>
          </cell>
          <cell r="H2328">
            <v>6093140</v>
          </cell>
          <cell r="I2328">
            <v>3578570</v>
          </cell>
        </row>
        <row r="2329">
          <cell r="A2329" t="str">
            <v>5500|440003</v>
          </cell>
          <cell r="B2329" t="str">
            <v>5500</v>
          </cell>
          <cell r="C2329">
            <v>440003</v>
          </cell>
          <cell r="D2329">
            <v>41426</v>
          </cell>
          <cell r="E2329">
            <v>212278458</v>
          </cell>
          <cell r="F2329">
            <v>106139229</v>
          </cell>
          <cell r="G2329">
            <v>108062925</v>
          </cell>
          <cell r="H2329">
            <v>17689871</v>
          </cell>
          <cell r="I2329">
            <v>20461043</v>
          </cell>
        </row>
        <row r="2330">
          <cell r="A2330" t="str">
            <v>5500|446002</v>
          </cell>
          <cell r="B2330" t="str">
            <v>5500</v>
          </cell>
          <cell r="C2330">
            <v>446002</v>
          </cell>
          <cell r="D2330">
            <v>41426</v>
          </cell>
          <cell r="E2330">
            <v>44988835</v>
          </cell>
          <cell r="F2330">
            <v>22494418</v>
          </cell>
          <cell r="G2330">
            <v>4500000</v>
          </cell>
          <cell r="H2330">
            <v>3749070</v>
          </cell>
          <cell r="I2330">
            <v>750000</v>
          </cell>
        </row>
        <row r="2331">
          <cell r="A2331" t="str">
            <v>5500|446003</v>
          </cell>
          <cell r="B2331" t="str">
            <v>5500</v>
          </cell>
          <cell r="C2331">
            <v>446003</v>
          </cell>
          <cell r="D2331">
            <v>41426</v>
          </cell>
          <cell r="E2331">
            <v>16860000</v>
          </cell>
          <cell r="F2331">
            <v>8430000</v>
          </cell>
          <cell r="G2331">
            <v>7300000</v>
          </cell>
          <cell r="H2331">
            <v>1405000</v>
          </cell>
          <cell r="I2331">
            <v>1050000</v>
          </cell>
        </row>
        <row r="2332">
          <cell r="A2332" t="str">
            <v>5500|447002</v>
          </cell>
          <cell r="B2332" t="str">
            <v>5500</v>
          </cell>
          <cell r="C2332">
            <v>447002</v>
          </cell>
          <cell r="D2332">
            <v>41426</v>
          </cell>
          <cell r="E2332">
            <v>13775369</v>
          </cell>
          <cell r="F2332">
            <v>6887685</v>
          </cell>
          <cell r="G2332">
            <v>5313158</v>
          </cell>
          <cell r="H2332">
            <v>1147948</v>
          </cell>
          <cell r="I2332">
            <v>886879</v>
          </cell>
        </row>
        <row r="2333">
          <cell r="A2333" t="str">
            <v>5500|447003</v>
          </cell>
          <cell r="B2333" t="str">
            <v>5500</v>
          </cell>
          <cell r="C2333">
            <v>447003</v>
          </cell>
          <cell r="D2333">
            <v>41426</v>
          </cell>
          <cell r="E2333">
            <v>39990593</v>
          </cell>
          <cell r="F2333">
            <v>19995297</v>
          </cell>
          <cell r="G2333">
            <v>16001818</v>
          </cell>
          <cell r="H2333">
            <v>3332550</v>
          </cell>
          <cell r="I2333">
            <v>2451730</v>
          </cell>
        </row>
        <row r="2334">
          <cell r="A2334" t="str">
            <v>5500|447012</v>
          </cell>
          <cell r="B2334" t="str">
            <v>5500</v>
          </cell>
          <cell r="C2334">
            <v>447012</v>
          </cell>
          <cell r="D2334">
            <v>41426</v>
          </cell>
          <cell r="E2334">
            <v>32464246</v>
          </cell>
          <cell r="F2334">
            <v>16232123</v>
          </cell>
          <cell r="G2334">
            <v>12521435</v>
          </cell>
          <cell r="H2334">
            <v>2705354</v>
          </cell>
          <cell r="I2334">
            <v>2090094</v>
          </cell>
        </row>
        <row r="2335">
          <cell r="A2335" t="str">
            <v>5500|447013</v>
          </cell>
          <cell r="B2335" t="str">
            <v>5500</v>
          </cell>
          <cell r="C2335">
            <v>447013</v>
          </cell>
          <cell r="D2335">
            <v>41426</v>
          </cell>
          <cell r="E2335">
            <v>94251635</v>
          </cell>
          <cell r="F2335">
            <v>47125818</v>
          </cell>
          <cell r="G2335">
            <v>43016836</v>
          </cell>
          <cell r="H2335">
            <v>7854303</v>
          </cell>
          <cell r="I2335">
            <v>6662221</v>
          </cell>
        </row>
        <row r="2336">
          <cell r="A2336" t="str">
            <v>5500|447022</v>
          </cell>
          <cell r="B2336" t="str">
            <v>5500</v>
          </cell>
          <cell r="C2336">
            <v>447022</v>
          </cell>
          <cell r="D2336">
            <v>41426</v>
          </cell>
          <cell r="E2336">
            <v>1377537</v>
          </cell>
          <cell r="F2336">
            <v>688769</v>
          </cell>
          <cell r="G2336">
            <v>1010985</v>
          </cell>
          <cell r="H2336">
            <v>114795</v>
          </cell>
          <cell r="I2336">
            <v>87262</v>
          </cell>
        </row>
        <row r="2337">
          <cell r="A2337" t="str">
            <v>5500|447023</v>
          </cell>
          <cell r="B2337" t="str">
            <v>5500</v>
          </cell>
          <cell r="C2337">
            <v>447023</v>
          </cell>
          <cell r="D2337">
            <v>41426</v>
          </cell>
          <cell r="E2337">
            <v>3309492</v>
          </cell>
          <cell r="F2337">
            <v>1654746</v>
          </cell>
          <cell r="G2337">
            <v>3771631</v>
          </cell>
          <cell r="H2337">
            <v>275791</v>
          </cell>
          <cell r="I2337">
            <v>591900</v>
          </cell>
        </row>
        <row r="2338">
          <cell r="A2338" t="str">
            <v>5500|448002</v>
          </cell>
          <cell r="B2338" t="str">
            <v>5500</v>
          </cell>
          <cell r="C2338">
            <v>448002</v>
          </cell>
          <cell r="D2338">
            <v>41426</v>
          </cell>
          <cell r="E2338">
            <v>65645699</v>
          </cell>
          <cell r="F2338">
            <v>32822850</v>
          </cell>
          <cell r="G2338">
            <v>18683982</v>
          </cell>
          <cell r="H2338">
            <v>5470475</v>
          </cell>
          <cell r="I2338">
            <v>2145400</v>
          </cell>
        </row>
        <row r="2339">
          <cell r="A2339" t="str">
            <v>5500|448003</v>
          </cell>
          <cell r="B2339" t="str">
            <v>5500</v>
          </cell>
          <cell r="C2339">
            <v>448003</v>
          </cell>
          <cell r="D2339">
            <v>41426</v>
          </cell>
          <cell r="E2339">
            <v>153285271</v>
          </cell>
          <cell r="F2339">
            <v>76642636</v>
          </cell>
          <cell r="G2339">
            <v>76101095</v>
          </cell>
          <cell r="H2339">
            <v>12773773</v>
          </cell>
          <cell r="I2339">
            <v>16363380</v>
          </cell>
        </row>
        <row r="2340">
          <cell r="A2340" t="str">
            <v>5500|449022</v>
          </cell>
          <cell r="B2340" t="str">
            <v>5500</v>
          </cell>
          <cell r="C2340">
            <v>449022</v>
          </cell>
          <cell r="D2340">
            <v>41426</v>
          </cell>
          <cell r="E2340">
            <v>43560000</v>
          </cell>
          <cell r="F2340">
            <v>21780000</v>
          </cell>
          <cell r="G2340">
            <v>18645000</v>
          </cell>
          <cell r="H2340">
            <v>3630000</v>
          </cell>
          <cell r="I2340">
            <v>2979000</v>
          </cell>
        </row>
        <row r="2341">
          <cell r="A2341" t="str">
            <v>5500|449023</v>
          </cell>
          <cell r="B2341" t="str">
            <v>5500</v>
          </cell>
          <cell r="C2341">
            <v>449023</v>
          </cell>
          <cell r="D2341">
            <v>41426</v>
          </cell>
          <cell r="E2341">
            <v>102432000</v>
          </cell>
          <cell r="F2341">
            <v>51216000</v>
          </cell>
          <cell r="G2341">
            <v>57944000</v>
          </cell>
          <cell r="H2341">
            <v>8536000</v>
          </cell>
          <cell r="I2341">
            <v>9173000</v>
          </cell>
        </row>
        <row r="2342">
          <cell r="A2342" t="str">
            <v>5500|449032</v>
          </cell>
          <cell r="B2342" t="str">
            <v>5500</v>
          </cell>
          <cell r="C2342">
            <v>449032</v>
          </cell>
          <cell r="D2342">
            <v>41426</v>
          </cell>
          <cell r="E2342">
            <v>27457226</v>
          </cell>
          <cell r="F2342">
            <v>13728613</v>
          </cell>
          <cell r="G2342">
            <v>6045000</v>
          </cell>
          <cell r="H2342">
            <v>2288102</v>
          </cell>
          <cell r="I2342">
            <v>1800000</v>
          </cell>
        </row>
        <row r="2343">
          <cell r="A2343" t="str">
            <v>5500|449040</v>
          </cell>
          <cell r="B2343" t="str">
            <v>5500</v>
          </cell>
          <cell r="C2343">
            <v>449040</v>
          </cell>
          <cell r="D2343">
            <v>41426</v>
          </cell>
          <cell r="E2343">
            <v>58870662</v>
          </cell>
          <cell r="F2343">
            <v>29435331</v>
          </cell>
          <cell r="G2343">
            <v>14417700</v>
          </cell>
          <cell r="H2343">
            <v>4905888</v>
          </cell>
          <cell r="I2343">
            <v>3161000</v>
          </cell>
        </row>
        <row r="2344">
          <cell r="A2344" t="str">
            <v>5500|449050</v>
          </cell>
          <cell r="B2344" t="str">
            <v>5500</v>
          </cell>
          <cell r="C2344">
            <v>449050</v>
          </cell>
          <cell r="D2344">
            <v>41426</v>
          </cell>
          <cell r="E2344">
            <v>61814613</v>
          </cell>
          <cell r="F2344">
            <v>30907307</v>
          </cell>
          <cell r="G2344">
            <v>33999982</v>
          </cell>
          <cell r="H2344">
            <v>5151218</v>
          </cell>
          <cell r="I2344">
            <v>5666667</v>
          </cell>
        </row>
        <row r="2345">
          <cell r="A2345" t="str">
            <v>5500|449060</v>
          </cell>
          <cell r="B2345" t="str">
            <v>5500</v>
          </cell>
          <cell r="C2345">
            <v>449060</v>
          </cell>
          <cell r="D2345">
            <v>41426</v>
          </cell>
          <cell r="E2345">
            <v>1400000</v>
          </cell>
          <cell r="F2345">
            <v>700000</v>
          </cell>
          <cell r="G2345">
            <v>1123465</v>
          </cell>
          <cell r="H2345">
            <v>116667</v>
          </cell>
          <cell r="I2345">
            <v>0</v>
          </cell>
        </row>
        <row r="2346">
          <cell r="A2346" t="str">
            <v>5500|449061</v>
          </cell>
          <cell r="B2346" t="str">
            <v>5500</v>
          </cell>
          <cell r="C2346">
            <v>449061</v>
          </cell>
          <cell r="D2346">
            <v>41426</v>
          </cell>
          <cell r="E2346">
            <v>79123149</v>
          </cell>
          <cell r="F2346">
            <v>39561575</v>
          </cell>
          <cell r="G2346">
            <v>17724300</v>
          </cell>
          <cell r="H2346">
            <v>6593596</v>
          </cell>
          <cell r="I2346">
            <v>4812100</v>
          </cell>
        </row>
        <row r="2347">
          <cell r="A2347" t="str">
            <v>5500|451000</v>
          </cell>
          <cell r="B2347" t="str">
            <v>5500</v>
          </cell>
          <cell r="C2347">
            <v>451000</v>
          </cell>
          <cell r="D2347">
            <v>41426</v>
          </cell>
          <cell r="E2347">
            <v>9089315</v>
          </cell>
          <cell r="F2347">
            <v>4544658</v>
          </cell>
          <cell r="G2347">
            <v>0</v>
          </cell>
          <cell r="H2347">
            <v>757443</v>
          </cell>
          <cell r="I2347">
            <v>0</v>
          </cell>
        </row>
        <row r="2348">
          <cell r="A2348" t="str">
            <v>5500|455000</v>
          </cell>
          <cell r="B2348" t="str">
            <v>5500</v>
          </cell>
          <cell r="C2348">
            <v>455000</v>
          </cell>
          <cell r="D2348">
            <v>41426</v>
          </cell>
          <cell r="E2348">
            <v>15000000</v>
          </cell>
          <cell r="F2348">
            <v>7500000</v>
          </cell>
          <cell r="G2348">
            <v>15555965</v>
          </cell>
          <cell r="H2348">
            <v>1250000</v>
          </cell>
          <cell r="I2348">
            <v>4515299</v>
          </cell>
        </row>
        <row r="2349">
          <cell r="A2349" t="str">
            <v>5500|455002</v>
          </cell>
          <cell r="B2349" t="str">
            <v>5500</v>
          </cell>
          <cell r="C2349">
            <v>455002</v>
          </cell>
          <cell r="D2349">
            <v>41426</v>
          </cell>
          <cell r="E2349">
            <v>6000000</v>
          </cell>
          <cell r="F2349">
            <v>3000000</v>
          </cell>
          <cell r="G2349">
            <v>64015106</v>
          </cell>
          <cell r="H2349">
            <v>500000</v>
          </cell>
          <cell r="I2349">
            <v>0</v>
          </cell>
        </row>
        <row r="2350">
          <cell r="A2350" t="str">
            <v>5500|459000</v>
          </cell>
          <cell r="B2350" t="str">
            <v>5500</v>
          </cell>
          <cell r="C2350">
            <v>459000</v>
          </cell>
          <cell r="D2350">
            <v>41426</v>
          </cell>
          <cell r="E2350">
            <v>3787237</v>
          </cell>
          <cell r="F2350">
            <v>1893619</v>
          </cell>
          <cell r="G2350">
            <v>2230750</v>
          </cell>
          <cell r="H2350">
            <v>315604</v>
          </cell>
          <cell r="I2350">
            <v>0</v>
          </cell>
        </row>
        <row r="2351">
          <cell r="A2351" t="str">
            <v>5500|459005</v>
          </cell>
          <cell r="B2351" t="str">
            <v>5500</v>
          </cell>
          <cell r="C2351">
            <v>459005</v>
          </cell>
          <cell r="D2351">
            <v>41426</v>
          </cell>
          <cell r="E2351">
            <v>3762062</v>
          </cell>
          <cell r="F2351">
            <v>1881031</v>
          </cell>
          <cell r="G2351">
            <v>0</v>
          </cell>
          <cell r="H2351">
            <v>313505</v>
          </cell>
          <cell r="I2351">
            <v>0</v>
          </cell>
        </row>
        <row r="2352">
          <cell r="A2352" t="str">
            <v>5500|470102</v>
          </cell>
          <cell r="B2352" t="str">
            <v>5500</v>
          </cell>
          <cell r="C2352">
            <v>470102</v>
          </cell>
          <cell r="D2352">
            <v>41426</v>
          </cell>
          <cell r="E2352">
            <v>5373356</v>
          </cell>
          <cell r="F2352">
            <v>2686678</v>
          </cell>
          <cell r="G2352">
            <v>949494</v>
          </cell>
          <cell r="H2352">
            <v>447780</v>
          </cell>
          <cell r="I2352">
            <v>146999</v>
          </cell>
        </row>
        <row r="2353">
          <cell r="A2353" t="str">
            <v>5500|471000</v>
          </cell>
          <cell r="B2353" t="str">
            <v>5500</v>
          </cell>
          <cell r="C2353">
            <v>471000</v>
          </cell>
          <cell r="D2353">
            <v>41426</v>
          </cell>
          <cell r="E2353">
            <v>29764559</v>
          </cell>
          <cell r="F2353">
            <v>14882280</v>
          </cell>
          <cell r="G2353">
            <v>8179950</v>
          </cell>
          <cell r="H2353">
            <v>2480380</v>
          </cell>
          <cell r="I2353">
            <v>1990000</v>
          </cell>
        </row>
        <row r="2354">
          <cell r="A2354" t="str">
            <v>5500|472000</v>
          </cell>
          <cell r="B2354" t="str">
            <v>5500</v>
          </cell>
          <cell r="C2354">
            <v>472000</v>
          </cell>
          <cell r="D2354">
            <v>41426</v>
          </cell>
          <cell r="E2354">
            <v>50000000</v>
          </cell>
          <cell r="F2354">
            <v>25000000</v>
          </cell>
          <cell r="G2354">
            <v>0</v>
          </cell>
          <cell r="H2354">
            <v>4166667</v>
          </cell>
          <cell r="I2354">
            <v>0</v>
          </cell>
        </row>
        <row r="2355">
          <cell r="A2355" t="str">
            <v>5500|473000</v>
          </cell>
          <cell r="B2355" t="str">
            <v>5500</v>
          </cell>
          <cell r="C2355">
            <v>473000</v>
          </cell>
          <cell r="D2355">
            <v>41426</v>
          </cell>
          <cell r="E2355">
            <v>160870</v>
          </cell>
          <cell r="F2355">
            <v>80435</v>
          </cell>
          <cell r="G2355">
            <v>120000</v>
          </cell>
          <cell r="H2355">
            <v>13406</v>
          </cell>
          <cell r="I2355">
            <v>0</v>
          </cell>
        </row>
        <row r="2356">
          <cell r="A2356" t="str">
            <v>5500|473120</v>
          </cell>
          <cell r="B2356" t="str">
            <v>5500</v>
          </cell>
          <cell r="C2356">
            <v>473120</v>
          </cell>
          <cell r="D2356">
            <v>41426</v>
          </cell>
          <cell r="E2356">
            <v>68617296</v>
          </cell>
          <cell r="F2356">
            <v>34308648</v>
          </cell>
          <cell r="G2356">
            <v>18264501</v>
          </cell>
          <cell r="H2356">
            <v>5718108</v>
          </cell>
          <cell r="I2356">
            <v>6905133</v>
          </cell>
        </row>
        <row r="2357">
          <cell r="A2357" t="str">
            <v>5500|474100</v>
          </cell>
          <cell r="B2357" t="str">
            <v>5500</v>
          </cell>
          <cell r="C2357">
            <v>474100</v>
          </cell>
          <cell r="D2357">
            <v>41426</v>
          </cell>
          <cell r="E2357">
            <v>81232817</v>
          </cell>
          <cell r="F2357">
            <v>40616409</v>
          </cell>
          <cell r="G2357">
            <v>11568698</v>
          </cell>
          <cell r="H2357">
            <v>6769402</v>
          </cell>
          <cell r="I2357">
            <v>0</v>
          </cell>
        </row>
        <row r="2358">
          <cell r="A2358" t="str">
            <v>5500|474101</v>
          </cell>
          <cell r="B2358" t="str">
            <v>5500</v>
          </cell>
          <cell r="C2358">
            <v>474101</v>
          </cell>
          <cell r="D2358">
            <v>41426</v>
          </cell>
          <cell r="E2358">
            <v>22857262</v>
          </cell>
          <cell r="F2358">
            <v>11428631</v>
          </cell>
          <cell r="G2358">
            <v>-2800000</v>
          </cell>
          <cell r="H2358">
            <v>1904772</v>
          </cell>
          <cell r="I2358">
            <v>-2800000</v>
          </cell>
        </row>
        <row r="2359">
          <cell r="A2359" t="str">
            <v>5500|475003</v>
          </cell>
          <cell r="B2359" t="str">
            <v>5500</v>
          </cell>
          <cell r="C2359">
            <v>475003</v>
          </cell>
          <cell r="D2359">
            <v>41426</v>
          </cell>
          <cell r="E2359">
            <v>1509415</v>
          </cell>
          <cell r="F2359">
            <v>754708</v>
          </cell>
          <cell r="G2359">
            <v>2500000</v>
          </cell>
          <cell r="H2359">
            <v>125785</v>
          </cell>
          <cell r="I2359">
            <v>0</v>
          </cell>
        </row>
        <row r="2360">
          <cell r="A2360" t="str">
            <v>5500|475004</v>
          </cell>
          <cell r="B2360" t="str">
            <v>5500</v>
          </cell>
          <cell r="C2360">
            <v>475004</v>
          </cell>
          <cell r="D2360">
            <v>41426</v>
          </cell>
          <cell r="E2360">
            <v>36866447</v>
          </cell>
          <cell r="F2360">
            <v>18433224</v>
          </cell>
          <cell r="G2360">
            <v>26067746</v>
          </cell>
          <cell r="H2360">
            <v>3072204</v>
          </cell>
          <cell r="I2360">
            <v>4574000</v>
          </cell>
        </row>
        <row r="2361">
          <cell r="A2361" t="str">
            <v>5500|475006</v>
          </cell>
          <cell r="B2361" t="str">
            <v>5500</v>
          </cell>
          <cell r="C2361">
            <v>475006</v>
          </cell>
          <cell r="D2361">
            <v>41426</v>
          </cell>
          <cell r="E2361">
            <v>8180757</v>
          </cell>
          <cell r="F2361">
            <v>4090379</v>
          </cell>
          <cell r="G2361">
            <v>7511251</v>
          </cell>
          <cell r="H2361">
            <v>681730</v>
          </cell>
          <cell r="I2361">
            <v>1353375</v>
          </cell>
        </row>
        <row r="2362">
          <cell r="A2362" t="str">
            <v>5500|476000</v>
          </cell>
          <cell r="B2362" t="str">
            <v>5500</v>
          </cell>
          <cell r="C2362">
            <v>476000</v>
          </cell>
          <cell r="D2362">
            <v>41426</v>
          </cell>
          <cell r="E2362">
            <v>10893628</v>
          </cell>
          <cell r="F2362">
            <v>5446814</v>
          </cell>
          <cell r="G2362">
            <v>6556670</v>
          </cell>
          <cell r="H2362">
            <v>907802</v>
          </cell>
          <cell r="I2362">
            <v>1096920</v>
          </cell>
        </row>
        <row r="2363">
          <cell r="A2363" t="str">
            <v>5500|476001</v>
          </cell>
          <cell r="B2363" t="str">
            <v>5500</v>
          </cell>
          <cell r="C2363">
            <v>476001</v>
          </cell>
          <cell r="D2363">
            <v>41426</v>
          </cell>
          <cell r="E2363">
            <v>280131</v>
          </cell>
          <cell r="F2363">
            <v>140066</v>
          </cell>
          <cell r="G2363">
            <v>0</v>
          </cell>
          <cell r="H2363">
            <v>23345</v>
          </cell>
          <cell r="I2363">
            <v>0</v>
          </cell>
        </row>
        <row r="2364">
          <cell r="A2364" t="str">
            <v>5500|476201</v>
          </cell>
          <cell r="B2364" t="str">
            <v>5500</v>
          </cell>
          <cell r="C2364">
            <v>476201</v>
          </cell>
          <cell r="D2364">
            <v>41426</v>
          </cell>
          <cell r="E2364">
            <v>0</v>
          </cell>
          <cell r="F2364">
            <v>0</v>
          </cell>
          <cell r="G2364">
            <v>348061625</v>
          </cell>
          <cell r="H2364">
            <v>0</v>
          </cell>
          <cell r="I2364">
            <v>348061625</v>
          </cell>
        </row>
        <row r="2365">
          <cell r="A2365" t="str">
            <v>5500|476220</v>
          </cell>
          <cell r="B2365" t="str">
            <v>5500</v>
          </cell>
          <cell r="C2365">
            <v>476220</v>
          </cell>
          <cell r="D2365">
            <v>41426</v>
          </cell>
          <cell r="E2365">
            <v>43447613</v>
          </cell>
          <cell r="F2365">
            <v>21723807</v>
          </cell>
          <cell r="G2365">
            <v>-25197468</v>
          </cell>
          <cell r="H2365">
            <v>3620635</v>
          </cell>
          <cell r="I2365">
            <v>0</v>
          </cell>
        </row>
        <row r="2366">
          <cell r="A2366" t="str">
            <v>5500|476900</v>
          </cell>
          <cell r="B2366" t="str">
            <v>5500</v>
          </cell>
          <cell r="C2366">
            <v>476900</v>
          </cell>
          <cell r="D2366">
            <v>41426</v>
          </cell>
          <cell r="E2366">
            <v>26533704</v>
          </cell>
          <cell r="F2366">
            <v>13266852</v>
          </cell>
          <cell r="G2366">
            <v>991000</v>
          </cell>
          <cell r="H2366">
            <v>2211142</v>
          </cell>
          <cell r="I2366">
            <v>0</v>
          </cell>
        </row>
        <row r="2367">
          <cell r="A2367" t="str">
            <v>5500|476910</v>
          </cell>
          <cell r="B2367" t="str">
            <v>5500</v>
          </cell>
          <cell r="C2367">
            <v>476910</v>
          </cell>
          <cell r="D2367">
            <v>41426</v>
          </cell>
          <cell r="E2367">
            <v>743426</v>
          </cell>
          <cell r="F2367">
            <v>371713</v>
          </cell>
          <cell r="G2367">
            <v>0</v>
          </cell>
          <cell r="H2367">
            <v>61952</v>
          </cell>
          <cell r="I2367">
            <v>0</v>
          </cell>
        </row>
        <row r="2368">
          <cell r="A2368" t="str">
            <v>5500|477310</v>
          </cell>
          <cell r="B2368" t="str">
            <v>5500</v>
          </cell>
          <cell r="C2368">
            <v>477310</v>
          </cell>
          <cell r="D2368">
            <v>41426</v>
          </cell>
          <cell r="E2368">
            <v>0</v>
          </cell>
          <cell r="F2368">
            <v>0</v>
          </cell>
          <cell r="G2368">
            <v>-1227555</v>
          </cell>
          <cell r="H2368">
            <v>0</v>
          </cell>
          <cell r="I2368">
            <v>0</v>
          </cell>
        </row>
        <row r="2369">
          <cell r="A2369" t="str">
            <v>5520|211104</v>
          </cell>
          <cell r="B2369" t="str">
            <v>5520</v>
          </cell>
          <cell r="C2369">
            <v>211104</v>
          </cell>
          <cell r="D2369">
            <v>41426</v>
          </cell>
          <cell r="E2369">
            <v>392175849</v>
          </cell>
          <cell r="F2369">
            <v>196087925</v>
          </cell>
          <cell r="G2369">
            <v>138494931</v>
          </cell>
          <cell r="H2369">
            <v>32681321</v>
          </cell>
          <cell r="I2369">
            <v>23972023</v>
          </cell>
        </row>
        <row r="2370">
          <cell r="A2370" t="str">
            <v>5520|400040</v>
          </cell>
          <cell r="B2370" t="str">
            <v>5520</v>
          </cell>
          <cell r="C2370">
            <v>400040</v>
          </cell>
          <cell r="D2370">
            <v>41426</v>
          </cell>
          <cell r="E2370">
            <v>25000000</v>
          </cell>
          <cell r="F2370">
            <v>12500000</v>
          </cell>
          <cell r="G2370">
            <v>6246440</v>
          </cell>
          <cell r="H2370">
            <v>2083333</v>
          </cell>
          <cell r="I2370">
            <v>-13147290</v>
          </cell>
        </row>
        <row r="2371">
          <cell r="A2371" t="str">
            <v>5520|420001</v>
          </cell>
          <cell r="B2371" t="str">
            <v>5520</v>
          </cell>
          <cell r="C2371">
            <v>420001</v>
          </cell>
          <cell r="D2371">
            <v>41426</v>
          </cell>
          <cell r="E2371">
            <v>876967313</v>
          </cell>
          <cell r="F2371">
            <v>438483657</v>
          </cell>
          <cell r="G2371">
            <v>453936678</v>
          </cell>
          <cell r="H2371">
            <v>73080610</v>
          </cell>
          <cell r="I2371">
            <v>70769148</v>
          </cell>
        </row>
        <row r="2372">
          <cell r="A2372" t="str">
            <v>5520|422001</v>
          </cell>
          <cell r="B2372" t="str">
            <v>5520</v>
          </cell>
          <cell r="C2372">
            <v>422001</v>
          </cell>
          <cell r="D2372">
            <v>41426</v>
          </cell>
          <cell r="E2372">
            <v>1370282</v>
          </cell>
          <cell r="F2372">
            <v>685141</v>
          </cell>
          <cell r="G2372">
            <v>1516300</v>
          </cell>
          <cell r="H2372">
            <v>114190</v>
          </cell>
          <cell r="I2372">
            <v>0</v>
          </cell>
        </row>
        <row r="2373">
          <cell r="A2373" t="str">
            <v>5520|431001</v>
          </cell>
          <cell r="B2373" t="str">
            <v>5520</v>
          </cell>
          <cell r="C2373">
            <v>431001</v>
          </cell>
          <cell r="D2373">
            <v>41426</v>
          </cell>
          <cell r="E2373">
            <v>129000000</v>
          </cell>
          <cell r="F2373">
            <v>64500000</v>
          </cell>
          <cell r="G2373">
            <v>105771228</v>
          </cell>
          <cell r="H2373">
            <v>10750000</v>
          </cell>
          <cell r="I2373">
            <v>0</v>
          </cell>
        </row>
        <row r="2374">
          <cell r="A2374" t="str">
            <v>5520|434011</v>
          </cell>
          <cell r="B2374" t="str">
            <v>5520</v>
          </cell>
          <cell r="C2374">
            <v>434011</v>
          </cell>
          <cell r="D2374">
            <v>41426</v>
          </cell>
          <cell r="E2374">
            <v>0</v>
          </cell>
          <cell r="F2374">
            <v>0</v>
          </cell>
          <cell r="G2374">
            <v>37107254</v>
          </cell>
          <cell r="H2374">
            <v>0</v>
          </cell>
          <cell r="I2374">
            <v>6159663</v>
          </cell>
        </row>
        <row r="2375">
          <cell r="A2375" t="str">
            <v>5520|435001</v>
          </cell>
          <cell r="B2375" t="str">
            <v>5520</v>
          </cell>
          <cell r="C2375">
            <v>435001</v>
          </cell>
          <cell r="D2375">
            <v>41426</v>
          </cell>
          <cell r="E2375">
            <v>79128642</v>
          </cell>
          <cell r="F2375">
            <v>39564321</v>
          </cell>
          <cell r="G2375">
            <v>103284750</v>
          </cell>
          <cell r="H2375">
            <v>6594053</v>
          </cell>
          <cell r="I2375">
            <v>0</v>
          </cell>
        </row>
        <row r="2376">
          <cell r="A2376" t="str">
            <v>5520|439001</v>
          </cell>
          <cell r="B2376" t="str">
            <v>5520</v>
          </cell>
          <cell r="C2376">
            <v>439001</v>
          </cell>
          <cell r="D2376">
            <v>41426</v>
          </cell>
          <cell r="E2376">
            <v>169153224</v>
          </cell>
          <cell r="F2376">
            <v>84576612</v>
          </cell>
          <cell r="G2376">
            <v>81829678</v>
          </cell>
          <cell r="H2376">
            <v>14096102</v>
          </cell>
          <cell r="I2376">
            <v>13734663</v>
          </cell>
        </row>
        <row r="2377">
          <cell r="A2377" t="str">
            <v>5520|440001</v>
          </cell>
          <cell r="B2377" t="str">
            <v>5520</v>
          </cell>
          <cell r="C2377">
            <v>440001</v>
          </cell>
          <cell r="D2377">
            <v>41426</v>
          </cell>
          <cell r="E2377">
            <v>163080609</v>
          </cell>
          <cell r="F2377">
            <v>81540305</v>
          </cell>
          <cell r="G2377">
            <v>39945040</v>
          </cell>
          <cell r="H2377">
            <v>13590051</v>
          </cell>
          <cell r="I2377">
            <v>6523186</v>
          </cell>
        </row>
        <row r="2378">
          <cell r="A2378" t="str">
            <v>5520|446001</v>
          </cell>
          <cell r="B2378" t="str">
            <v>5520</v>
          </cell>
          <cell r="C2378">
            <v>446001</v>
          </cell>
          <cell r="D2378">
            <v>41426</v>
          </cell>
          <cell r="E2378">
            <v>30492272</v>
          </cell>
          <cell r="F2378">
            <v>15246136</v>
          </cell>
          <cell r="G2378">
            <v>22100000</v>
          </cell>
          <cell r="H2378">
            <v>2541023</v>
          </cell>
          <cell r="I2378">
            <v>3475000</v>
          </cell>
        </row>
        <row r="2379">
          <cell r="A2379" t="str">
            <v>5520|447001</v>
          </cell>
          <cell r="B2379" t="str">
            <v>5520</v>
          </cell>
          <cell r="C2379">
            <v>447001</v>
          </cell>
          <cell r="D2379">
            <v>41426</v>
          </cell>
          <cell r="E2379">
            <v>13768387</v>
          </cell>
          <cell r="F2379">
            <v>6884194</v>
          </cell>
          <cell r="G2379">
            <v>7115796</v>
          </cell>
          <cell r="H2379">
            <v>1147366</v>
          </cell>
          <cell r="I2379">
            <v>1157626</v>
          </cell>
        </row>
        <row r="2380">
          <cell r="A2380" t="str">
            <v>5520|447011</v>
          </cell>
          <cell r="B2380" t="str">
            <v>5520</v>
          </cell>
          <cell r="C2380">
            <v>447011</v>
          </cell>
          <cell r="D2380">
            <v>41426</v>
          </cell>
          <cell r="E2380">
            <v>32447791</v>
          </cell>
          <cell r="F2380">
            <v>16223896</v>
          </cell>
          <cell r="G2380">
            <v>16769671</v>
          </cell>
          <cell r="H2380">
            <v>2703983</v>
          </cell>
          <cell r="I2380">
            <v>2728156</v>
          </cell>
        </row>
        <row r="2381">
          <cell r="A2381" t="str">
            <v>5520|447021</v>
          </cell>
          <cell r="B2381" t="str">
            <v>5520</v>
          </cell>
          <cell r="C2381">
            <v>447021</v>
          </cell>
          <cell r="D2381">
            <v>41426</v>
          </cell>
          <cell r="E2381">
            <v>1376839</v>
          </cell>
          <cell r="F2381">
            <v>688420</v>
          </cell>
          <cell r="G2381">
            <v>850549</v>
          </cell>
          <cell r="H2381">
            <v>114737</v>
          </cell>
          <cell r="I2381">
            <v>117650</v>
          </cell>
        </row>
        <row r="2382">
          <cell r="A2382" t="str">
            <v>5520|448000</v>
          </cell>
          <cell r="B2382" t="str">
            <v>5520</v>
          </cell>
          <cell r="C2382">
            <v>448000</v>
          </cell>
          <cell r="D2382">
            <v>41426</v>
          </cell>
          <cell r="E2382">
            <v>0</v>
          </cell>
          <cell r="F2382">
            <v>0</v>
          </cell>
          <cell r="G2382">
            <v>1335500</v>
          </cell>
          <cell r="H2382">
            <v>0</v>
          </cell>
          <cell r="I2382">
            <v>120000</v>
          </cell>
        </row>
        <row r="2383">
          <cell r="A2383" t="str">
            <v>5520|448001</v>
          </cell>
          <cell r="B2383" t="str">
            <v>5520</v>
          </cell>
          <cell r="C2383">
            <v>448001</v>
          </cell>
          <cell r="D2383">
            <v>41426</v>
          </cell>
          <cell r="E2383">
            <v>73412677</v>
          </cell>
          <cell r="F2383">
            <v>36706339</v>
          </cell>
          <cell r="G2383">
            <v>50150255</v>
          </cell>
          <cell r="H2383">
            <v>6117724</v>
          </cell>
          <cell r="I2383">
            <v>6989600</v>
          </cell>
        </row>
        <row r="2384">
          <cell r="A2384" t="str">
            <v>5520|449025</v>
          </cell>
          <cell r="B2384" t="str">
            <v>5520</v>
          </cell>
          <cell r="C2384">
            <v>449025</v>
          </cell>
          <cell r="D2384">
            <v>41426</v>
          </cell>
          <cell r="E2384">
            <v>129400000</v>
          </cell>
          <cell r="F2384">
            <v>64700000</v>
          </cell>
          <cell r="G2384">
            <v>36193500</v>
          </cell>
          <cell r="H2384">
            <v>10783333</v>
          </cell>
          <cell r="I2384">
            <v>5202000</v>
          </cell>
        </row>
        <row r="2385">
          <cell r="A2385" t="str">
            <v>5520|449032</v>
          </cell>
          <cell r="B2385" t="str">
            <v>5520</v>
          </cell>
          <cell r="C2385">
            <v>449032</v>
          </cell>
          <cell r="D2385">
            <v>41426</v>
          </cell>
          <cell r="E2385">
            <v>982656</v>
          </cell>
          <cell r="F2385">
            <v>491328</v>
          </cell>
          <cell r="G2385">
            <v>0</v>
          </cell>
          <cell r="H2385">
            <v>81888</v>
          </cell>
          <cell r="I2385">
            <v>0</v>
          </cell>
        </row>
        <row r="2386">
          <cell r="A2386" t="str">
            <v>5520|449040</v>
          </cell>
          <cell r="B2386" t="str">
            <v>5520</v>
          </cell>
          <cell r="C2386">
            <v>449040</v>
          </cell>
          <cell r="D2386">
            <v>41426</v>
          </cell>
          <cell r="E2386">
            <v>657728</v>
          </cell>
          <cell r="F2386">
            <v>328864</v>
          </cell>
          <cell r="G2386">
            <v>0</v>
          </cell>
          <cell r="H2386">
            <v>54811</v>
          </cell>
          <cell r="I2386">
            <v>0</v>
          </cell>
        </row>
        <row r="2387">
          <cell r="A2387" t="str">
            <v>5520|449060</v>
          </cell>
          <cell r="B2387" t="str">
            <v>5520</v>
          </cell>
          <cell r="C2387">
            <v>449060</v>
          </cell>
          <cell r="D2387">
            <v>41426</v>
          </cell>
          <cell r="E2387">
            <v>400000</v>
          </cell>
          <cell r="F2387">
            <v>200000</v>
          </cell>
          <cell r="G2387">
            <v>106500</v>
          </cell>
          <cell r="H2387">
            <v>33333</v>
          </cell>
          <cell r="I2387">
            <v>0</v>
          </cell>
        </row>
        <row r="2388">
          <cell r="A2388" t="str">
            <v>5520|449061</v>
          </cell>
          <cell r="B2388" t="str">
            <v>5520</v>
          </cell>
          <cell r="C2388">
            <v>449061</v>
          </cell>
          <cell r="D2388">
            <v>41426</v>
          </cell>
          <cell r="E2388">
            <v>3573406</v>
          </cell>
          <cell r="F2388">
            <v>1786703</v>
          </cell>
          <cell r="G2388">
            <v>2665000</v>
          </cell>
          <cell r="H2388">
            <v>297784</v>
          </cell>
          <cell r="I2388">
            <v>438000</v>
          </cell>
        </row>
        <row r="2389">
          <cell r="A2389" t="str">
            <v>5520|451000</v>
          </cell>
          <cell r="B2389" t="str">
            <v>5520</v>
          </cell>
          <cell r="C2389">
            <v>451000</v>
          </cell>
          <cell r="D2389">
            <v>41426</v>
          </cell>
          <cell r="E2389">
            <v>220293</v>
          </cell>
          <cell r="F2389">
            <v>110147</v>
          </cell>
          <cell r="G2389">
            <v>0</v>
          </cell>
          <cell r="H2389">
            <v>18358</v>
          </cell>
          <cell r="I2389">
            <v>0</v>
          </cell>
        </row>
        <row r="2390">
          <cell r="A2390" t="str">
            <v>5520|452000</v>
          </cell>
          <cell r="B2390" t="str">
            <v>5520</v>
          </cell>
          <cell r="C2390">
            <v>452000</v>
          </cell>
          <cell r="D2390">
            <v>41426</v>
          </cell>
          <cell r="E2390">
            <v>25000000</v>
          </cell>
          <cell r="F2390">
            <v>12500000</v>
          </cell>
          <cell r="G2390">
            <v>-3972500</v>
          </cell>
          <cell r="H2390">
            <v>2083333</v>
          </cell>
          <cell r="I2390">
            <v>-5937500</v>
          </cell>
        </row>
        <row r="2391">
          <cell r="A2391" t="str">
            <v>5520|455000</v>
          </cell>
          <cell r="B2391" t="str">
            <v>5520</v>
          </cell>
          <cell r="C2391">
            <v>455000</v>
          </cell>
          <cell r="D2391">
            <v>41426</v>
          </cell>
          <cell r="E2391">
            <v>780000</v>
          </cell>
          <cell r="F2391">
            <v>390000</v>
          </cell>
          <cell r="G2391">
            <v>0</v>
          </cell>
          <cell r="H2391">
            <v>65000</v>
          </cell>
          <cell r="I2391">
            <v>0</v>
          </cell>
        </row>
        <row r="2392">
          <cell r="A2392" t="str">
            <v>5520|470102</v>
          </cell>
          <cell r="B2392" t="str">
            <v>5520</v>
          </cell>
          <cell r="C2392">
            <v>470102</v>
          </cell>
          <cell r="D2392">
            <v>41426</v>
          </cell>
          <cell r="E2392">
            <v>1641279</v>
          </cell>
          <cell r="F2392">
            <v>820640</v>
          </cell>
          <cell r="G2392">
            <v>1676160</v>
          </cell>
          <cell r="H2392">
            <v>136774</v>
          </cell>
          <cell r="I2392">
            <v>218500</v>
          </cell>
        </row>
        <row r="2393">
          <cell r="A2393" t="str">
            <v>5520|476000</v>
          </cell>
          <cell r="B2393" t="str">
            <v>5520</v>
          </cell>
          <cell r="C2393">
            <v>476000</v>
          </cell>
          <cell r="D2393">
            <v>41426</v>
          </cell>
          <cell r="E2393">
            <v>6807848</v>
          </cell>
          <cell r="F2393">
            <v>3403924</v>
          </cell>
          <cell r="G2393">
            <v>2308600</v>
          </cell>
          <cell r="H2393">
            <v>567321</v>
          </cell>
          <cell r="I2393">
            <v>0</v>
          </cell>
        </row>
        <row r="2394">
          <cell r="A2394" t="str">
            <v>5700|211104</v>
          </cell>
          <cell r="B2394" t="str">
            <v>5700</v>
          </cell>
          <cell r="C2394">
            <v>211104</v>
          </cell>
          <cell r="D2394">
            <v>41426</v>
          </cell>
          <cell r="E2394">
            <v>9479906</v>
          </cell>
          <cell r="F2394">
            <v>4739953</v>
          </cell>
          <cell r="G2394">
            <v>4772556</v>
          </cell>
          <cell r="H2394">
            <v>789992</v>
          </cell>
          <cell r="I2394">
            <v>784587</v>
          </cell>
        </row>
        <row r="2395">
          <cell r="A2395" t="str">
            <v>5700|400040</v>
          </cell>
          <cell r="B2395" t="str">
            <v>5700</v>
          </cell>
          <cell r="C2395">
            <v>400040</v>
          </cell>
          <cell r="D2395">
            <v>41426</v>
          </cell>
          <cell r="E2395">
            <v>7600000</v>
          </cell>
          <cell r="F2395">
            <v>3800000</v>
          </cell>
          <cell r="G2395">
            <v>1419000</v>
          </cell>
          <cell r="H2395">
            <v>633333</v>
          </cell>
          <cell r="I2395">
            <v>0</v>
          </cell>
        </row>
        <row r="2396">
          <cell r="A2396" t="str">
            <v>5700|405200</v>
          </cell>
          <cell r="B2396" t="str">
            <v>5700</v>
          </cell>
          <cell r="C2396">
            <v>405200</v>
          </cell>
          <cell r="D2396">
            <v>41426</v>
          </cell>
          <cell r="E2396">
            <v>0</v>
          </cell>
          <cell r="F2396">
            <v>0</v>
          </cell>
          <cell r="G2396">
            <v>2323500</v>
          </cell>
          <cell r="H2396">
            <v>0</v>
          </cell>
          <cell r="I2396">
            <v>0</v>
          </cell>
        </row>
        <row r="2397">
          <cell r="A2397" t="str">
            <v>5700|420002</v>
          </cell>
          <cell r="B2397" t="str">
            <v>5700</v>
          </cell>
          <cell r="C2397">
            <v>420002</v>
          </cell>
          <cell r="D2397">
            <v>41426</v>
          </cell>
          <cell r="E2397">
            <v>398823659</v>
          </cell>
          <cell r="F2397">
            <v>199411830</v>
          </cell>
          <cell r="G2397">
            <v>240486000</v>
          </cell>
          <cell r="H2397">
            <v>33235305</v>
          </cell>
          <cell r="I2397">
            <v>40081000</v>
          </cell>
        </row>
        <row r="2398">
          <cell r="A2398" t="str">
            <v>5700|420003</v>
          </cell>
          <cell r="B2398" t="str">
            <v>5700</v>
          </cell>
          <cell r="C2398">
            <v>420003</v>
          </cell>
          <cell r="D2398">
            <v>41426</v>
          </cell>
          <cell r="E2398">
            <v>969660529</v>
          </cell>
          <cell r="F2398">
            <v>484830265</v>
          </cell>
          <cell r="G2398">
            <v>470617791</v>
          </cell>
          <cell r="H2398">
            <v>80805045</v>
          </cell>
          <cell r="I2398">
            <v>79312913</v>
          </cell>
        </row>
        <row r="2399">
          <cell r="A2399" t="str">
            <v>5700|422002</v>
          </cell>
          <cell r="B2399" t="str">
            <v>5700</v>
          </cell>
          <cell r="C2399">
            <v>422002</v>
          </cell>
          <cell r="D2399">
            <v>41426</v>
          </cell>
          <cell r="E2399">
            <v>211230</v>
          </cell>
          <cell r="F2399">
            <v>105615</v>
          </cell>
          <cell r="G2399">
            <v>954200</v>
          </cell>
          <cell r="H2399">
            <v>17602</v>
          </cell>
          <cell r="I2399">
            <v>0</v>
          </cell>
        </row>
        <row r="2400">
          <cell r="A2400" t="str">
            <v>5700|431002</v>
          </cell>
          <cell r="B2400" t="str">
            <v>5700</v>
          </cell>
          <cell r="C2400">
            <v>431002</v>
          </cell>
          <cell r="D2400">
            <v>41426</v>
          </cell>
          <cell r="E2400">
            <v>14570087</v>
          </cell>
          <cell r="F2400">
            <v>7285044</v>
          </cell>
          <cell r="G2400">
            <v>15279124</v>
          </cell>
          <cell r="H2400">
            <v>1214174</v>
          </cell>
          <cell r="I2400">
            <v>0</v>
          </cell>
        </row>
        <row r="2401">
          <cell r="A2401" t="str">
            <v>5700|434012</v>
          </cell>
          <cell r="B2401" t="str">
            <v>5700</v>
          </cell>
          <cell r="C2401">
            <v>434012</v>
          </cell>
          <cell r="D2401">
            <v>41426</v>
          </cell>
          <cell r="E2401">
            <v>8746133</v>
          </cell>
          <cell r="F2401">
            <v>4373067</v>
          </cell>
          <cell r="G2401">
            <v>6910405</v>
          </cell>
          <cell r="H2401">
            <v>728845</v>
          </cell>
          <cell r="I2401">
            <v>1163737</v>
          </cell>
        </row>
        <row r="2402">
          <cell r="A2402" t="str">
            <v>5700|434013</v>
          </cell>
          <cell r="B2402" t="str">
            <v>5700</v>
          </cell>
          <cell r="C2402">
            <v>434013</v>
          </cell>
          <cell r="D2402">
            <v>41426</v>
          </cell>
          <cell r="E2402">
            <v>28017619</v>
          </cell>
          <cell r="F2402">
            <v>14008810</v>
          </cell>
          <cell r="G2402">
            <v>15001608</v>
          </cell>
          <cell r="H2402">
            <v>2334802</v>
          </cell>
          <cell r="I2402">
            <v>2401952</v>
          </cell>
        </row>
        <row r="2403">
          <cell r="A2403" t="str">
            <v>5700|435002</v>
          </cell>
          <cell r="B2403" t="str">
            <v>5700</v>
          </cell>
          <cell r="C2403">
            <v>435002</v>
          </cell>
          <cell r="D2403">
            <v>41426</v>
          </cell>
          <cell r="E2403">
            <v>68132375</v>
          </cell>
          <cell r="F2403">
            <v>34066188</v>
          </cell>
          <cell r="G2403">
            <v>42665000</v>
          </cell>
          <cell r="H2403">
            <v>5677698</v>
          </cell>
          <cell r="I2403">
            <v>0</v>
          </cell>
        </row>
        <row r="2404">
          <cell r="A2404" t="str">
            <v>5700|435003</v>
          </cell>
          <cell r="B2404" t="str">
            <v>5700</v>
          </cell>
          <cell r="C2404">
            <v>435003</v>
          </cell>
          <cell r="D2404">
            <v>41426</v>
          </cell>
          <cell r="E2404">
            <v>169237551</v>
          </cell>
          <cell r="F2404">
            <v>84618776</v>
          </cell>
          <cell r="G2404">
            <v>189448500</v>
          </cell>
          <cell r="H2404">
            <v>14103130</v>
          </cell>
          <cell r="I2404">
            <v>0</v>
          </cell>
        </row>
        <row r="2405">
          <cell r="A2405" t="str">
            <v>5700|439003</v>
          </cell>
          <cell r="B2405" t="str">
            <v>5700</v>
          </cell>
          <cell r="C2405">
            <v>439003</v>
          </cell>
          <cell r="D2405">
            <v>41426</v>
          </cell>
          <cell r="E2405">
            <v>157799517</v>
          </cell>
          <cell r="F2405">
            <v>78899759</v>
          </cell>
          <cell r="G2405">
            <v>80292432</v>
          </cell>
          <cell r="H2405">
            <v>13149960</v>
          </cell>
          <cell r="I2405">
            <v>12890421</v>
          </cell>
        </row>
        <row r="2406">
          <cell r="A2406" t="str">
            <v>5700|439008</v>
          </cell>
          <cell r="B2406" t="str">
            <v>5700</v>
          </cell>
          <cell r="C2406">
            <v>439008</v>
          </cell>
          <cell r="D2406">
            <v>41426</v>
          </cell>
          <cell r="E2406">
            <v>82110313</v>
          </cell>
          <cell r="F2406">
            <v>41055157</v>
          </cell>
          <cell r="G2406">
            <v>66562658</v>
          </cell>
          <cell r="H2406">
            <v>6842527</v>
          </cell>
          <cell r="I2406">
            <v>11187780</v>
          </cell>
        </row>
        <row r="2407">
          <cell r="A2407" t="str">
            <v>5700|439203</v>
          </cell>
          <cell r="B2407" t="str">
            <v>5700</v>
          </cell>
          <cell r="C2407">
            <v>439203</v>
          </cell>
          <cell r="D2407">
            <v>41426</v>
          </cell>
          <cell r="E2407">
            <v>0</v>
          </cell>
          <cell r="F2407">
            <v>0</v>
          </cell>
          <cell r="G2407">
            <v>869000</v>
          </cell>
          <cell r="H2407">
            <v>0</v>
          </cell>
          <cell r="I2407">
            <v>0</v>
          </cell>
        </row>
        <row r="2408">
          <cell r="A2408" t="str">
            <v>5700|440002</v>
          </cell>
          <cell r="B2408" t="str">
            <v>5700</v>
          </cell>
          <cell r="C2408">
            <v>440002</v>
          </cell>
          <cell r="D2408">
            <v>41426</v>
          </cell>
          <cell r="E2408">
            <v>33235305</v>
          </cell>
          <cell r="F2408">
            <v>16617653</v>
          </cell>
          <cell r="G2408">
            <v>24718740</v>
          </cell>
          <cell r="H2408">
            <v>2769609</v>
          </cell>
          <cell r="I2408">
            <v>2783332</v>
          </cell>
        </row>
        <row r="2409">
          <cell r="A2409" t="str">
            <v>5700|440003</v>
          </cell>
          <cell r="B2409" t="str">
            <v>5700</v>
          </cell>
          <cell r="C2409">
            <v>440003</v>
          </cell>
          <cell r="D2409">
            <v>41426</v>
          </cell>
          <cell r="E2409">
            <v>80805044</v>
          </cell>
          <cell r="F2409">
            <v>40402522</v>
          </cell>
          <cell r="G2409">
            <v>45834673</v>
          </cell>
          <cell r="H2409">
            <v>6733754</v>
          </cell>
          <cell r="I2409">
            <v>9426414</v>
          </cell>
        </row>
        <row r="2410">
          <cell r="A2410" t="str">
            <v>5700|446002</v>
          </cell>
          <cell r="B2410" t="str">
            <v>5700</v>
          </cell>
          <cell r="C2410">
            <v>446002</v>
          </cell>
          <cell r="D2410">
            <v>41426</v>
          </cell>
          <cell r="E2410">
            <v>25047652</v>
          </cell>
          <cell r="F2410">
            <v>12523826</v>
          </cell>
          <cell r="G2410">
            <v>5100000</v>
          </cell>
          <cell r="H2410">
            <v>2087304</v>
          </cell>
          <cell r="I2410">
            <v>850000</v>
          </cell>
        </row>
        <row r="2411">
          <cell r="A2411" t="str">
            <v>5700|447002</v>
          </cell>
          <cell r="B2411" t="str">
            <v>5700</v>
          </cell>
          <cell r="C2411">
            <v>447002</v>
          </cell>
          <cell r="D2411">
            <v>41426</v>
          </cell>
          <cell r="E2411">
            <v>6261531</v>
          </cell>
          <cell r="F2411">
            <v>3130766</v>
          </cell>
          <cell r="G2411">
            <v>3214740</v>
          </cell>
          <cell r="H2411">
            <v>521795</v>
          </cell>
          <cell r="I2411">
            <v>535790</v>
          </cell>
        </row>
        <row r="2412">
          <cell r="A2412" t="str">
            <v>5700|447003</v>
          </cell>
          <cell r="B2412" t="str">
            <v>5700</v>
          </cell>
          <cell r="C2412">
            <v>447003</v>
          </cell>
          <cell r="D2412">
            <v>41426</v>
          </cell>
          <cell r="E2412">
            <v>15223828</v>
          </cell>
          <cell r="F2412">
            <v>7611914</v>
          </cell>
          <cell r="G2412">
            <v>7436628</v>
          </cell>
          <cell r="H2412">
            <v>1268652</v>
          </cell>
          <cell r="I2412">
            <v>1239438</v>
          </cell>
        </row>
        <row r="2413">
          <cell r="A2413" t="str">
            <v>5700|447012</v>
          </cell>
          <cell r="B2413" t="str">
            <v>5700</v>
          </cell>
          <cell r="C2413">
            <v>447012</v>
          </cell>
          <cell r="D2413">
            <v>41426</v>
          </cell>
          <cell r="E2413">
            <v>14756475</v>
          </cell>
          <cell r="F2413">
            <v>7378238</v>
          </cell>
          <cell r="G2413">
            <v>8897988</v>
          </cell>
          <cell r="H2413">
            <v>1229707</v>
          </cell>
          <cell r="I2413">
            <v>1482998</v>
          </cell>
        </row>
        <row r="2414">
          <cell r="A2414" t="str">
            <v>5700|447013</v>
          </cell>
          <cell r="B2414" t="str">
            <v>5700</v>
          </cell>
          <cell r="C2414">
            <v>447013</v>
          </cell>
          <cell r="D2414">
            <v>41426</v>
          </cell>
          <cell r="E2414">
            <v>35877440</v>
          </cell>
          <cell r="F2414">
            <v>17938720</v>
          </cell>
          <cell r="G2414">
            <v>17525796</v>
          </cell>
          <cell r="H2414">
            <v>2989787</v>
          </cell>
          <cell r="I2414">
            <v>2920966</v>
          </cell>
        </row>
        <row r="2415">
          <cell r="A2415" t="str">
            <v>5700|447022</v>
          </cell>
          <cell r="B2415" t="str">
            <v>5700</v>
          </cell>
          <cell r="C2415">
            <v>447022</v>
          </cell>
          <cell r="D2415">
            <v>41426</v>
          </cell>
          <cell r="E2415">
            <v>626153</v>
          </cell>
          <cell r="F2415">
            <v>313077</v>
          </cell>
          <cell r="G2415">
            <v>402936</v>
          </cell>
          <cell r="H2415">
            <v>52180</v>
          </cell>
          <cell r="I2415">
            <v>57775</v>
          </cell>
        </row>
        <row r="2416">
          <cell r="A2416" t="str">
            <v>5700|447023</v>
          </cell>
          <cell r="B2416" t="str">
            <v>5700</v>
          </cell>
          <cell r="C2416">
            <v>447023</v>
          </cell>
          <cell r="D2416">
            <v>41426</v>
          </cell>
          <cell r="E2416">
            <v>1259875</v>
          </cell>
          <cell r="F2416">
            <v>629938</v>
          </cell>
          <cell r="G2416">
            <v>1754211</v>
          </cell>
          <cell r="H2416">
            <v>104990</v>
          </cell>
          <cell r="I2416">
            <v>287975</v>
          </cell>
        </row>
        <row r="2417">
          <cell r="A2417" t="str">
            <v>5700|448002</v>
          </cell>
          <cell r="B2417" t="str">
            <v>5700</v>
          </cell>
          <cell r="C2417">
            <v>448002</v>
          </cell>
          <cell r="D2417">
            <v>41426</v>
          </cell>
          <cell r="E2417">
            <v>29838954</v>
          </cell>
          <cell r="F2417">
            <v>14919477</v>
          </cell>
          <cell r="G2417">
            <v>13603390</v>
          </cell>
          <cell r="H2417">
            <v>2486579</v>
          </cell>
          <cell r="I2417">
            <v>1986000</v>
          </cell>
        </row>
        <row r="2418">
          <cell r="A2418" t="str">
            <v>5700|448003</v>
          </cell>
          <cell r="B2418" t="str">
            <v>5700</v>
          </cell>
          <cell r="C2418">
            <v>448003</v>
          </cell>
          <cell r="D2418">
            <v>41426</v>
          </cell>
          <cell r="E2418">
            <v>54914354</v>
          </cell>
          <cell r="F2418">
            <v>27457177</v>
          </cell>
          <cell r="G2418">
            <v>22461800</v>
          </cell>
          <cell r="H2418">
            <v>4576196</v>
          </cell>
          <cell r="I2418">
            <v>5030800</v>
          </cell>
        </row>
        <row r="2419">
          <cell r="A2419" t="str">
            <v>5700|449022</v>
          </cell>
          <cell r="B2419" t="str">
            <v>5700</v>
          </cell>
          <cell r="C2419">
            <v>449022</v>
          </cell>
          <cell r="D2419">
            <v>41426</v>
          </cell>
          <cell r="E2419">
            <v>19800000</v>
          </cell>
          <cell r="F2419">
            <v>9900000</v>
          </cell>
          <cell r="G2419">
            <v>15190500</v>
          </cell>
          <cell r="H2419">
            <v>1650000</v>
          </cell>
          <cell r="I2419">
            <v>2199000</v>
          </cell>
        </row>
        <row r="2420">
          <cell r="A2420" t="str">
            <v>5700|449023</v>
          </cell>
          <cell r="B2420" t="str">
            <v>5700</v>
          </cell>
          <cell r="C2420">
            <v>449023</v>
          </cell>
          <cell r="D2420">
            <v>41426</v>
          </cell>
          <cell r="E2420">
            <v>37356000</v>
          </cell>
          <cell r="F2420">
            <v>18678000</v>
          </cell>
          <cell r="G2420">
            <v>22748000</v>
          </cell>
          <cell r="H2420">
            <v>3113000</v>
          </cell>
          <cell r="I2420">
            <v>3863000</v>
          </cell>
        </row>
        <row r="2421">
          <cell r="A2421" t="str">
            <v>5700|449032</v>
          </cell>
          <cell r="B2421" t="str">
            <v>5700</v>
          </cell>
          <cell r="C2421">
            <v>449032</v>
          </cell>
          <cell r="D2421">
            <v>41426</v>
          </cell>
          <cell r="E2421">
            <v>2698918</v>
          </cell>
          <cell r="F2421">
            <v>1349459</v>
          </cell>
          <cell r="G2421">
            <v>0</v>
          </cell>
          <cell r="H2421">
            <v>224910</v>
          </cell>
          <cell r="I2421">
            <v>0</v>
          </cell>
        </row>
        <row r="2422">
          <cell r="A2422" t="str">
            <v>5700|449040</v>
          </cell>
          <cell r="B2422" t="str">
            <v>5700</v>
          </cell>
          <cell r="C2422">
            <v>449040</v>
          </cell>
          <cell r="D2422">
            <v>41426</v>
          </cell>
          <cell r="E2422">
            <v>5628124</v>
          </cell>
          <cell r="F2422">
            <v>2814062</v>
          </cell>
          <cell r="G2422">
            <v>0</v>
          </cell>
          <cell r="H2422">
            <v>469010</v>
          </cell>
          <cell r="I2422">
            <v>0</v>
          </cell>
        </row>
        <row r="2423">
          <cell r="A2423" t="str">
            <v>5700|449050</v>
          </cell>
          <cell r="B2423" t="str">
            <v>5700</v>
          </cell>
          <cell r="C2423">
            <v>449050</v>
          </cell>
          <cell r="D2423">
            <v>41426</v>
          </cell>
          <cell r="E2423">
            <v>41765537</v>
          </cell>
          <cell r="F2423">
            <v>20882769</v>
          </cell>
          <cell r="G2423">
            <v>12599148</v>
          </cell>
          <cell r="H2423">
            <v>3480462</v>
          </cell>
          <cell r="I2423">
            <v>3066667</v>
          </cell>
        </row>
        <row r="2424">
          <cell r="A2424" t="str">
            <v>5700|449061</v>
          </cell>
          <cell r="B2424" t="str">
            <v>5700</v>
          </cell>
          <cell r="C2424">
            <v>449061</v>
          </cell>
          <cell r="D2424">
            <v>41426</v>
          </cell>
          <cell r="E2424">
            <v>17457159</v>
          </cell>
          <cell r="F2424">
            <v>8728580</v>
          </cell>
          <cell r="G2424">
            <v>7141500</v>
          </cell>
          <cell r="H2424">
            <v>1454764</v>
          </cell>
          <cell r="I2424">
            <v>1456500</v>
          </cell>
        </row>
        <row r="2425">
          <cell r="A2425" t="str">
            <v>5700|451000</v>
          </cell>
          <cell r="B2425" t="str">
            <v>5700</v>
          </cell>
          <cell r="C2425">
            <v>451000</v>
          </cell>
          <cell r="D2425">
            <v>41426</v>
          </cell>
          <cell r="E2425">
            <v>3365923</v>
          </cell>
          <cell r="F2425">
            <v>1682962</v>
          </cell>
          <cell r="G2425">
            <v>27500</v>
          </cell>
          <cell r="H2425">
            <v>280494</v>
          </cell>
          <cell r="I2425">
            <v>0</v>
          </cell>
        </row>
        <row r="2426">
          <cell r="A2426" t="str">
            <v>5700|455000</v>
          </cell>
          <cell r="B2426" t="str">
            <v>5700</v>
          </cell>
          <cell r="C2426">
            <v>455000</v>
          </cell>
          <cell r="D2426">
            <v>41426</v>
          </cell>
          <cell r="E2426">
            <v>2000000</v>
          </cell>
          <cell r="F2426">
            <v>1000000</v>
          </cell>
          <cell r="G2426">
            <v>318967</v>
          </cell>
          <cell r="H2426">
            <v>166667</v>
          </cell>
          <cell r="I2426">
            <v>0</v>
          </cell>
        </row>
        <row r="2427">
          <cell r="A2427" t="str">
            <v>5700|459000</v>
          </cell>
          <cell r="B2427" t="str">
            <v>5700</v>
          </cell>
          <cell r="C2427">
            <v>459000</v>
          </cell>
          <cell r="D2427">
            <v>41426</v>
          </cell>
          <cell r="E2427">
            <v>636796</v>
          </cell>
          <cell r="F2427">
            <v>318398</v>
          </cell>
          <cell r="G2427">
            <v>1400000</v>
          </cell>
          <cell r="H2427">
            <v>53066</v>
          </cell>
          <cell r="I2427">
            <v>0</v>
          </cell>
        </row>
        <row r="2428">
          <cell r="A2428" t="str">
            <v>5700|459005</v>
          </cell>
          <cell r="B2428" t="str">
            <v>5700</v>
          </cell>
          <cell r="C2428">
            <v>459005</v>
          </cell>
          <cell r="D2428">
            <v>41426</v>
          </cell>
          <cell r="E2428">
            <v>373336</v>
          </cell>
          <cell r="F2428">
            <v>186668</v>
          </cell>
          <cell r="G2428">
            <v>0</v>
          </cell>
          <cell r="H2428">
            <v>31111</v>
          </cell>
          <cell r="I2428">
            <v>0</v>
          </cell>
        </row>
        <row r="2429">
          <cell r="A2429" t="str">
            <v>5700|470102</v>
          </cell>
          <cell r="B2429" t="str">
            <v>5700</v>
          </cell>
          <cell r="C2429">
            <v>470102</v>
          </cell>
          <cell r="D2429">
            <v>41426</v>
          </cell>
          <cell r="E2429">
            <v>3278217</v>
          </cell>
          <cell r="F2429">
            <v>1639109</v>
          </cell>
          <cell r="G2429">
            <v>1458304</v>
          </cell>
          <cell r="H2429">
            <v>273185</v>
          </cell>
          <cell r="I2429">
            <v>269000</v>
          </cell>
        </row>
        <row r="2430">
          <cell r="A2430" t="str">
            <v>5700|471000</v>
          </cell>
          <cell r="B2430" t="str">
            <v>5700</v>
          </cell>
          <cell r="C2430">
            <v>471000</v>
          </cell>
          <cell r="D2430">
            <v>41426</v>
          </cell>
          <cell r="E2430">
            <v>48138941</v>
          </cell>
          <cell r="F2430">
            <v>24069471</v>
          </cell>
          <cell r="G2430">
            <v>13825030</v>
          </cell>
          <cell r="H2430">
            <v>4011579</v>
          </cell>
          <cell r="I2430">
            <v>1990000</v>
          </cell>
        </row>
        <row r="2431">
          <cell r="A2431" t="str">
            <v>5700|472000</v>
          </cell>
          <cell r="B2431" t="str">
            <v>5700</v>
          </cell>
          <cell r="C2431">
            <v>472000</v>
          </cell>
          <cell r="D2431">
            <v>41426</v>
          </cell>
          <cell r="E2431">
            <v>0</v>
          </cell>
          <cell r="F2431">
            <v>0</v>
          </cell>
          <cell r="G2431">
            <v>660000</v>
          </cell>
          <cell r="H2431">
            <v>0</v>
          </cell>
          <cell r="I2431">
            <v>0</v>
          </cell>
        </row>
        <row r="2432">
          <cell r="A2432" t="str">
            <v>5700|473120</v>
          </cell>
          <cell r="B2432" t="str">
            <v>5700</v>
          </cell>
          <cell r="C2432">
            <v>473120</v>
          </cell>
          <cell r="D2432">
            <v>41426</v>
          </cell>
          <cell r="E2432">
            <v>12735919</v>
          </cell>
          <cell r="F2432">
            <v>6367960</v>
          </cell>
          <cell r="G2432">
            <v>7422893</v>
          </cell>
          <cell r="H2432">
            <v>1061327</v>
          </cell>
          <cell r="I2432">
            <v>1753890</v>
          </cell>
        </row>
        <row r="2433">
          <cell r="A2433" t="str">
            <v>5700|474100</v>
          </cell>
          <cell r="B2433" t="str">
            <v>5700</v>
          </cell>
          <cell r="C2433">
            <v>474100</v>
          </cell>
          <cell r="D2433">
            <v>41426</v>
          </cell>
          <cell r="E2433">
            <v>48455743</v>
          </cell>
          <cell r="F2433">
            <v>24227872</v>
          </cell>
          <cell r="G2433">
            <v>-4800000</v>
          </cell>
          <cell r="H2433">
            <v>4037979</v>
          </cell>
          <cell r="I2433">
            <v>-4800000</v>
          </cell>
        </row>
        <row r="2434">
          <cell r="A2434" t="str">
            <v>5700|475003</v>
          </cell>
          <cell r="B2434" t="str">
            <v>5700</v>
          </cell>
          <cell r="C2434">
            <v>475003</v>
          </cell>
          <cell r="D2434">
            <v>41426</v>
          </cell>
          <cell r="E2434">
            <v>594183</v>
          </cell>
          <cell r="F2434">
            <v>297092</v>
          </cell>
          <cell r="G2434">
            <v>0</v>
          </cell>
          <cell r="H2434">
            <v>49516</v>
          </cell>
          <cell r="I2434">
            <v>0</v>
          </cell>
        </row>
        <row r="2435">
          <cell r="A2435" t="str">
            <v>5700|475004</v>
          </cell>
          <cell r="B2435" t="str">
            <v>5700</v>
          </cell>
          <cell r="C2435">
            <v>475004</v>
          </cell>
          <cell r="D2435">
            <v>41426</v>
          </cell>
          <cell r="E2435">
            <v>26110054</v>
          </cell>
          <cell r="F2435">
            <v>13055027</v>
          </cell>
          <cell r="G2435">
            <v>14762000</v>
          </cell>
          <cell r="H2435">
            <v>2175838</v>
          </cell>
          <cell r="I2435">
            <v>3400000</v>
          </cell>
        </row>
        <row r="2436">
          <cell r="A2436" t="str">
            <v>5700|475006</v>
          </cell>
          <cell r="B2436" t="str">
            <v>5700</v>
          </cell>
          <cell r="C2436">
            <v>475006</v>
          </cell>
          <cell r="D2436">
            <v>41426</v>
          </cell>
          <cell r="E2436">
            <v>10585877</v>
          </cell>
          <cell r="F2436">
            <v>5292939</v>
          </cell>
          <cell r="G2436">
            <v>8684221</v>
          </cell>
          <cell r="H2436">
            <v>882157</v>
          </cell>
          <cell r="I2436">
            <v>1116343</v>
          </cell>
        </row>
        <row r="2437">
          <cell r="A2437" t="str">
            <v>5700|476000</v>
          </cell>
          <cell r="B2437" t="str">
            <v>5700</v>
          </cell>
          <cell r="C2437">
            <v>476000</v>
          </cell>
          <cell r="D2437">
            <v>41426</v>
          </cell>
          <cell r="E2437">
            <v>15896683</v>
          </cell>
          <cell r="F2437">
            <v>7948342</v>
          </cell>
          <cell r="G2437">
            <v>4753280</v>
          </cell>
          <cell r="H2437">
            <v>1324724</v>
          </cell>
          <cell r="I2437">
            <v>1199420</v>
          </cell>
        </row>
        <row r="2438">
          <cell r="A2438" t="str">
            <v>5700|476001</v>
          </cell>
          <cell r="B2438" t="str">
            <v>5700</v>
          </cell>
          <cell r="C2438">
            <v>476001</v>
          </cell>
          <cell r="D2438">
            <v>41426</v>
          </cell>
          <cell r="E2438">
            <v>127522</v>
          </cell>
          <cell r="F2438">
            <v>63761</v>
          </cell>
          <cell r="G2438">
            <v>0</v>
          </cell>
          <cell r="H2438">
            <v>10627</v>
          </cell>
          <cell r="I2438">
            <v>0</v>
          </cell>
        </row>
        <row r="2439">
          <cell r="A2439" t="str">
            <v>5700|476201</v>
          </cell>
          <cell r="B2439" t="str">
            <v>5700</v>
          </cell>
          <cell r="C2439">
            <v>476201</v>
          </cell>
          <cell r="D2439">
            <v>41426</v>
          </cell>
          <cell r="E2439">
            <v>0</v>
          </cell>
          <cell r="F2439">
            <v>0</v>
          </cell>
          <cell r="G2439">
            <v>-258590000</v>
          </cell>
          <cell r="H2439">
            <v>0</v>
          </cell>
          <cell r="I2439">
            <v>0</v>
          </cell>
        </row>
        <row r="2440">
          <cell r="A2440" t="str">
            <v>5700|476220</v>
          </cell>
          <cell r="B2440" t="str">
            <v>5700</v>
          </cell>
          <cell r="C2440">
            <v>476220</v>
          </cell>
          <cell r="D2440">
            <v>41426</v>
          </cell>
          <cell r="E2440">
            <v>1182557</v>
          </cell>
          <cell r="F2440">
            <v>591279</v>
          </cell>
          <cell r="G2440">
            <v>0</v>
          </cell>
          <cell r="H2440">
            <v>98547</v>
          </cell>
          <cell r="I2440">
            <v>0</v>
          </cell>
        </row>
        <row r="2441">
          <cell r="A2441" t="str">
            <v>6000|211104</v>
          </cell>
          <cell r="B2441" t="str">
            <v>6000</v>
          </cell>
          <cell r="C2441">
            <v>211104</v>
          </cell>
          <cell r="D2441">
            <v>41426</v>
          </cell>
          <cell r="E2441">
            <v>3012675</v>
          </cell>
          <cell r="F2441">
            <v>1506338</v>
          </cell>
          <cell r="G2441">
            <v>1555182</v>
          </cell>
          <cell r="H2441">
            <v>251057</v>
          </cell>
          <cell r="I2441">
            <v>248344</v>
          </cell>
        </row>
        <row r="2442">
          <cell r="A2442" t="str">
            <v>6000|420003</v>
          </cell>
          <cell r="B2442" t="str">
            <v>6000</v>
          </cell>
          <cell r="C2442">
            <v>420003</v>
          </cell>
          <cell r="D2442">
            <v>41426</v>
          </cell>
          <cell r="E2442">
            <v>420326449</v>
          </cell>
          <cell r="F2442">
            <v>210163225</v>
          </cell>
          <cell r="G2442">
            <v>202861729</v>
          </cell>
          <cell r="H2442">
            <v>35027205</v>
          </cell>
          <cell r="I2442">
            <v>34188156</v>
          </cell>
        </row>
        <row r="2443">
          <cell r="A2443" t="str">
            <v>6000|434013</v>
          </cell>
          <cell r="B2443" t="str">
            <v>6000</v>
          </cell>
          <cell r="C2443">
            <v>434013</v>
          </cell>
          <cell r="D2443">
            <v>41426</v>
          </cell>
          <cell r="E2443">
            <v>0</v>
          </cell>
          <cell r="F2443">
            <v>0</v>
          </cell>
          <cell r="G2443">
            <v>3750402</v>
          </cell>
          <cell r="H2443">
            <v>0</v>
          </cell>
          <cell r="I2443">
            <v>600488</v>
          </cell>
        </row>
        <row r="2444">
          <cell r="A2444" t="str">
            <v>6000|435003</v>
          </cell>
          <cell r="B2444" t="str">
            <v>6000</v>
          </cell>
          <cell r="C2444">
            <v>435003</v>
          </cell>
          <cell r="D2444">
            <v>41426</v>
          </cell>
          <cell r="E2444">
            <v>52540806</v>
          </cell>
          <cell r="F2444">
            <v>26270403</v>
          </cell>
          <cell r="G2444">
            <v>61677000</v>
          </cell>
          <cell r="H2444">
            <v>4378400</v>
          </cell>
          <cell r="I2444">
            <v>0</v>
          </cell>
        </row>
        <row r="2445">
          <cell r="A2445" t="str">
            <v>6000|439003</v>
          </cell>
          <cell r="B2445" t="str">
            <v>6000</v>
          </cell>
          <cell r="C2445">
            <v>439003</v>
          </cell>
          <cell r="D2445">
            <v>41426</v>
          </cell>
          <cell r="E2445">
            <v>39449879</v>
          </cell>
          <cell r="F2445">
            <v>19724940</v>
          </cell>
          <cell r="G2445">
            <v>20073108</v>
          </cell>
          <cell r="H2445">
            <v>3287490</v>
          </cell>
          <cell r="I2445">
            <v>3222605</v>
          </cell>
        </row>
        <row r="2446">
          <cell r="A2446" t="str">
            <v>6000|440003</v>
          </cell>
          <cell r="B2446" t="str">
            <v>6000</v>
          </cell>
          <cell r="C2446">
            <v>440003</v>
          </cell>
          <cell r="D2446">
            <v>41426</v>
          </cell>
          <cell r="E2446">
            <v>35027204</v>
          </cell>
          <cell r="F2446">
            <v>17513602</v>
          </cell>
          <cell r="G2446">
            <v>19757225</v>
          </cell>
          <cell r="H2446">
            <v>2918934</v>
          </cell>
          <cell r="I2446">
            <v>4063295</v>
          </cell>
        </row>
        <row r="2447">
          <cell r="A2447" t="str">
            <v>6000|447003</v>
          </cell>
          <cell r="B2447" t="str">
            <v>6000</v>
          </cell>
          <cell r="C2447">
            <v>447003</v>
          </cell>
          <cell r="D2447">
            <v>41426</v>
          </cell>
          <cell r="E2447">
            <v>6599470</v>
          </cell>
          <cell r="F2447">
            <v>3299735</v>
          </cell>
          <cell r="G2447">
            <v>2694216</v>
          </cell>
          <cell r="H2447">
            <v>549956</v>
          </cell>
          <cell r="I2447">
            <v>449036</v>
          </cell>
        </row>
        <row r="2448">
          <cell r="A2448" t="str">
            <v>6000|447013</v>
          </cell>
          <cell r="B2448" t="str">
            <v>6000</v>
          </cell>
          <cell r="C2448">
            <v>447013</v>
          </cell>
          <cell r="D2448">
            <v>41426</v>
          </cell>
          <cell r="E2448">
            <v>15552079</v>
          </cell>
          <cell r="F2448">
            <v>7776040</v>
          </cell>
          <cell r="G2448">
            <v>6349422</v>
          </cell>
          <cell r="H2448">
            <v>1296007</v>
          </cell>
          <cell r="I2448">
            <v>1058237</v>
          </cell>
        </row>
        <row r="2449">
          <cell r="A2449" t="str">
            <v>6000|447023</v>
          </cell>
          <cell r="B2449" t="str">
            <v>6000</v>
          </cell>
          <cell r="C2449">
            <v>447023</v>
          </cell>
          <cell r="D2449">
            <v>41426</v>
          </cell>
          <cell r="E2449">
            <v>546151</v>
          </cell>
          <cell r="F2449">
            <v>273076</v>
          </cell>
          <cell r="G2449">
            <v>841375</v>
          </cell>
          <cell r="H2449">
            <v>45513</v>
          </cell>
          <cell r="I2449">
            <v>149625</v>
          </cell>
        </row>
        <row r="2450">
          <cell r="A2450" t="str">
            <v>6000|448003</v>
          </cell>
          <cell r="B2450" t="str">
            <v>6000</v>
          </cell>
          <cell r="C2450">
            <v>448003</v>
          </cell>
          <cell r="D2450">
            <v>41426</v>
          </cell>
          <cell r="E2450">
            <v>21799371</v>
          </cell>
          <cell r="F2450">
            <v>10899686</v>
          </cell>
          <cell r="G2450">
            <v>160000</v>
          </cell>
          <cell r="H2450">
            <v>1816615</v>
          </cell>
          <cell r="I2450">
            <v>160000</v>
          </cell>
        </row>
        <row r="2451">
          <cell r="A2451" t="str">
            <v>6000|449050</v>
          </cell>
          <cell r="B2451" t="str">
            <v>6000</v>
          </cell>
          <cell r="C2451">
            <v>449050</v>
          </cell>
          <cell r="D2451">
            <v>41426</v>
          </cell>
          <cell r="E2451">
            <v>26849365</v>
          </cell>
          <cell r="F2451">
            <v>13424683</v>
          </cell>
          <cell r="G2451">
            <v>14768004</v>
          </cell>
          <cell r="H2451">
            <v>2237448</v>
          </cell>
          <cell r="I2451">
            <v>2461334</v>
          </cell>
        </row>
        <row r="2452">
          <cell r="A2452" t="str">
            <v>6000|449061</v>
          </cell>
          <cell r="B2452" t="str">
            <v>6000</v>
          </cell>
          <cell r="C2452">
            <v>449061</v>
          </cell>
          <cell r="D2452">
            <v>41426</v>
          </cell>
          <cell r="E2452">
            <v>8556972</v>
          </cell>
          <cell r="F2452">
            <v>4278486</v>
          </cell>
          <cell r="G2452">
            <v>4647000</v>
          </cell>
          <cell r="H2452">
            <v>713081</v>
          </cell>
          <cell r="I2452">
            <v>867000</v>
          </cell>
        </row>
        <row r="2453">
          <cell r="A2453" t="str">
            <v>6000|459000</v>
          </cell>
          <cell r="B2453" t="str">
            <v>6000</v>
          </cell>
          <cell r="C2453">
            <v>459000</v>
          </cell>
          <cell r="D2453">
            <v>41426</v>
          </cell>
          <cell r="E2453">
            <v>636796</v>
          </cell>
          <cell r="F2453">
            <v>318398</v>
          </cell>
          <cell r="G2453">
            <v>0</v>
          </cell>
          <cell r="H2453">
            <v>53066</v>
          </cell>
          <cell r="I2453">
            <v>0</v>
          </cell>
        </row>
        <row r="2454">
          <cell r="A2454" t="str">
            <v>6000|470101</v>
          </cell>
          <cell r="B2454" t="str">
            <v>6000</v>
          </cell>
          <cell r="C2454">
            <v>470101</v>
          </cell>
          <cell r="D2454">
            <v>41426</v>
          </cell>
          <cell r="E2454">
            <v>54583590</v>
          </cell>
          <cell r="F2454">
            <v>27291795</v>
          </cell>
          <cell r="G2454">
            <v>26323501</v>
          </cell>
          <cell r="H2454">
            <v>4548632</v>
          </cell>
          <cell r="I2454">
            <v>5241000</v>
          </cell>
        </row>
        <row r="2455">
          <cell r="A2455" t="str">
            <v>6000|471000</v>
          </cell>
          <cell r="B2455" t="str">
            <v>6000</v>
          </cell>
          <cell r="C2455">
            <v>471000</v>
          </cell>
          <cell r="D2455">
            <v>41426</v>
          </cell>
          <cell r="E2455">
            <v>31582698</v>
          </cell>
          <cell r="F2455">
            <v>15791349</v>
          </cell>
          <cell r="G2455">
            <v>19391560</v>
          </cell>
          <cell r="H2455">
            <v>2631891</v>
          </cell>
          <cell r="I2455">
            <v>2696160</v>
          </cell>
        </row>
        <row r="2456">
          <cell r="A2456" t="str">
            <v>6000|473000</v>
          </cell>
          <cell r="B2456" t="str">
            <v>6000</v>
          </cell>
          <cell r="C2456">
            <v>473000</v>
          </cell>
          <cell r="D2456">
            <v>41426</v>
          </cell>
          <cell r="E2456">
            <v>6087</v>
          </cell>
          <cell r="F2456">
            <v>3044</v>
          </cell>
          <cell r="G2456">
            <v>0</v>
          </cell>
          <cell r="H2456">
            <v>508</v>
          </cell>
          <cell r="I2456">
            <v>0</v>
          </cell>
        </row>
        <row r="2457">
          <cell r="A2457" t="str">
            <v>6000|473120</v>
          </cell>
          <cell r="B2457" t="str">
            <v>6000</v>
          </cell>
          <cell r="C2457">
            <v>473120</v>
          </cell>
          <cell r="D2457">
            <v>41426</v>
          </cell>
          <cell r="E2457">
            <v>5065352</v>
          </cell>
          <cell r="F2457">
            <v>2532676</v>
          </cell>
          <cell r="G2457">
            <v>807416</v>
          </cell>
          <cell r="H2457">
            <v>422113</v>
          </cell>
          <cell r="I2457">
            <v>209324</v>
          </cell>
        </row>
        <row r="2458">
          <cell r="A2458" t="str">
            <v>6000|474100</v>
          </cell>
          <cell r="B2458" t="str">
            <v>6000</v>
          </cell>
          <cell r="C2458">
            <v>474100</v>
          </cell>
          <cell r="D2458">
            <v>41426</v>
          </cell>
          <cell r="E2458">
            <v>11211420</v>
          </cell>
          <cell r="F2458">
            <v>5605710</v>
          </cell>
          <cell r="G2458">
            <v>0</v>
          </cell>
          <cell r="H2458">
            <v>934285</v>
          </cell>
          <cell r="I2458">
            <v>0</v>
          </cell>
        </row>
        <row r="2459">
          <cell r="A2459" t="str">
            <v>6000|475004</v>
          </cell>
          <cell r="B2459" t="str">
            <v>6000</v>
          </cell>
          <cell r="C2459">
            <v>475004</v>
          </cell>
          <cell r="D2459">
            <v>41426</v>
          </cell>
          <cell r="E2459">
            <v>37861036</v>
          </cell>
          <cell r="F2459">
            <v>18930518</v>
          </cell>
          <cell r="G2459">
            <v>29053299</v>
          </cell>
          <cell r="H2459">
            <v>3155086</v>
          </cell>
          <cell r="I2459">
            <v>5462690</v>
          </cell>
        </row>
        <row r="2460">
          <cell r="A2460" t="str">
            <v>6000|475006</v>
          </cell>
          <cell r="B2460" t="str">
            <v>6000</v>
          </cell>
          <cell r="C2460">
            <v>475006</v>
          </cell>
          <cell r="D2460">
            <v>41426</v>
          </cell>
          <cell r="E2460">
            <v>8180744</v>
          </cell>
          <cell r="F2460">
            <v>4090372</v>
          </cell>
          <cell r="G2460">
            <v>4993123</v>
          </cell>
          <cell r="H2460">
            <v>681729</v>
          </cell>
          <cell r="I2460">
            <v>933687</v>
          </cell>
        </row>
        <row r="2461">
          <cell r="A2461" t="str">
            <v>6000|476000</v>
          </cell>
          <cell r="B2461" t="str">
            <v>6000</v>
          </cell>
          <cell r="C2461">
            <v>476000</v>
          </cell>
          <cell r="D2461">
            <v>41426</v>
          </cell>
          <cell r="E2461">
            <v>23121700</v>
          </cell>
          <cell r="F2461">
            <v>11560850</v>
          </cell>
          <cell r="G2461">
            <v>6233249</v>
          </cell>
          <cell r="H2461">
            <v>1926808</v>
          </cell>
          <cell r="I2461">
            <v>0</v>
          </cell>
        </row>
        <row r="2462">
          <cell r="A2462" t="str">
            <v>6000|476001</v>
          </cell>
          <cell r="B2462" t="str">
            <v>6000</v>
          </cell>
          <cell r="C2462">
            <v>476001</v>
          </cell>
          <cell r="D2462">
            <v>41426</v>
          </cell>
          <cell r="E2462">
            <v>616300</v>
          </cell>
          <cell r="F2462">
            <v>308150</v>
          </cell>
          <cell r="G2462">
            <v>433000</v>
          </cell>
          <cell r="H2462">
            <v>51357</v>
          </cell>
          <cell r="I2462">
            <v>255000</v>
          </cell>
        </row>
        <row r="2463">
          <cell r="A2463" t="str">
            <v>6110|211104</v>
          </cell>
          <cell r="B2463" t="str">
            <v>6110</v>
          </cell>
          <cell r="C2463">
            <v>211104</v>
          </cell>
          <cell r="D2463">
            <v>41426</v>
          </cell>
          <cell r="E2463">
            <v>24704347</v>
          </cell>
          <cell r="F2463">
            <v>12352174</v>
          </cell>
          <cell r="G2463">
            <v>9782472</v>
          </cell>
          <cell r="H2463">
            <v>2058696</v>
          </cell>
          <cell r="I2463">
            <v>1630414</v>
          </cell>
        </row>
        <row r="2464">
          <cell r="A2464" t="str">
            <v>6110|400040</v>
          </cell>
          <cell r="B2464" t="str">
            <v>6110</v>
          </cell>
          <cell r="C2464">
            <v>400040</v>
          </cell>
          <cell r="D2464">
            <v>41426</v>
          </cell>
          <cell r="E2464">
            <v>250000</v>
          </cell>
          <cell r="F2464">
            <v>125000</v>
          </cell>
          <cell r="G2464">
            <v>330000</v>
          </cell>
          <cell r="H2464">
            <v>20833</v>
          </cell>
          <cell r="I2464">
            <v>330000</v>
          </cell>
        </row>
        <row r="2465">
          <cell r="A2465" t="str">
            <v>6110|420000</v>
          </cell>
          <cell r="B2465" t="str">
            <v>6110</v>
          </cell>
          <cell r="C2465">
            <v>420000</v>
          </cell>
          <cell r="D2465">
            <v>41426</v>
          </cell>
          <cell r="E2465">
            <v>75806492</v>
          </cell>
          <cell r="F2465">
            <v>37903246</v>
          </cell>
          <cell r="G2465">
            <v>33984000</v>
          </cell>
          <cell r="H2465">
            <v>6317208</v>
          </cell>
          <cell r="I2465">
            <v>5664000</v>
          </cell>
        </row>
        <row r="2466">
          <cell r="A2466" t="str">
            <v>6110|420003</v>
          </cell>
          <cell r="B2466" t="str">
            <v>6110</v>
          </cell>
          <cell r="C2466">
            <v>420003</v>
          </cell>
          <cell r="D2466">
            <v>41426</v>
          </cell>
          <cell r="E2466">
            <v>255520683</v>
          </cell>
          <cell r="F2466">
            <v>127760342</v>
          </cell>
          <cell r="G2466">
            <v>126179805</v>
          </cell>
          <cell r="H2466">
            <v>21293391</v>
          </cell>
          <cell r="I2466">
            <v>21265001</v>
          </cell>
        </row>
        <row r="2467">
          <cell r="A2467" t="str">
            <v>6110|422000</v>
          </cell>
          <cell r="B2467" t="str">
            <v>6110</v>
          </cell>
          <cell r="C2467">
            <v>422000</v>
          </cell>
          <cell r="D2467">
            <v>41426</v>
          </cell>
          <cell r="E2467">
            <v>635670</v>
          </cell>
          <cell r="F2467">
            <v>317835</v>
          </cell>
          <cell r="G2467">
            <v>107400</v>
          </cell>
          <cell r="H2467">
            <v>52972</v>
          </cell>
          <cell r="I2467">
            <v>0</v>
          </cell>
        </row>
        <row r="2468">
          <cell r="A2468" t="str">
            <v>6110|431000</v>
          </cell>
          <cell r="B2468" t="str">
            <v>6110</v>
          </cell>
          <cell r="C2468">
            <v>431000</v>
          </cell>
          <cell r="D2468">
            <v>41426</v>
          </cell>
          <cell r="E2468">
            <v>12000000</v>
          </cell>
          <cell r="F2468">
            <v>6000000</v>
          </cell>
          <cell r="G2468">
            <v>584048</v>
          </cell>
          <cell r="H2468">
            <v>1000000</v>
          </cell>
          <cell r="I2468">
            <v>0</v>
          </cell>
        </row>
        <row r="2469">
          <cell r="A2469" t="str">
            <v>6110|434010</v>
          </cell>
          <cell r="B2469" t="str">
            <v>6110</v>
          </cell>
          <cell r="C2469">
            <v>434010</v>
          </cell>
          <cell r="D2469">
            <v>41426</v>
          </cell>
          <cell r="E2469">
            <v>0</v>
          </cell>
          <cell r="F2469">
            <v>0</v>
          </cell>
          <cell r="G2469">
            <v>2127709</v>
          </cell>
          <cell r="H2469">
            <v>0</v>
          </cell>
          <cell r="I2469">
            <v>341777</v>
          </cell>
        </row>
        <row r="2470">
          <cell r="A2470" t="str">
            <v>6110|434013</v>
          </cell>
          <cell r="B2470" t="str">
            <v>6110</v>
          </cell>
          <cell r="C2470">
            <v>434013</v>
          </cell>
          <cell r="D2470">
            <v>41426</v>
          </cell>
          <cell r="E2470">
            <v>28017619</v>
          </cell>
          <cell r="F2470">
            <v>14008810</v>
          </cell>
          <cell r="G2470">
            <v>3750402</v>
          </cell>
          <cell r="H2470">
            <v>2334802</v>
          </cell>
          <cell r="I2470">
            <v>600488</v>
          </cell>
        </row>
        <row r="2471">
          <cell r="A2471" t="str">
            <v>6110|435000</v>
          </cell>
          <cell r="B2471" t="str">
            <v>6110</v>
          </cell>
          <cell r="C2471">
            <v>435000</v>
          </cell>
          <cell r="D2471">
            <v>41426</v>
          </cell>
          <cell r="E2471">
            <v>6317208</v>
          </cell>
          <cell r="F2471">
            <v>3158604</v>
          </cell>
          <cell r="G2471">
            <v>5085500</v>
          </cell>
          <cell r="H2471">
            <v>526434</v>
          </cell>
          <cell r="I2471">
            <v>0</v>
          </cell>
        </row>
        <row r="2472">
          <cell r="A2472" t="str">
            <v>6110|435003</v>
          </cell>
          <cell r="B2472" t="str">
            <v>6110</v>
          </cell>
          <cell r="C2472">
            <v>435003</v>
          </cell>
          <cell r="D2472">
            <v>41426</v>
          </cell>
          <cell r="E2472">
            <v>31940085</v>
          </cell>
          <cell r="F2472">
            <v>15970043</v>
          </cell>
          <cell r="G2472">
            <v>40917000</v>
          </cell>
          <cell r="H2472">
            <v>2661674</v>
          </cell>
          <cell r="I2472">
            <v>0</v>
          </cell>
        </row>
        <row r="2473">
          <cell r="A2473" t="str">
            <v>6110|439000</v>
          </cell>
          <cell r="B2473" t="str">
            <v>6110</v>
          </cell>
          <cell r="C2473">
            <v>439000</v>
          </cell>
          <cell r="D2473">
            <v>41426</v>
          </cell>
          <cell r="E2473">
            <v>10293368</v>
          </cell>
          <cell r="F2473">
            <v>5146684</v>
          </cell>
          <cell r="G2473">
            <v>3945575</v>
          </cell>
          <cell r="H2473">
            <v>857781</v>
          </cell>
          <cell r="I2473">
            <v>633394</v>
          </cell>
        </row>
        <row r="2474">
          <cell r="A2474" t="str">
            <v>6110|439003</v>
          </cell>
          <cell r="B2474" t="str">
            <v>6110</v>
          </cell>
          <cell r="C2474">
            <v>439003</v>
          </cell>
          <cell r="D2474">
            <v>41426</v>
          </cell>
          <cell r="E2474">
            <v>39449879</v>
          </cell>
          <cell r="F2474">
            <v>19724940</v>
          </cell>
          <cell r="G2474">
            <v>20073108</v>
          </cell>
          <cell r="H2474">
            <v>3287490</v>
          </cell>
          <cell r="I2474">
            <v>3222605</v>
          </cell>
        </row>
        <row r="2475">
          <cell r="A2475" t="str">
            <v>6110|440000</v>
          </cell>
          <cell r="B2475" t="str">
            <v>6110</v>
          </cell>
          <cell r="C2475">
            <v>440000</v>
          </cell>
          <cell r="D2475">
            <v>41426</v>
          </cell>
          <cell r="E2475">
            <v>6317208</v>
          </cell>
          <cell r="F2475">
            <v>3158604</v>
          </cell>
          <cell r="G2475">
            <v>2011292</v>
          </cell>
          <cell r="H2475">
            <v>526434</v>
          </cell>
          <cell r="I2475">
            <v>259988</v>
          </cell>
        </row>
        <row r="2476">
          <cell r="A2476" t="str">
            <v>6110|440003</v>
          </cell>
          <cell r="B2476" t="str">
            <v>6110</v>
          </cell>
          <cell r="C2476">
            <v>440003</v>
          </cell>
          <cell r="D2476">
            <v>41426</v>
          </cell>
          <cell r="E2476">
            <v>21293390</v>
          </cell>
          <cell r="F2476">
            <v>10646695</v>
          </cell>
          <cell r="G2476">
            <v>12288976</v>
          </cell>
          <cell r="H2476">
            <v>1774449</v>
          </cell>
          <cell r="I2476">
            <v>2527365</v>
          </cell>
        </row>
        <row r="2477">
          <cell r="A2477" t="str">
            <v>6110|446000</v>
          </cell>
          <cell r="B2477" t="str">
            <v>6110</v>
          </cell>
          <cell r="C2477">
            <v>446000</v>
          </cell>
          <cell r="D2477">
            <v>41426</v>
          </cell>
          <cell r="E2477">
            <v>3158604</v>
          </cell>
          <cell r="F2477">
            <v>1579302</v>
          </cell>
          <cell r="G2477">
            <v>1200000</v>
          </cell>
          <cell r="H2477">
            <v>263217</v>
          </cell>
          <cell r="I2477">
            <v>200000</v>
          </cell>
        </row>
        <row r="2478">
          <cell r="A2478" t="str">
            <v>6110|447000</v>
          </cell>
          <cell r="B2478" t="str">
            <v>6110</v>
          </cell>
          <cell r="C2478">
            <v>447000</v>
          </cell>
          <cell r="D2478">
            <v>41426</v>
          </cell>
          <cell r="E2478">
            <v>1190162</v>
          </cell>
          <cell r="F2478">
            <v>595081</v>
          </cell>
          <cell r="G2478">
            <v>533550</v>
          </cell>
          <cell r="H2478">
            <v>99180</v>
          </cell>
          <cell r="I2478">
            <v>88925</v>
          </cell>
        </row>
        <row r="2479">
          <cell r="A2479" t="str">
            <v>6110|447003</v>
          </cell>
          <cell r="B2479" t="str">
            <v>6110</v>
          </cell>
          <cell r="C2479">
            <v>447003</v>
          </cell>
          <cell r="D2479">
            <v>41426</v>
          </cell>
          <cell r="E2479">
            <v>4012241</v>
          </cell>
          <cell r="F2479">
            <v>2006121</v>
          </cell>
          <cell r="G2479">
            <v>1711854</v>
          </cell>
          <cell r="H2479">
            <v>334354</v>
          </cell>
          <cell r="I2479">
            <v>285309</v>
          </cell>
        </row>
        <row r="2480">
          <cell r="A2480" t="str">
            <v>6110|447010</v>
          </cell>
          <cell r="B2480" t="str">
            <v>6110</v>
          </cell>
          <cell r="C2480">
            <v>447010</v>
          </cell>
          <cell r="D2480">
            <v>41426</v>
          </cell>
          <cell r="E2480">
            <v>2804840</v>
          </cell>
          <cell r="F2480">
            <v>1402420</v>
          </cell>
          <cell r="G2480">
            <v>1257408</v>
          </cell>
          <cell r="H2480">
            <v>233737</v>
          </cell>
          <cell r="I2480">
            <v>209568</v>
          </cell>
        </row>
        <row r="2481">
          <cell r="A2481" t="str">
            <v>6110|447013</v>
          </cell>
          <cell r="B2481" t="str">
            <v>6110</v>
          </cell>
          <cell r="C2481">
            <v>447013</v>
          </cell>
          <cell r="D2481">
            <v>41426</v>
          </cell>
          <cell r="E2481">
            <v>9454265</v>
          </cell>
          <cell r="F2481">
            <v>4727133</v>
          </cell>
          <cell r="G2481">
            <v>4034298</v>
          </cell>
          <cell r="H2481">
            <v>787856</v>
          </cell>
          <cell r="I2481">
            <v>672383</v>
          </cell>
        </row>
        <row r="2482">
          <cell r="A2482" t="str">
            <v>6110|447020</v>
          </cell>
          <cell r="B2482" t="str">
            <v>6110</v>
          </cell>
          <cell r="C2482">
            <v>447020</v>
          </cell>
          <cell r="D2482">
            <v>41426</v>
          </cell>
          <cell r="E2482">
            <v>119016</v>
          </cell>
          <cell r="F2482">
            <v>59508</v>
          </cell>
          <cell r="G2482">
            <v>60999</v>
          </cell>
          <cell r="H2482">
            <v>9918</v>
          </cell>
          <cell r="I2482">
            <v>4450</v>
          </cell>
        </row>
        <row r="2483">
          <cell r="A2483" t="str">
            <v>6110|447023</v>
          </cell>
          <cell r="B2483" t="str">
            <v>6110</v>
          </cell>
          <cell r="C2483">
            <v>447023</v>
          </cell>
          <cell r="D2483">
            <v>41426</v>
          </cell>
          <cell r="E2483">
            <v>332040</v>
          </cell>
          <cell r="F2483">
            <v>166020</v>
          </cell>
          <cell r="G2483">
            <v>302087</v>
          </cell>
          <cell r="H2483">
            <v>27670</v>
          </cell>
          <cell r="I2483">
            <v>50400</v>
          </cell>
        </row>
        <row r="2484">
          <cell r="A2484" t="str">
            <v>6110|448000</v>
          </cell>
          <cell r="B2484" t="str">
            <v>6110</v>
          </cell>
          <cell r="C2484">
            <v>448000</v>
          </cell>
          <cell r="D2484">
            <v>41426</v>
          </cell>
          <cell r="E2484">
            <v>5967791</v>
          </cell>
          <cell r="F2484">
            <v>2983896</v>
          </cell>
          <cell r="G2484">
            <v>1904350</v>
          </cell>
          <cell r="H2484">
            <v>497316</v>
          </cell>
          <cell r="I2484">
            <v>95000</v>
          </cell>
        </row>
        <row r="2485">
          <cell r="A2485" t="str">
            <v>6110|448003</v>
          </cell>
          <cell r="B2485" t="str">
            <v>6110</v>
          </cell>
          <cell r="C2485">
            <v>448003</v>
          </cell>
          <cell r="D2485">
            <v>41426</v>
          </cell>
          <cell r="E2485">
            <v>14470431</v>
          </cell>
          <cell r="F2485">
            <v>7235216</v>
          </cell>
          <cell r="G2485">
            <v>3598700</v>
          </cell>
          <cell r="H2485">
            <v>1205870</v>
          </cell>
          <cell r="I2485">
            <v>3375000</v>
          </cell>
        </row>
        <row r="2486">
          <cell r="A2486" t="str">
            <v>6110|449020</v>
          </cell>
          <cell r="B2486" t="str">
            <v>6110</v>
          </cell>
          <cell r="C2486">
            <v>449020</v>
          </cell>
          <cell r="D2486">
            <v>41426</v>
          </cell>
          <cell r="E2486">
            <v>3960000</v>
          </cell>
          <cell r="F2486">
            <v>1980000</v>
          </cell>
          <cell r="G2486">
            <v>2271500</v>
          </cell>
          <cell r="H2486">
            <v>330000</v>
          </cell>
          <cell r="I2486">
            <v>328000</v>
          </cell>
        </row>
        <row r="2487">
          <cell r="A2487" t="str">
            <v>6110|449023</v>
          </cell>
          <cell r="B2487" t="str">
            <v>6110</v>
          </cell>
          <cell r="C2487">
            <v>449023</v>
          </cell>
          <cell r="D2487">
            <v>41426</v>
          </cell>
          <cell r="E2487">
            <v>29436000</v>
          </cell>
          <cell r="F2487">
            <v>14718000</v>
          </cell>
          <cell r="G2487">
            <v>42000000</v>
          </cell>
          <cell r="H2487">
            <v>2453000</v>
          </cell>
          <cell r="I2487">
            <v>7000000</v>
          </cell>
        </row>
        <row r="2488">
          <cell r="A2488" t="str">
            <v>6110|449032</v>
          </cell>
          <cell r="B2488" t="str">
            <v>6110</v>
          </cell>
          <cell r="C2488">
            <v>449032</v>
          </cell>
          <cell r="D2488">
            <v>41426</v>
          </cell>
          <cell r="E2488">
            <v>8485218</v>
          </cell>
          <cell r="F2488">
            <v>4242609</v>
          </cell>
          <cell r="G2488">
            <v>-149000</v>
          </cell>
          <cell r="H2488">
            <v>707101</v>
          </cell>
          <cell r="I2488">
            <v>0</v>
          </cell>
        </row>
        <row r="2489">
          <cell r="A2489" t="str">
            <v>6110|449060</v>
          </cell>
          <cell r="B2489" t="str">
            <v>6110</v>
          </cell>
          <cell r="C2489">
            <v>449060</v>
          </cell>
          <cell r="D2489">
            <v>41426</v>
          </cell>
          <cell r="E2489">
            <v>500000</v>
          </cell>
          <cell r="F2489">
            <v>250000</v>
          </cell>
          <cell r="G2489">
            <v>0</v>
          </cell>
          <cell r="H2489">
            <v>41667</v>
          </cell>
          <cell r="I2489">
            <v>0</v>
          </cell>
        </row>
        <row r="2490">
          <cell r="A2490" t="str">
            <v>6110|449061</v>
          </cell>
          <cell r="B2490" t="str">
            <v>6110</v>
          </cell>
          <cell r="C2490">
            <v>449061</v>
          </cell>
          <cell r="D2490">
            <v>41426</v>
          </cell>
          <cell r="E2490">
            <v>6091700</v>
          </cell>
          <cell r="F2490">
            <v>3045850</v>
          </cell>
          <cell r="G2490">
            <v>1537850</v>
          </cell>
          <cell r="H2490">
            <v>507641</v>
          </cell>
          <cell r="I2490">
            <v>0</v>
          </cell>
        </row>
        <row r="2491">
          <cell r="A2491" t="str">
            <v>6110|455000</v>
          </cell>
          <cell r="B2491" t="str">
            <v>6110</v>
          </cell>
          <cell r="C2491">
            <v>455000</v>
          </cell>
          <cell r="D2491">
            <v>41426</v>
          </cell>
          <cell r="E2491">
            <v>1000000</v>
          </cell>
          <cell r="F2491">
            <v>500000</v>
          </cell>
          <cell r="G2491">
            <v>0</v>
          </cell>
          <cell r="H2491">
            <v>83333</v>
          </cell>
          <cell r="I2491">
            <v>0</v>
          </cell>
        </row>
        <row r="2492">
          <cell r="A2492" t="str">
            <v>6110|459000</v>
          </cell>
          <cell r="B2492" t="str">
            <v>6110</v>
          </cell>
          <cell r="C2492">
            <v>459000</v>
          </cell>
          <cell r="D2492">
            <v>41426</v>
          </cell>
          <cell r="E2492">
            <v>1779906</v>
          </cell>
          <cell r="F2492">
            <v>889953</v>
          </cell>
          <cell r="G2492">
            <v>1100000</v>
          </cell>
          <cell r="H2492">
            <v>148325</v>
          </cell>
          <cell r="I2492">
            <v>1100000</v>
          </cell>
        </row>
        <row r="2493">
          <cell r="A2493" t="str">
            <v>6110|459003</v>
          </cell>
          <cell r="B2493" t="str">
            <v>6110</v>
          </cell>
          <cell r="C2493">
            <v>459003</v>
          </cell>
          <cell r="D2493">
            <v>41426</v>
          </cell>
          <cell r="E2493">
            <v>0</v>
          </cell>
          <cell r="F2493">
            <v>0</v>
          </cell>
          <cell r="G2493">
            <v>1200576</v>
          </cell>
          <cell r="H2493">
            <v>0</v>
          </cell>
          <cell r="I2493">
            <v>0</v>
          </cell>
        </row>
        <row r="2494">
          <cell r="A2494" t="str">
            <v>6110|470102</v>
          </cell>
          <cell r="B2494" t="str">
            <v>6110</v>
          </cell>
          <cell r="C2494">
            <v>470102</v>
          </cell>
          <cell r="D2494">
            <v>41426</v>
          </cell>
          <cell r="E2494">
            <v>1625851</v>
          </cell>
          <cell r="F2494">
            <v>812926</v>
          </cell>
          <cell r="G2494">
            <v>621751</v>
          </cell>
          <cell r="H2494">
            <v>135488</v>
          </cell>
          <cell r="I2494">
            <v>102999</v>
          </cell>
        </row>
        <row r="2495">
          <cell r="A2495" t="str">
            <v>6110|473120</v>
          </cell>
          <cell r="B2495" t="str">
            <v>6110</v>
          </cell>
          <cell r="C2495">
            <v>473120</v>
          </cell>
          <cell r="D2495">
            <v>41426</v>
          </cell>
          <cell r="E2495">
            <v>861836</v>
          </cell>
          <cell r="F2495">
            <v>430918</v>
          </cell>
          <cell r="G2495">
            <v>671033</v>
          </cell>
          <cell r="H2495">
            <v>71820</v>
          </cell>
          <cell r="I2495">
            <v>121628</v>
          </cell>
        </row>
        <row r="2496">
          <cell r="A2496" t="str">
            <v>6110|476000</v>
          </cell>
          <cell r="B2496" t="str">
            <v>6110</v>
          </cell>
          <cell r="C2496">
            <v>476000</v>
          </cell>
          <cell r="D2496">
            <v>41426</v>
          </cell>
          <cell r="E2496">
            <v>2613279</v>
          </cell>
          <cell r="F2496">
            <v>1306640</v>
          </cell>
          <cell r="G2496">
            <v>1503400</v>
          </cell>
          <cell r="H2496">
            <v>217774</v>
          </cell>
          <cell r="I2496">
            <v>0</v>
          </cell>
        </row>
        <row r="2497">
          <cell r="A2497" t="str">
            <v>6126|211104</v>
          </cell>
          <cell r="B2497" t="str">
            <v>6126</v>
          </cell>
          <cell r="C2497">
            <v>211104</v>
          </cell>
          <cell r="D2497">
            <v>41426</v>
          </cell>
          <cell r="E2497">
            <v>1892582863</v>
          </cell>
          <cell r="F2497">
            <v>946291432</v>
          </cell>
          <cell r="G2497">
            <v>947892810</v>
          </cell>
          <cell r="H2497">
            <v>157715239</v>
          </cell>
          <cell r="I2497">
            <v>160756565</v>
          </cell>
        </row>
        <row r="2498">
          <cell r="A2498" t="str">
            <v>6126|400040</v>
          </cell>
          <cell r="B2498" t="str">
            <v>6126</v>
          </cell>
          <cell r="C2498">
            <v>400040</v>
          </cell>
          <cell r="D2498">
            <v>41426</v>
          </cell>
          <cell r="E2498">
            <v>62500000</v>
          </cell>
          <cell r="F2498">
            <v>31250000</v>
          </cell>
          <cell r="G2498">
            <v>-15622435</v>
          </cell>
          <cell r="H2498">
            <v>5208333</v>
          </cell>
          <cell r="I2498">
            <v>-27631775</v>
          </cell>
        </row>
        <row r="2499">
          <cell r="A2499" t="str">
            <v>6126|420000</v>
          </cell>
          <cell r="B2499" t="str">
            <v>6126</v>
          </cell>
          <cell r="C2499">
            <v>420000</v>
          </cell>
          <cell r="D2499">
            <v>41426</v>
          </cell>
          <cell r="E2499">
            <v>833479220</v>
          </cell>
          <cell r="F2499">
            <v>416739610</v>
          </cell>
          <cell r="G2499">
            <v>329016542</v>
          </cell>
          <cell r="H2499">
            <v>69456602</v>
          </cell>
          <cell r="I2499">
            <v>50155113</v>
          </cell>
        </row>
        <row r="2500">
          <cell r="A2500" t="str">
            <v>6126|422000</v>
          </cell>
          <cell r="B2500" t="str">
            <v>6126</v>
          </cell>
          <cell r="C2500">
            <v>422000</v>
          </cell>
          <cell r="D2500">
            <v>41426</v>
          </cell>
          <cell r="E2500">
            <v>1528495</v>
          </cell>
          <cell r="F2500">
            <v>764248</v>
          </cell>
          <cell r="G2500">
            <v>655700</v>
          </cell>
          <cell r="H2500">
            <v>127375</v>
          </cell>
          <cell r="I2500">
            <v>0</v>
          </cell>
        </row>
        <row r="2501">
          <cell r="A2501" t="str">
            <v>6126|431000</v>
          </cell>
          <cell r="B2501" t="str">
            <v>6126</v>
          </cell>
          <cell r="C2501">
            <v>431000</v>
          </cell>
          <cell r="D2501">
            <v>41426</v>
          </cell>
          <cell r="E2501">
            <v>97200000</v>
          </cell>
          <cell r="F2501">
            <v>48600000</v>
          </cell>
          <cell r="G2501">
            <v>33245661</v>
          </cell>
          <cell r="H2501">
            <v>8100000</v>
          </cell>
          <cell r="I2501">
            <v>0</v>
          </cell>
        </row>
        <row r="2502">
          <cell r="A2502" t="str">
            <v>6126|431001</v>
          </cell>
          <cell r="B2502" t="str">
            <v>6126</v>
          </cell>
          <cell r="C2502">
            <v>431001</v>
          </cell>
          <cell r="D2502">
            <v>41426</v>
          </cell>
          <cell r="E2502">
            <v>7000000</v>
          </cell>
          <cell r="F2502">
            <v>3500000</v>
          </cell>
          <cell r="G2502">
            <v>0</v>
          </cell>
          <cell r="H2502">
            <v>583333</v>
          </cell>
          <cell r="I2502">
            <v>0</v>
          </cell>
        </row>
        <row r="2503">
          <cell r="A2503" t="str">
            <v>6126|434010</v>
          </cell>
          <cell r="B2503" t="str">
            <v>6126</v>
          </cell>
          <cell r="C2503">
            <v>434010</v>
          </cell>
          <cell r="D2503">
            <v>41426</v>
          </cell>
          <cell r="E2503">
            <v>0</v>
          </cell>
          <cell r="F2503">
            <v>0</v>
          </cell>
          <cell r="G2503">
            <v>31236531</v>
          </cell>
          <cell r="H2503">
            <v>0</v>
          </cell>
          <cell r="I2503">
            <v>4784875</v>
          </cell>
        </row>
        <row r="2504">
          <cell r="A2504" t="str">
            <v>6126|435000</v>
          </cell>
          <cell r="B2504" t="str">
            <v>6126</v>
          </cell>
          <cell r="C2504">
            <v>435000</v>
          </cell>
          <cell r="D2504">
            <v>41426</v>
          </cell>
          <cell r="E2504">
            <v>76028725</v>
          </cell>
          <cell r="F2504">
            <v>38014363</v>
          </cell>
          <cell r="G2504">
            <v>69073386</v>
          </cell>
          <cell r="H2504">
            <v>6335728</v>
          </cell>
          <cell r="I2504">
            <v>0</v>
          </cell>
        </row>
        <row r="2505">
          <cell r="A2505" t="str">
            <v>6126|439000</v>
          </cell>
          <cell r="B2505" t="str">
            <v>6126</v>
          </cell>
          <cell r="C2505">
            <v>439000</v>
          </cell>
          <cell r="D2505">
            <v>41426</v>
          </cell>
          <cell r="E2505">
            <v>133813780</v>
          </cell>
          <cell r="F2505">
            <v>66906890</v>
          </cell>
          <cell r="G2505">
            <v>57925118</v>
          </cell>
          <cell r="H2505">
            <v>11151148</v>
          </cell>
          <cell r="I2505">
            <v>8867520</v>
          </cell>
        </row>
        <row r="2506">
          <cell r="A2506" t="str">
            <v>6126|440000</v>
          </cell>
          <cell r="B2506" t="str">
            <v>6126</v>
          </cell>
          <cell r="C2506">
            <v>440000</v>
          </cell>
          <cell r="D2506">
            <v>41426</v>
          </cell>
          <cell r="E2506">
            <v>69456602</v>
          </cell>
          <cell r="F2506">
            <v>34728301</v>
          </cell>
          <cell r="G2506">
            <v>29523406</v>
          </cell>
          <cell r="H2506">
            <v>5788050</v>
          </cell>
          <cell r="I2506">
            <v>3639834</v>
          </cell>
        </row>
        <row r="2507">
          <cell r="A2507" t="str">
            <v>6126|446000</v>
          </cell>
          <cell r="B2507" t="str">
            <v>6126</v>
          </cell>
          <cell r="C2507">
            <v>446000</v>
          </cell>
          <cell r="D2507">
            <v>41426</v>
          </cell>
          <cell r="E2507">
            <v>22972285</v>
          </cell>
          <cell r="F2507">
            <v>11486143</v>
          </cell>
          <cell r="G2507">
            <v>10080000</v>
          </cell>
          <cell r="H2507">
            <v>1914358</v>
          </cell>
          <cell r="I2507">
            <v>1750000</v>
          </cell>
        </row>
        <row r="2508">
          <cell r="A2508" t="str">
            <v>6126|447000</v>
          </cell>
          <cell r="B2508" t="str">
            <v>6126</v>
          </cell>
          <cell r="C2508">
            <v>447000</v>
          </cell>
          <cell r="D2508">
            <v>41426</v>
          </cell>
          <cell r="E2508">
            <v>13085624</v>
          </cell>
          <cell r="F2508">
            <v>6542812</v>
          </cell>
          <cell r="G2508">
            <v>5131228</v>
          </cell>
          <cell r="H2508">
            <v>1090469</v>
          </cell>
          <cell r="I2508">
            <v>831372</v>
          </cell>
        </row>
        <row r="2509">
          <cell r="A2509" t="str">
            <v>6126|447010</v>
          </cell>
          <cell r="B2509" t="str">
            <v>6126</v>
          </cell>
          <cell r="C2509">
            <v>447010</v>
          </cell>
          <cell r="D2509">
            <v>41426</v>
          </cell>
          <cell r="E2509">
            <v>30838731</v>
          </cell>
          <cell r="F2509">
            <v>15419366</v>
          </cell>
          <cell r="G2509">
            <v>12092746</v>
          </cell>
          <cell r="H2509">
            <v>2569895</v>
          </cell>
          <cell r="I2509">
            <v>1959291</v>
          </cell>
        </row>
        <row r="2510">
          <cell r="A2510" t="str">
            <v>6126|447020</v>
          </cell>
          <cell r="B2510" t="str">
            <v>6126</v>
          </cell>
          <cell r="C2510">
            <v>447020</v>
          </cell>
          <cell r="D2510">
            <v>41426</v>
          </cell>
          <cell r="E2510">
            <v>1308562</v>
          </cell>
          <cell r="F2510">
            <v>654281</v>
          </cell>
          <cell r="G2510">
            <v>372662</v>
          </cell>
          <cell r="H2510">
            <v>109047</v>
          </cell>
          <cell r="I2510">
            <v>57875</v>
          </cell>
        </row>
        <row r="2511">
          <cell r="A2511" t="str">
            <v>6126|448000</v>
          </cell>
          <cell r="B2511" t="str">
            <v>6126</v>
          </cell>
          <cell r="C2511">
            <v>448000</v>
          </cell>
          <cell r="D2511">
            <v>41426</v>
          </cell>
          <cell r="E2511">
            <v>79498803</v>
          </cell>
          <cell r="F2511">
            <v>39749402</v>
          </cell>
          <cell r="G2511">
            <v>22108508</v>
          </cell>
          <cell r="H2511">
            <v>6624901</v>
          </cell>
          <cell r="I2511">
            <v>2098900</v>
          </cell>
        </row>
        <row r="2512">
          <cell r="A2512" t="str">
            <v>6126|448001</v>
          </cell>
          <cell r="B2512" t="str">
            <v>6126</v>
          </cell>
          <cell r="C2512">
            <v>448001</v>
          </cell>
          <cell r="D2512">
            <v>41426</v>
          </cell>
          <cell r="E2512">
            <v>0</v>
          </cell>
          <cell r="F2512">
            <v>0</v>
          </cell>
          <cell r="G2512">
            <v>2750000</v>
          </cell>
          <cell r="H2512">
            <v>0</v>
          </cell>
          <cell r="I2512">
            <v>305000</v>
          </cell>
        </row>
        <row r="2513">
          <cell r="A2513" t="str">
            <v>6126|449020</v>
          </cell>
          <cell r="B2513" t="str">
            <v>6126</v>
          </cell>
          <cell r="C2513">
            <v>449020</v>
          </cell>
          <cell r="D2513">
            <v>41426</v>
          </cell>
          <cell r="E2513">
            <v>71280000</v>
          </cell>
          <cell r="F2513">
            <v>35640000</v>
          </cell>
          <cell r="G2513">
            <v>33645500</v>
          </cell>
          <cell r="H2513">
            <v>5940000</v>
          </cell>
          <cell r="I2513">
            <v>4871500</v>
          </cell>
        </row>
        <row r="2514">
          <cell r="A2514" t="str">
            <v>6126|449060</v>
          </cell>
          <cell r="B2514" t="str">
            <v>6126</v>
          </cell>
          <cell r="C2514">
            <v>449060</v>
          </cell>
          <cell r="D2514">
            <v>41426</v>
          </cell>
          <cell r="E2514">
            <v>2500000</v>
          </cell>
          <cell r="F2514">
            <v>1250000</v>
          </cell>
          <cell r="G2514">
            <v>1911325</v>
          </cell>
          <cell r="H2514">
            <v>208333</v>
          </cell>
          <cell r="I2514">
            <v>0</v>
          </cell>
        </row>
        <row r="2515">
          <cell r="A2515" t="str">
            <v>6126|449061</v>
          </cell>
          <cell r="B2515" t="str">
            <v>6126</v>
          </cell>
          <cell r="C2515">
            <v>449061</v>
          </cell>
          <cell r="D2515">
            <v>41426</v>
          </cell>
          <cell r="E2515">
            <v>3807329</v>
          </cell>
          <cell r="F2515">
            <v>1903665</v>
          </cell>
          <cell r="G2515">
            <v>128000</v>
          </cell>
          <cell r="H2515">
            <v>317278</v>
          </cell>
          <cell r="I2515">
            <v>64000</v>
          </cell>
        </row>
        <row r="2516">
          <cell r="A2516" t="str">
            <v>6126|451000</v>
          </cell>
          <cell r="B2516" t="str">
            <v>6126</v>
          </cell>
          <cell r="C2516">
            <v>451000</v>
          </cell>
          <cell r="D2516">
            <v>41426</v>
          </cell>
          <cell r="E2516">
            <v>354740</v>
          </cell>
          <cell r="F2516">
            <v>177370</v>
          </cell>
          <cell r="G2516">
            <v>0</v>
          </cell>
          <cell r="H2516">
            <v>29562</v>
          </cell>
          <cell r="I2516">
            <v>0</v>
          </cell>
        </row>
        <row r="2517">
          <cell r="A2517" t="str">
            <v>6126|452000</v>
          </cell>
          <cell r="B2517" t="str">
            <v>6126</v>
          </cell>
          <cell r="C2517">
            <v>452000</v>
          </cell>
          <cell r="D2517">
            <v>41426</v>
          </cell>
          <cell r="E2517">
            <v>225200000</v>
          </cell>
          <cell r="F2517">
            <v>112600000</v>
          </cell>
          <cell r="G2517">
            <v>134947571</v>
          </cell>
          <cell r="H2517">
            <v>18766667</v>
          </cell>
          <cell r="I2517">
            <v>209568</v>
          </cell>
        </row>
        <row r="2518">
          <cell r="A2518" t="str">
            <v>6126|452001</v>
          </cell>
          <cell r="B2518" t="str">
            <v>6126</v>
          </cell>
          <cell r="C2518">
            <v>452001</v>
          </cell>
          <cell r="D2518">
            <v>41426</v>
          </cell>
          <cell r="E2518">
            <v>24600000</v>
          </cell>
          <cell r="F2518">
            <v>12300000</v>
          </cell>
          <cell r="G2518">
            <v>15584000</v>
          </cell>
          <cell r="H2518">
            <v>2050000</v>
          </cell>
          <cell r="I2518">
            <v>0</v>
          </cell>
        </row>
        <row r="2519">
          <cell r="A2519" t="str">
            <v>6126|455000</v>
          </cell>
          <cell r="B2519" t="str">
            <v>6126</v>
          </cell>
          <cell r="C2519">
            <v>455000</v>
          </cell>
          <cell r="D2519">
            <v>41426</v>
          </cell>
          <cell r="E2519">
            <v>0</v>
          </cell>
          <cell r="F2519">
            <v>0</v>
          </cell>
          <cell r="G2519">
            <v>4660208</v>
          </cell>
          <cell r="H2519">
            <v>0</v>
          </cell>
          <cell r="I2519">
            <v>424500</v>
          </cell>
        </row>
        <row r="2520">
          <cell r="A2520" t="str">
            <v>6126|455001</v>
          </cell>
          <cell r="B2520" t="str">
            <v>6126</v>
          </cell>
          <cell r="C2520">
            <v>455001</v>
          </cell>
          <cell r="D2520">
            <v>41426</v>
          </cell>
          <cell r="E2520">
            <v>0</v>
          </cell>
          <cell r="F2520">
            <v>0</v>
          </cell>
          <cell r="G2520">
            <v>1241867</v>
          </cell>
          <cell r="H2520">
            <v>0</v>
          </cell>
          <cell r="I2520">
            <v>0</v>
          </cell>
        </row>
        <row r="2521">
          <cell r="A2521" t="str">
            <v>6126|455002</v>
          </cell>
          <cell r="B2521" t="str">
            <v>6126</v>
          </cell>
          <cell r="C2521">
            <v>455002</v>
          </cell>
          <cell r="D2521">
            <v>41426</v>
          </cell>
          <cell r="E2521">
            <v>12000000</v>
          </cell>
          <cell r="F2521">
            <v>6000000</v>
          </cell>
          <cell r="G2521">
            <v>1144440</v>
          </cell>
          <cell r="H2521">
            <v>1000000</v>
          </cell>
          <cell r="I2521">
            <v>0</v>
          </cell>
        </row>
        <row r="2522">
          <cell r="A2522" t="str">
            <v>6126|476000</v>
          </cell>
          <cell r="B2522" t="str">
            <v>6126</v>
          </cell>
          <cell r="C2522">
            <v>476000</v>
          </cell>
          <cell r="D2522">
            <v>41426</v>
          </cell>
          <cell r="E2522">
            <v>470636</v>
          </cell>
          <cell r="F2522">
            <v>235318</v>
          </cell>
          <cell r="G2522">
            <v>0</v>
          </cell>
          <cell r="H2522">
            <v>39220</v>
          </cell>
          <cell r="I2522">
            <v>0</v>
          </cell>
        </row>
        <row r="2523">
          <cell r="A2523" t="str">
            <v>6310|211104</v>
          </cell>
          <cell r="B2523" t="str">
            <v>6310</v>
          </cell>
          <cell r="C2523">
            <v>211104</v>
          </cell>
          <cell r="D2523">
            <v>41426</v>
          </cell>
          <cell r="E2523">
            <v>181136459</v>
          </cell>
          <cell r="F2523">
            <v>90568230</v>
          </cell>
          <cell r="G2523">
            <v>78791507</v>
          </cell>
          <cell r="H2523">
            <v>15094705</v>
          </cell>
          <cell r="I2523">
            <v>13131989</v>
          </cell>
        </row>
        <row r="2524">
          <cell r="A2524" t="str">
            <v>6310|420000</v>
          </cell>
          <cell r="B2524" t="str">
            <v>6310</v>
          </cell>
          <cell r="C2524">
            <v>420000</v>
          </cell>
          <cell r="D2524">
            <v>41426</v>
          </cell>
          <cell r="E2524">
            <v>743842236</v>
          </cell>
          <cell r="F2524">
            <v>371921118</v>
          </cell>
          <cell r="G2524">
            <v>300765000</v>
          </cell>
          <cell r="H2524">
            <v>61986853</v>
          </cell>
          <cell r="I2524">
            <v>50127500</v>
          </cell>
        </row>
        <row r="2525">
          <cell r="A2525" t="str">
            <v>6310|420003</v>
          </cell>
          <cell r="B2525" t="str">
            <v>6310</v>
          </cell>
          <cell r="C2525">
            <v>420003</v>
          </cell>
          <cell r="D2525">
            <v>41426</v>
          </cell>
          <cell r="E2525">
            <v>766562049</v>
          </cell>
          <cell r="F2525">
            <v>383281025</v>
          </cell>
          <cell r="G2525">
            <v>498196234</v>
          </cell>
          <cell r="H2525">
            <v>63880171</v>
          </cell>
          <cell r="I2525">
            <v>87654759</v>
          </cell>
        </row>
        <row r="2526">
          <cell r="A2526" t="str">
            <v>6310|422000</v>
          </cell>
          <cell r="B2526" t="str">
            <v>6310</v>
          </cell>
          <cell r="C2526">
            <v>422000</v>
          </cell>
          <cell r="D2526">
            <v>41426</v>
          </cell>
          <cell r="E2526">
            <v>120997290</v>
          </cell>
          <cell r="F2526">
            <v>60498645</v>
          </cell>
          <cell r="G2526">
            <v>917550</v>
          </cell>
          <cell r="H2526">
            <v>10083107</v>
          </cell>
          <cell r="I2526">
            <v>0</v>
          </cell>
        </row>
        <row r="2527">
          <cell r="A2527" t="str">
            <v>6310|422003</v>
          </cell>
          <cell r="B2527" t="str">
            <v>6310</v>
          </cell>
          <cell r="C2527">
            <v>422003</v>
          </cell>
          <cell r="D2527">
            <v>41426</v>
          </cell>
          <cell r="E2527">
            <v>1086660</v>
          </cell>
          <cell r="F2527">
            <v>543330</v>
          </cell>
          <cell r="G2527">
            <v>117300</v>
          </cell>
          <cell r="H2527">
            <v>90555</v>
          </cell>
          <cell r="I2527">
            <v>0</v>
          </cell>
        </row>
        <row r="2528">
          <cell r="A2528" t="str">
            <v>6310|431000</v>
          </cell>
          <cell r="B2528" t="str">
            <v>6310</v>
          </cell>
          <cell r="C2528">
            <v>431000</v>
          </cell>
          <cell r="D2528">
            <v>41426</v>
          </cell>
          <cell r="E2528">
            <v>25000000</v>
          </cell>
          <cell r="F2528">
            <v>12500000</v>
          </cell>
          <cell r="G2528">
            <v>6559210</v>
          </cell>
          <cell r="H2528">
            <v>2083333</v>
          </cell>
          <cell r="I2528">
            <v>791325</v>
          </cell>
        </row>
        <row r="2529">
          <cell r="A2529" t="str">
            <v>6310|434010</v>
          </cell>
          <cell r="B2529" t="str">
            <v>6310</v>
          </cell>
          <cell r="C2529">
            <v>434010</v>
          </cell>
          <cell r="D2529">
            <v>41426</v>
          </cell>
          <cell r="E2529">
            <v>0</v>
          </cell>
          <cell r="F2529">
            <v>0</v>
          </cell>
          <cell r="G2529">
            <v>12766248</v>
          </cell>
          <cell r="H2529">
            <v>0</v>
          </cell>
          <cell r="I2529">
            <v>2050661</v>
          </cell>
        </row>
        <row r="2530">
          <cell r="A2530" t="str">
            <v>6310|434013</v>
          </cell>
          <cell r="B2530" t="str">
            <v>6310</v>
          </cell>
          <cell r="C2530">
            <v>434013</v>
          </cell>
          <cell r="D2530">
            <v>41426</v>
          </cell>
          <cell r="E2530">
            <v>28017619</v>
          </cell>
          <cell r="F2530">
            <v>14008810</v>
          </cell>
          <cell r="G2530">
            <v>18025456</v>
          </cell>
          <cell r="H2530">
            <v>2334802</v>
          </cell>
          <cell r="I2530">
            <v>3002440</v>
          </cell>
        </row>
        <row r="2531">
          <cell r="A2531" t="str">
            <v>6310|435000</v>
          </cell>
          <cell r="B2531" t="str">
            <v>6310</v>
          </cell>
          <cell r="C2531">
            <v>435000</v>
          </cell>
          <cell r="D2531">
            <v>41426</v>
          </cell>
          <cell r="E2531">
            <v>81703224</v>
          </cell>
          <cell r="F2531">
            <v>40851612</v>
          </cell>
          <cell r="G2531">
            <v>88187000</v>
          </cell>
          <cell r="H2531">
            <v>6808602</v>
          </cell>
          <cell r="I2531">
            <v>0</v>
          </cell>
        </row>
        <row r="2532">
          <cell r="A2532" t="str">
            <v>6310|435003</v>
          </cell>
          <cell r="B2532" t="str">
            <v>6310</v>
          </cell>
          <cell r="C2532">
            <v>435003</v>
          </cell>
          <cell r="D2532">
            <v>41426</v>
          </cell>
          <cell r="E2532">
            <v>95820256</v>
          </cell>
          <cell r="F2532">
            <v>47910128</v>
          </cell>
          <cell r="G2532">
            <v>194507000</v>
          </cell>
          <cell r="H2532">
            <v>7985021</v>
          </cell>
          <cell r="I2532">
            <v>0</v>
          </cell>
        </row>
        <row r="2533">
          <cell r="A2533" t="str">
            <v>6310|439000</v>
          </cell>
          <cell r="B2533" t="str">
            <v>6310</v>
          </cell>
          <cell r="C2533">
            <v>439000</v>
          </cell>
          <cell r="D2533">
            <v>41426</v>
          </cell>
          <cell r="E2533">
            <v>72053574</v>
          </cell>
          <cell r="F2533">
            <v>36026787</v>
          </cell>
          <cell r="G2533">
            <v>23673451</v>
          </cell>
          <cell r="H2533">
            <v>6004464</v>
          </cell>
          <cell r="I2533">
            <v>3800366</v>
          </cell>
        </row>
        <row r="2534">
          <cell r="A2534" t="str">
            <v>6310|439003</v>
          </cell>
          <cell r="B2534" t="str">
            <v>6310</v>
          </cell>
          <cell r="C2534">
            <v>439003</v>
          </cell>
          <cell r="D2534">
            <v>41426</v>
          </cell>
          <cell r="E2534">
            <v>118349638</v>
          </cell>
          <cell r="F2534">
            <v>59174819</v>
          </cell>
          <cell r="G2534">
            <v>100365538</v>
          </cell>
          <cell r="H2534">
            <v>9862470</v>
          </cell>
          <cell r="I2534">
            <v>16113026</v>
          </cell>
        </row>
        <row r="2535">
          <cell r="A2535" t="str">
            <v>6310|439200</v>
          </cell>
          <cell r="B2535" t="str">
            <v>6310</v>
          </cell>
          <cell r="C2535">
            <v>439200</v>
          </cell>
          <cell r="D2535">
            <v>41426</v>
          </cell>
          <cell r="E2535">
            <v>110000</v>
          </cell>
          <cell r="F2535">
            <v>55000</v>
          </cell>
          <cell r="G2535">
            <v>0</v>
          </cell>
          <cell r="H2535">
            <v>9167</v>
          </cell>
          <cell r="I2535">
            <v>0</v>
          </cell>
        </row>
        <row r="2536">
          <cell r="A2536" t="str">
            <v>6310|440000</v>
          </cell>
          <cell r="B2536" t="str">
            <v>6310</v>
          </cell>
          <cell r="C2536">
            <v>440000</v>
          </cell>
          <cell r="D2536">
            <v>41426</v>
          </cell>
          <cell r="E2536">
            <v>61986853</v>
          </cell>
          <cell r="F2536">
            <v>30993427</v>
          </cell>
          <cell r="G2536">
            <v>12067755</v>
          </cell>
          <cell r="H2536">
            <v>5165572</v>
          </cell>
          <cell r="I2536">
            <v>1559929</v>
          </cell>
        </row>
        <row r="2537">
          <cell r="A2537" t="str">
            <v>6310|440003</v>
          </cell>
          <cell r="B2537" t="str">
            <v>6310</v>
          </cell>
          <cell r="C2537">
            <v>440003</v>
          </cell>
          <cell r="D2537">
            <v>41426</v>
          </cell>
          <cell r="E2537">
            <v>63880171</v>
          </cell>
          <cell r="F2537">
            <v>31940086</v>
          </cell>
          <cell r="G2537">
            <v>48788681</v>
          </cell>
          <cell r="H2537">
            <v>5323348</v>
          </cell>
          <cell r="I2537">
            <v>10417850</v>
          </cell>
        </row>
        <row r="2538">
          <cell r="A2538" t="str">
            <v>6310|446000</v>
          </cell>
          <cell r="B2538" t="str">
            <v>6310</v>
          </cell>
          <cell r="C2538">
            <v>446000</v>
          </cell>
          <cell r="D2538">
            <v>41426</v>
          </cell>
          <cell r="E2538">
            <v>11277055</v>
          </cell>
          <cell r="F2538">
            <v>5638528</v>
          </cell>
          <cell r="G2538">
            <v>8100000</v>
          </cell>
          <cell r="H2538">
            <v>939755</v>
          </cell>
          <cell r="I2538">
            <v>1350000</v>
          </cell>
        </row>
        <row r="2539">
          <cell r="A2539" t="str">
            <v>6310|447000</v>
          </cell>
          <cell r="B2539" t="str">
            <v>6310</v>
          </cell>
          <cell r="C2539">
            <v>447000</v>
          </cell>
          <cell r="D2539">
            <v>41426</v>
          </cell>
          <cell r="E2539">
            <v>11678323</v>
          </cell>
          <cell r="F2539">
            <v>5839162</v>
          </cell>
          <cell r="G2539">
            <v>4127868</v>
          </cell>
          <cell r="H2539">
            <v>973194</v>
          </cell>
          <cell r="I2539">
            <v>687978</v>
          </cell>
        </row>
        <row r="2540">
          <cell r="A2540" t="str">
            <v>6310|447003</v>
          </cell>
          <cell r="B2540" t="str">
            <v>6310</v>
          </cell>
          <cell r="C2540">
            <v>447003</v>
          </cell>
          <cell r="D2540">
            <v>41426</v>
          </cell>
          <cell r="E2540">
            <v>12036724</v>
          </cell>
          <cell r="F2540">
            <v>6018362</v>
          </cell>
          <cell r="G2540">
            <v>7836677</v>
          </cell>
          <cell r="H2540">
            <v>1003060</v>
          </cell>
          <cell r="I2540">
            <v>1369066</v>
          </cell>
        </row>
        <row r="2541">
          <cell r="A2541" t="str">
            <v>6310|447010</v>
          </cell>
          <cell r="B2541" t="str">
            <v>6310</v>
          </cell>
          <cell r="C2541">
            <v>447010</v>
          </cell>
          <cell r="D2541">
            <v>41426</v>
          </cell>
          <cell r="E2541">
            <v>27522163</v>
          </cell>
          <cell r="F2541">
            <v>13761082</v>
          </cell>
          <cell r="G2541">
            <v>11128308</v>
          </cell>
          <cell r="H2541">
            <v>2293514</v>
          </cell>
          <cell r="I2541">
            <v>1854718</v>
          </cell>
        </row>
        <row r="2542">
          <cell r="A2542" t="str">
            <v>6310|447013</v>
          </cell>
          <cell r="B2542" t="str">
            <v>6310</v>
          </cell>
          <cell r="C2542">
            <v>447013</v>
          </cell>
          <cell r="D2542">
            <v>41426</v>
          </cell>
          <cell r="E2542">
            <v>28362796</v>
          </cell>
          <cell r="F2542">
            <v>14181398</v>
          </cell>
          <cell r="G2542">
            <v>18468577</v>
          </cell>
          <cell r="H2542">
            <v>2363566</v>
          </cell>
          <cell r="I2542">
            <v>3226457</v>
          </cell>
        </row>
        <row r="2543">
          <cell r="A2543" t="str">
            <v>6310|447020</v>
          </cell>
          <cell r="B2543" t="str">
            <v>6310</v>
          </cell>
          <cell r="C2543">
            <v>447020</v>
          </cell>
          <cell r="D2543">
            <v>41426</v>
          </cell>
          <cell r="E2543">
            <v>1167832</v>
          </cell>
          <cell r="F2543">
            <v>583916</v>
          </cell>
          <cell r="G2543">
            <v>713976</v>
          </cell>
          <cell r="H2543">
            <v>97319</v>
          </cell>
          <cell r="I2543">
            <v>118050</v>
          </cell>
        </row>
        <row r="2544">
          <cell r="A2544" t="str">
            <v>6310|447023</v>
          </cell>
          <cell r="B2544" t="str">
            <v>6310</v>
          </cell>
          <cell r="C2544">
            <v>447023</v>
          </cell>
          <cell r="D2544">
            <v>41426</v>
          </cell>
          <cell r="E2544">
            <v>996120</v>
          </cell>
          <cell r="F2544">
            <v>498060</v>
          </cell>
          <cell r="G2544">
            <v>1382813</v>
          </cell>
          <cell r="H2544">
            <v>83010</v>
          </cell>
          <cell r="I2544">
            <v>241575</v>
          </cell>
        </row>
        <row r="2545">
          <cell r="A2545" t="str">
            <v>6310|448000</v>
          </cell>
          <cell r="B2545" t="str">
            <v>6310</v>
          </cell>
          <cell r="C2545">
            <v>448000</v>
          </cell>
          <cell r="D2545">
            <v>41426</v>
          </cell>
          <cell r="E2545">
            <v>49883247</v>
          </cell>
          <cell r="F2545">
            <v>24941624</v>
          </cell>
          <cell r="G2545">
            <v>18810115</v>
          </cell>
          <cell r="H2545">
            <v>4156938</v>
          </cell>
          <cell r="I2545">
            <v>1757200</v>
          </cell>
        </row>
        <row r="2546">
          <cell r="A2546" t="str">
            <v>6310|448003</v>
          </cell>
          <cell r="B2546" t="str">
            <v>6310</v>
          </cell>
          <cell r="C2546">
            <v>448003</v>
          </cell>
          <cell r="D2546">
            <v>41426</v>
          </cell>
          <cell r="E2546">
            <v>43411292</v>
          </cell>
          <cell r="F2546">
            <v>21705646</v>
          </cell>
          <cell r="G2546">
            <v>31880134</v>
          </cell>
          <cell r="H2546">
            <v>3617608</v>
          </cell>
          <cell r="I2546">
            <v>7044300</v>
          </cell>
        </row>
        <row r="2547">
          <cell r="A2547" t="str">
            <v>6310|449020</v>
          </cell>
          <cell r="B2547" t="str">
            <v>6310</v>
          </cell>
          <cell r="C2547">
            <v>449020</v>
          </cell>
          <cell r="D2547">
            <v>41426</v>
          </cell>
          <cell r="E2547">
            <v>27720000</v>
          </cell>
          <cell r="F2547">
            <v>13860000</v>
          </cell>
          <cell r="G2547">
            <v>12453000</v>
          </cell>
          <cell r="H2547">
            <v>2310000</v>
          </cell>
          <cell r="I2547">
            <v>1717000</v>
          </cell>
        </row>
        <row r="2548">
          <cell r="A2548" t="str">
            <v>6310|449023</v>
          </cell>
          <cell r="B2548" t="str">
            <v>6310</v>
          </cell>
          <cell r="C2548">
            <v>449023</v>
          </cell>
          <cell r="D2548">
            <v>41426</v>
          </cell>
          <cell r="E2548">
            <v>88308000</v>
          </cell>
          <cell r="F2548">
            <v>44154000</v>
          </cell>
          <cell r="G2548">
            <v>61068000</v>
          </cell>
          <cell r="H2548">
            <v>7359000</v>
          </cell>
          <cell r="I2548">
            <v>10178000</v>
          </cell>
        </row>
        <row r="2549">
          <cell r="A2549" t="str">
            <v>6310|449032</v>
          </cell>
          <cell r="B2549" t="str">
            <v>6310</v>
          </cell>
          <cell r="C2549">
            <v>449032</v>
          </cell>
          <cell r="D2549">
            <v>41426</v>
          </cell>
          <cell r="E2549">
            <v>1287001</v>
          </cell>
          <cell r="F2549">
            <v>643501</v>
          </cell>
          <cell r="G2549">
            <v>0</v>
          </cell>
          <cell r="H2549">
            <v>107251</v>
          </cell>
          <cell r="I2549">
            <v>0</v>
          </cell>
        </row>
        <row r="2550">
          <cell r="A2550" t="str">
            <v>6310|449050</v>
          </cell>
          <cell r="B2550" t="str">
            <v>6310</v>
          </cell>
          <cell r="C2550">
            <v>449050</v>
          </cell>
          <cell r="D2550">
            <v>41426</v>
          </cell>
          <cell r="E2550">
            <v>53815079</v>
          </cell>
          <cell r="F2550">
            <v>26907540</v>
          </cell>
          <cell r="G2550">
            <v>29599964</v>
          </cell>
          <cell r="H2550">
            <v>4484590</v>
          </cell>
          <cell r="I2550">
            <v>4933334</v>
          </cell>
        </row>
        <row r="2551">
          <cell r="A2551" t="str">
            <v>6310|449061</v>
          </cell>
          <cell r="B2551" t="str">
            <v>6310</v>
          </cell>
          <cell r="C2551">
            <v>449061</v>
          </cell>
          <cell r="D2551">
            <v>41426</v>
          </cell>
          <cell r="E2551">
            <v>9222266</v>
          </cell>
          <cell r="F2551">
            <v>4611133</v>
          </cell>
          <cell r="G2551">
            <v>3747900</v>
          </cell>
          <cell r="H2551">
            <v>768522</v>
          </cell>
          <cell r="I2551">
            <v>1315000</v>
          </cell>
        </row>
        <row r="2552">
          <cell r="A2552" t="str">
            <v>6310|470102</v>
          </cell>
          <cell r="B2552" t="str">
            <v>6310</v>
          </cell>
          <cell r="C2552">
            <v>470102</v>
          </cell>
          <cell r="D2552">
            <v>41426</v>
          </cell>
          <cell r="E2552">
            <v>8994026</v>
          </cell>
          <cell r="F2552">
            <v>4497013</v>
          </cell>
          <cell r="G2552">
            <v>3825006</v>
          </cell>
          <cell r="H2552">
            <v>749502</v>
          </cell>
          <cell r="I2552">
            <v>714500</v>
          </cell>
        </row>
        <row r="2553">
          <cell r="A2553" t="str">
            <v>6310|471000</v>
          </cell>
          <cell r="B2553" t="str">
            <v>6310</v>
          </cell>
          <cell r="C2553">
            <v>471000</v>
          </cell>
          <cell r="D2553">
            <v>41426</v>
          </cell>
          <cell r="E2553">
            <v>1042448</v>
          </cell>
          <cell r="F2553">
            <v>521224</v>
          </cell>
          <cell r="G2553">
            <v>0</v>
          </cell>
          <cell r="H2553">
            <v>86871</v>
          </cell>
          <cell r="I2553">
            <v>0</v>
          </cell>
        </row>
        <row r="2554">
          <cell r="A2554" t="str">
            <v>6310|473120</v>
          </cell>
          <cell r="B2554" t="str">
            <v>6310</v>
          </cell>
          <cell r="C2554">
            <v>473120</v>
          </cell>
          <cell r="D2554">
            <v>41426</v>
          </cell>
          <cell r="E2554">
            <v>3851878</v>
          </cell>
          <cell r="F2554">
            <v>1925939</v>
          </cell>
          <cell r="G2554">
            <v>2149122</v>
          </cell>
          <cell r="H2554">
            <v>320990</v>
          </cell>
          <cell r="I2554">
            <v>193576</v>
          </cell>
        </row>
        <row r="2555">
          <cell r="A2555" t="str">
            <v>6310|475006</v>
          </cell>
          <cell r="B2555" t="str">
            <v>6310</v>
          </cell>
          <cell r="C2555">
            <v>475006</v>
          </cell>
          <cell r="D2555">
            <v>41426</v>
          </cell>
          <cell r="E2555">
            <v>5120679</v>
          </cell>
          <cell r="F2555">
            <v>2560340</v>
          </cell>
          <cell r="G2555">
            <v>2405624</v>
          </cell>
          <cell r="H2555">
            <v>426724</v>
          </cell>
          <cell r="I2555">
            <v>400937</v>
          </cell>
        </row>
        <row r="2556">
          <cell r="A2556" t="str">
            <v>6310|476000</v>
          </cell>
          <cell r="B2556" t="str">
            <v>6310</v>
          </cell>
          <cell r="C2556">
            <v>476000</v>
          </cell>
          <cell r="D2556">
            <v>41426</v>
          </cell>
          <cell r="E2556">
            <v>9250788</v>
          </cell>
          <cell r="F2556">
            <v>4625394</v>
          </cell>
          <cell r="G2556">
            <v>1427649</v>
          </cell>
          <cell r="H2556">
            <v>770899</v>
          </cell>
          <cell r="I2556">
            <v>-2071431</v>
          </cell>
        </row>
        <row r="2557">
          <cell r="A2557" t="str">
            <v>6310|476220</v>
          </cell>
          <cell r="B2557" t="str">
            <v>6310</v>
          </cell>
          <cell r="C2557">
            <v>476220</v>
          </cell>
          <cell r="D2557">
            <v>41426</v>
          </cell>
          <cell r="E2557">
            <v>5481358</v>
          </cell>
          <cell r="F2557">
            <v>2740679</v>
          </cell>
          <cell r="G2557">
            <v>0</v>
          </cell>
          <cell r="H2557">
            <v>456780</v>
          </cell>
          <cell r="I2557">
            <v>0</v>
          </cell>
        </row>
        <row r="2558">
          <cell r="A2558" t="str">
            <v>6310|477800</v>
          </cell>
          <cell r="B2558" t="str">
            <v>6310</v>
          </cell>
          <cell r="C2558">
            <v>477800</v>
          </cell>
          <cell r="D2558">
            <v>41426</v>
          </cell>
          <cell r="E2558">
            <v>410000000</v>
          </cell>
          <cell r="F2558">
            <v>205000000</v>
          </cell>
          <cell r="G2558">
            <v>152779394</v>
          </cell>
          <cell r="H2558">
            <v>34166667</v>
          </cell>
          <cell r="I2558">
            <v>-115670146</v>
          </cell>
        </row>
        <row r="2559">
          <cell r="A2559" t="str">
            <v>6321|211100</v>
          </cell>
          <cell r="B2559" t="str">
            <v>6321</v>
          </cell>
          <cell r="C2559">
            <v>211100</v>
          </cell>
          <cell r="D2559">
            <v>41426</v>
          </cell>
          <cell r="E2559">
            <v>0</v>
          </cell>
          <cell r="F2559">
            <v>0</v>
          </cell>
          <cell r="G2559">
            <v>0</v>
          </cell>
          <cell r="H2559">
            <v>0</v>
          </cell>
          <cell r="I2559">
            <v>0</v>
          </cell>
        </row>
        <row r="2560">
          <cell r="A2560" t="str">
            <v>6321|211104</v>
          </cell>
          <cell r="B2560" t="str">
            <v>6321</v>
          </cell>
          <cell r="C2560">
            <v>211104</v>
          </cell>
          <cell r="D2560">
            <v>41426</v>
          </cell>
          <cell r="E2560">
            <v>6013491006</v>
          </cell>
          <cell r="F2560">
            <v>3006745503</v>
          </cell>
          <cell r="G2560">
            <v>3117045976</v>
          </cell>
          <cell r="H2560">
            <v>501124250</v>
          </cell>
          <cell r="I2560">
            <v>539550562</v>
          </cell>
        </row>
        <row r="2561">
          <cell r="A2561" t="str">
            <v>6321|246000</v>
          </cell>
          <cell r="B2561" t="str">
            <v>6321</v>
          </cell>
          <cell r="C2561">
            <v>246000</v>
          </cell>
          <cell r="D2561">
            <v>41426</v>
          </cell>
          <cell r="E2561">
            <v>0</v>
          </cell>
          <cell r="F2561">
            <v>0</v>
          </cell>
          <cell r="G2561">
            <v>2485217</v>
          </cell>
          <cell r="H2561">
            <v>0</v>
          </cell>
          <cell r="I2561">
            <v>0</v>
          </cell>
        </row>
        <row r="2562">
          <cell r="A2562" t="str">
            <v>6321|400040</v>
          </cell>
          <cell r="B2562" t="str">
            <v>6321</v>
          </cell>
          <cell r="C2562">
            <v>400040</v>
          </cell>
          <cell r="D2562">
            <v>41426</v>
          </cell>
          <cell r="E2562">
            <v>1400000000</v>
          </cell>
          <cell r="F2562">
            <v>700000000</v>
          </cell>
          <cell r="G2562">
            <v>235159413</v>
          </cell>
          <cell r="H2562">
            <v>116666667</v>
          </cell>
          <cell r="I2562">
            <v>-163261819</v>
          </cell>
        </row>
        <row r="2563">
          <cell r="A2563" t="str">
            <v>6321|405200</v>
          </cell>
          <cell r="B2563" t="str">
            <v>6321</v>
          </cell>
          <cell r="C2563">
            <v>405200</v>
          </cell>
          <cell r="D2563">
            <v>41426</v>
          </cell>
          <cell r="E2563">
            <v>6900000</v>
          </cell>
          <cell r="F2563">
            <v>3450000</v>
          </cell>
          <cell r="G2563">
            <v>20086225</v>
          </cell>
          <cell r="H2563">
            <v>575000</v>
          </cell>
          <cell r="I2563">
            <v>0</v>
          </cell>
        </row>
        <row r="2564">
          <cell r="A2564" t="str">
            <v>6321|405251</v>
          </cell>
          <cell r="B2564" t="str">
            <v>6321</v>
          </cell>
          <cell r="C2564">
            <v>405251</v>
          </cell>
          <cell r="D2564">
            <v>41426</v>
          </cell>
          <cell r="E2564">
            <v>150000000</v>
          </cell>
          <cell r="F2564">
            <v>75000000</v>
          </cell>
          <cell r="G2564">
            <v>132813680</v>
          </cell>
          <cell r="H2564">
            <v>12500000</v>
          </cell>
          <cell r="I2564">
            <v>30339238</v>
          </cell>
        </row>
        <row r="2565">
          <cell r="A2565" t="str">
            <v>6321|405253</v>
          </cell>
          <cell r="B2565" t="str">
            <v>6321</v>
          </cell>
          <cell r="C2565">
            <v>405253</v>
          </cell>
          <cell r="D2565">
            <v>41426</v>
          </cell>
          <cell r="E2565">
            <v>4500000</v>
          </cell>
          <cell r="F2565">
            <v>2250000</v>
          </cell>
          <cell r="G2565">
            <v>0</v>
          </cell>
          <cell r="H2565">
            <v>375000</v>
          </cell>
          <cell r="I2565">
            <v>0</v>
          </cell>
        </row>
        <row r="2566">
          <cell r="A2566" t="str">
            <v>6321|420000</v>
          </cell>
          <cell r="B2566" t="str">
            <v>6321</v>
          </cell>
          <cell r="C2566">
            <v>420000</v>
          </cell>
          <cell r="D2566">
            <v>41426</v>
          </cell>
          <cell r="E2566">
            <v>2949601502</v>
          </cell>
          <cell r="F2566">
            <v>1474800751</v>
          </cell>
          <cell r="G2566">
            <v>1265595654</v>
          </cell>
          <cell r="H2566">
            <v>245800125</v>
          </cell>
          <cell r="I2566">
            <v>170443649</v>
          </cell>
        </row>
        <row r="2567">
          <cell r="A2567" t="str">
            <v>6321|422000</v>
          </cell>
          <cell r="B2567" t="str">
            <v>6321</v>
          </cell>
          <cell r="C2567">
            <v>422000</v>
          </cell>
          <cell r="D2567">
            <v>41426</v>
          </cell>
          <cell r="E2567">
            <v>5630940</v>
          </cell>
          <cell r="F2567">
            <v>2815470</v>
          </cell>
          <cell r="G2567">
            <v>3469950</v>
          </cell>
          <cell r="H2567">
            <v>469245</v>
          </cell>
          <cell r="I2567">
            <v>49850</v>
          </cell>
        </row>
        <row r="2568">
          <cell r="A2568" t="str">
            <v>6321|422001</v>
          </cell>
          <cell r="B2568" t="str">
            <v>6321</v>
          </cell>
          <cell r="C2568">
            <v>422001</v>
          </cell>
          <cell r="D2568">
            <v>41426</v>
          </cell>
          <cell r="E2568">
            <v>62100</v>
          </cell>
          <cell r="F2568">
            <v>31050</v>
          </cell>
          <cell r="G2568">
            <v>0</v>
          </cell>
          <cell r="H2568">
            <v>5175</v>
          </cell>
          <cell r="I2568">
            <v>0</v>
          </cell>
        </row>
        <row r="2569">
          <cell r="A2569" t="str">
            <v>6321|431000</v>
          </cell>
          <cell r="B2569" t="str">
            <v>6321</v>
          </cell>
          <cell r="C2569">
            <v>431000</v>
          </cell>
          <cell r="D2569">
            <v>41426</v>
          </cell>
          <cell r="E2569">
            <v>100000000</v>
          </cell>
          <cell r="F2569">
            <v>50000000</v>
          </cell>
          <cell r="G2569">
            <v>114991788</v>
          </cell>
          <cell r="H2569">
            <v>8333333</v>
          </cell>
          <cell r="I2569">
            <v>122236</v>
          </cell>
        </row>
        <row r="2570">
          <cell r="A2570" t="str">
            <v>6321|431001</v>
          </cell>
          <cell r="B2570" t="str">
            <v>6321</v>
          </cell>
          <cell r="C2570">
            <v>431001</v>
          </cell>
          <cell r="D2570">
            <v>41426</v>
          </cell>
          <cell r="E2570">
            <v>13000000</v>
          </cell>
          <cell r="F2570">
            <v>6500000</v>
          </cell>
          <cell r="G2570">
            <v>0</v>
          </cell>
          <cell r="H2570">
            <v>1083333</v>
          </cell>
          <cell r="I2570">
            <v>0</v>
          </cell>
        </row>
        <row r="2571">
          <cell r="A2571" t="str">
            <v>6321|434010</v>
          </cell>
          <cell r="B2571" t="str">
            <v>6321</v>
          </cell>
          <cell r="C2571">
            <v>434010</v>
          </cell>
          <cell r="D2571">
            <v>41426</v>
          </cell>
          <cell r="E2571">
            <v>109480230</v>
          </cell>
          <cell r="F2571">
            <v>54740115</v>
          </cell>
          <cell r="G2571">
            <v>141393298</v>
          </cell>
          <cell r="H2571">
            <v>9123352</v>
          </cell>
          <cell r="I2571">
            <v>19823053</v>
          </cell>
        </row>
        <row r="2572">
          <cell r="A2572" t="str">
            <v>6321|435000</v>
          </cell>
          <cell r="B2572" t="str">
            <v>6321</v>
          </cell>
          <cell r="C2572">
            <v>435000</v>
          </cell>
          <cell r="D2572">
            <v>41426</v>
          </cell>
          <cell r="E2572">
            <v>252372249</v>
          </cell>
          <cell r="F2572">
            <v>126186125</v>
          </cell>
          <cell r="G2572">
            <v>216557841</v>
          </cell>
          <cell r="H2572">
            <v>21031021</v>
          </cell>
          <cell r="I2572">
            <v>0</v>
          </cell>
        </row>
        <row r="2573">
          <cell r="A2573" t="str">
            <v>6321|439000</v>
          </cell>
          <cell r="B2573" t="str">
            <v>6321</v>
          </cell>
          <cell r="C2573">
            <v>439000</v>
          </cell>
          <cell r="D2573">
            <v>41426</v>
          </cell>
          <cell r="E2573">
            <v>494081650</v>
          </cell>
          <cell r="F2573">
            <v>247040825</v>
          </cell>
          <cell r="G2573">
            <v>245590872</v>
          </cell>
          <cell r="H2573">
            <v>41173471</v>
          </cell>
          <cell r="I2573">
            <v>36736870</v>
          </cell>
        </row>
        <row r="2574">
          <cell r="A2574" t="str">
            <v>6321|439200</v>
          </cell>
          <cell r="B2574" t="str">
            <v>6321</v>
          </cell>
          <cell r="C2574">
            <v>439200</v>
          </cell>
          <cell r="D2574">
            <v>41426</v>
          </cell>
          <cell r="E2574">
            <v>1100000</v>
          </cell>
          <cell r="F2574">
            <v>550000</v>
          </cell>
          <cell r="G2574">
            <v>0</v>
          </cell>
          <cell r="H2574">
            <v>91667</v>
          </cell>
          <cell r="I2574">
            <v>0</v>
          </cell>
        </row>
        <row r="2575">
          <cell r="A2575" t="str">
            <v>6321|440000</v>
          </cell>
          <cell r="B2575" t="str">
            <v>6321</v>
          </cell>
          <cell r="C2575">
            <v>440000</v>
          </cell>
          <cell r="D2575">
            <v>41426</v>
          </cell>
          <cell r="E2575">
            <v>545800125</v>
          </cell>
          <cell r="F2575">
            <v>272900063</v>
          </cell>
          <cell r="G2575">
            <v>135536346</v>
          </cell>
          <cell r="H2575">
            <v>45483344</v>
          </cell>
          <cell r="I2575">
            <v>15079314</v>
          </cell>
        </row>
        <row r="2576">
          <cell r="A2576" t="str">
            <v>6321|446000</v>
          </cell>
          <cell r="B2576" t="str">
            <v>6321</v>
          </cell>
          <cell r="C2576">
            <v>446000</v>
          </cell>
          <cell r="D2576">
            <v>41426</v>
          </cell>
          <cell r="E2576">
            <v>131495255</v>
          </cell>
          <cell r="F2576">
            <v>65747628</v>
          </cell>
          <cell r="G2576">
            <v>33010000</v>
          </cell>
          <cell r="H2576">
            <v>10957938</v>
          </cell>
          <cell r="I2576">
            <v>5170000</v>
          </cell>
        </row>
        <row r="2577">
          <cell r="A2577" t="str">
            <v>6321|446001</v>
          </cell>
          <cell r="B2577" t="str">
            <v>6321</v>
          </cell>
          <cell r="C2577">
            <v>446001</v>
          </cell>
          <cell r="D2577">
            <v>41426</v>
          </cell>
          <cell r="E2577">
            <v>8430000</v>
          </cell>
          <cell r="F2577">
            <v>4215000</v>
          </cell>
          <cell r="G2577">
            <v>0</v>
          </cell>
          <cell r="H2577">
            <v>702500</v>
          </cell>
          <cell r="I2577">
            <v>0</v>
          </cell>
        </row>
        <row r="2578">
          <cell r="A2578" t="str">
            <v>6321|447000</v>
          </cell>
          <cell r="B2578" t="str">
            <v>6321</v>
          </cell>
          <cell r="C2578">
            <v>447000</v>
          </cell>
          <cell r="D2578">
            <v>41426</v>
          </cell>
          <cell r="E2578">
            <v>46308744</v>
          </cell>
          <cell r="F2578">
            <v>23154372</v>
          </cell>
          <cell r="G2578">
            <v>19673788</v>
          </cell>
          <cell r="H2578">
            <v>3859062</v>
          </cell>
          <cell r="I2578">
            <v>2840853</v>
          </cell>
        </row>
        <row r="2579">
          <cell r="A2579" t="str">
            <v>6321|447010</v>
          </cell>
          <cell r="B2579" t="str">
            <v>6321</v>
          </cell>
          <cell r="C2579">
            <v>447010</v>
          </cell>
          <cell r="D2579">
            <v>41426</v>
          </cell>
          <cell r="E2579">
            <v>109135256</v>
          </cell>
          <cell r="F2579">
            <v>54567628</v>
          </cell>
          <cell r="G2579">
            <v>46365093</v>
          </cell>
          <cell r="H2579">
            <v>9094605</v>
          </cell>
          <cell r="I2579">
            <v>6695020</v>
          </cell>
        </row>
        <row r="2580">
          <cell r="A2580" t="str">
            <v>6321|447020</v>
          </cell>
          <cell r="B2580" t="str">
            <v>6321</v>
          </cell>
          <cell r="C2580">
            <v>447020</v>
          </cell>
          <cell r="D2580">
            <v>41426</v>
          </cell>
          <cell r="E2580">
            <v>4630874</v>
          </cell>
          <cell r="F2580">
            <v>2315437</v>
          </cell>
          <cell r="G2580">
            <v>1237552</v>
          </cell>
          <cell r="H2580">
            <v>385906</v>
          </cell>
          <cell r="I2580">
            <v>162483</v>
          </cell>
        </row>
        <row r="2581">
          <cell r="A2581" t="str">
            <v>6321|448000</v>
          </cell>
          <cell r="B2581" t="str">
            <v>6321</v>
          </cell>
          <cell r="C2581">
            <v>448000</v>
          </cell>
          <cell r="D2581">
            <v>41426</v>
          </cell>
          <cell r="E2581">
            <v>304022267</v>
          </cell>
          <cell r="F2581">
            <v>152011134</v>
          </cell>
          <cell r="G2581">
            <v>138615786</v>
          </cell>
          <cell r="H2581">
            <v>25335189</v>
          </cell>
          <cell r="I2581">
            <v>10870400</v>
          </cell>
        </row>
        <row r="2582">
          <cell r="A2582" t="str">
            <v>6321|448001</v>
          </cell>
          <cell r="B2582" t="str">
            <v>6321</v>
          </cell>
          <cell r="C2582">
            <v>448001</v>
          </cell>
          <cell r="D2582">
            <v>41426</v>
          </cell>
          <cell r="E2582">
            <v>0</v>
          </cell>
          <cell r="F2582">
            <v>0</v>
          </cell>
          <cell r="G2582">
            <v>21536062</v>
          </cell>
          <cell r="H2582">
            <v>0</v>
          </cell>
          <cell r="I2582">
            <v>9621354</v>
          </cell>
        </row>
        <row r="2583">
          <cell r="A2583" t="str">
            <v>6321|449020</v>
          </cell>
          <cell r="B2583" t="str">
            <v>6321</v>
          </cell>
          <cell r="C2583">
            <v>449020</v>
          </cell>
          <cell r="D2583">
            <v>41426</v>
          </cell>
          <cell r="E2583">
            <v>285120000</v>
          </cell>
          <cell r="F2583">
            <v>142560000</v>
          </cell>
          <cell r="G2583">
            <v>155133500</v>
          </cell>
          <cell r="H2583">
            <v>23760000</v>
          </cell>
          <cell r="I2583">
            <v>19912500</v>
          </cell>
        </row>
        <row r="2584">
          <cell r="A2584" t="str">
            <v>6321|449032</v>
          </cell>
          <cell r="B2584" t="str">
            <v>6321</v>
          </cell>
          <cell r="C2584">
            <v>449032</v>
          </cell>
          <cell r="D2584">
            <v>41426</v>
          </cell>
          <cell r="E2584">
            <v>5971411</v>
          </cell>
          <cell r="F2584">
            <v>2985706</v>
          </cell>
          <cell r="G2584">
            <v>650000</v>
          </cell>
          <cell r="H2584">
            <v>497618</v>
          </cell>
          <cell r="I2584">
            <v>0</v>
          </cell>
        </row>
        <row r="2585">
          <cell r="A2585" t="str">
            <v>6321|449060</v>
          </cell>
          <cell r="B2585" t="str">
            <v>6321</v>
          </cell>
          <cell r="C2585">
            <v>449060</v>
          </cell>
          <cell r="D2585">
            <v>41426</v>
          </cell>
          <cell r="E2585">
            <v>6000000</v>
          </cell>
          <cell r="F2585">
            <v>3000000</v>
          </cell>
          <cell r="G2585">
            <v>2326889</v>
          </cell>
          <cell r="H2585">
            <v>500000</v>
          </cell>
          <cell r="I2585">
            <v>0</v>
          </cell>
        </row>
        <row r="2586">
          <cell r="A2586" t="str">
            <v>6321|449061</v>
          </cell>
          <cell r="B2586" t="str">
            <v>6321</v>
          </cell>
          <cell r="C2586">
            <v>449061</v>
          </cell>
          <cell r="D2586">
            <v>41426</v>
          </cell>
          <cell r="E2586">
            <v>7789462</v>
          </cell>
          <cell r="F2586">
            <v>3894731</v>
          </cell>
          <cell r="G2586">
            <v>4332250</v>
          </cell>
          <cell r="H2586">
            <v>649122</v>
          </cell>
          <cell r="I2586">
            <v>314000</v>
          </cell>
        </row>
        <row r="2587">
          <cell r="A2587" t="str">
            <v>6321|451000</v>
          </cell>
          <cell r="B2587" t="str">
            <v>6321</v>
          </cell>
          <cell r="C2587">
            <v>451000</v>
          </cell>
          <cell r="D2587">
            <v>41426</v>
          </cell>
          <cell r="E2587">
            <v>2001746</v>
          </cell>
          <cell r="F2587">
            <v>1000873</v>
          </cell>
          <cell r="G2587">
            <v>0</v>
          </cell>
          <cell r="H2587">
            <v>166812</v>
          </cell>
          <cell r="I2587">
            <v>0</v>
          </cell>
        </row>
        <row r="2588">
          <cell r="A2588" t="str">
            <v>6321|452000</v>
          </cell>
          <cell r="B2588" t="str">
            <v>6321</v>
          </cell>
          <cell r="C2588">
            <v>452000</v>
          </cell>
          <cell r="D2588">
            <v>41426</v>
          </cell>
          <cell r="E2588">
            <v>70000000</v>
          </cell>
          <cell r="F2588">
            <v>35000000</v>
          </cell>
          <cell r="G2588">
            <v>56933700</v>
          </cell>
          <cell r="H2588">
            <v>5833333</v>
          </cell>
          <cell r="I2588">
            <v>4987500</v>
          </cell>
        </row>
        <row r="2589">
          <cell r="A2589" t="str">
            <v>6321|452001</v>
          </cell>
          <cell r="B2589" t="str">
            <v>6321</v>
          </cell>
          <cell r="C2589">
            <v>452001</v>
          </cell>
          <cell r="D2589">
            <v>41426</v>
          </cell>
          <cell r="E2589">
            <v>0</v>
          </cell>
          <cell r="F2589">
            <v>0</v>
          </cell>
          <cell r="G2589">
            <v>4590729</v>
          </cell>
          <cell r="H2589">
            <v>0</v>
          </cell>
          <cell r="I2589">
            <v>0</v>
          </cell>
        </row>
        <row r="2590">
          <cell r="A2590" t="str">
            <v>6321|455000</v>
          </cell>
          <cell r="B2590" t="str">
            <v>6321</v>
          </cell>
          <cell r="C2590">
            <v>455000</v>
          </cell>
          <cell r="D2590">
            <v>41426</v>
          </cell>
          <cell r="E2590">
            <v>49000000</v>
          </cell>
          <cell r="F2590">
            <v>24500000</v>
          </cell>
          <cell r="G2590">
            <v>38619661</v>
          </cell>
          <cell r="H2590">
            <v>4083333</v>
          </cell>
          <cell r="I2590">
            <v>0</v>
          </cell>
        </row>
        <row r="2591">
          <cell r="A2591" t="str">
            <v>6321|455002</v>
          </cell>
          <cell r="B2591" t="str">
            <v>6321</v>
          </cell>
          <cell r="C2591">
            <v>455002</v>
          </cell>
          <cell r="D2591">
            <v>41426</v>
          </cell>
          <cell r="E2591">
            <v>43000000</v>
          </cell>
          <cell r="F2591">
            <v>21500000</v>
          </cell>
          <cell r="G2591">
            <v>23349727</v>
          </cell>
          <cell r="H2591">
            <v>3583334</v>
          </cell>
          <cell r="I2591">
            <v>-9255943</v>
          </cell>
        </row>
        <row r="2592">
          <cell r="A2592" t="str">
            <v>6321|470101</v>
          </cell>
          <cell r="B2592" t="str">
            <v>6321</v>
          </cell>
          <cell r="C2592">
            <v>470101</v>
          </cell>
          <cell r="D2592">
            <v>41426</v>
          </cell>
          <cell r="E2592">
            <v>2582640</v>
          </cell>
          <cell r="F2592">
            <v>1291320</v>
          </cell>
          <cell r="G2592">
            <v>32104000</v>
          </cell>
          <cell r="H2592">
            <v>215220</v>
          </cell>
          <cell r="I2592">
            <v>-240000</v>
          </cell>
        </row>
        <row r="2593">
          <cell r="A2593" t="str">
            <v>6321|473120</v>
          </cell>
          <cell r="B2593" t="str">
            <v>6321</v>
          </cell>
          <cell r="C2593">
            <v>473120</v>
          </cell>
          <cell r="D2593">
            <v>41426</v>
          </cell>
          <cell r="E2593">
            <v>1236479</v>
          </cell>
          <cell r="F2593">
            <v>618240</v>
          </cell>
          <cell r="G2593">
            <v>1099566</v>
          </cell>
          <cell r="H2593">
            <v>103040</v>
          </cell>
          <cell r="I2593">
            <v>30499</v>
          </cell>
        </row>
        <row r="2594">
          <cell r="A2594" t="str">
            <v>6321|476220</v>
          </cell>
          <cell r="B2594" t="str">
            <v>6321</v>
          </cell>
          <cell r="C2594">
            <v>476220</v>
          </cell>
          <cell r="D2594">
            <v>41426</v>
          </cell>
          <cell r="E2594">
            <v>7699301</v>
          </cell>
          <cell r="F2594">
            <v>3849651</v>
          </cell>
          <cell r="G2594">
            <v>2168358</v>
          </cell>
          <cell r="H2594">
            <v>641609</v>
          </cell>
          <cell r="I2594">
            <v>0</v>
          </cell>
        </row>
        <row r="2595">
          <cell r="A2595" t="str">
            <v>6321|476223</v>
          </cell>
          <cell r="B2595" t="str">
            <v>6321</v>
          </cell>
          <cell r="C2595">
            <v>476223</v>
          </cell>
          <cell r="D2595">
            <v>41426</v>
          </cell>
          <cell r="E2595">
            <v>165000000</v>
          </cell>
          <cell r="F2595">
            <v>82500000</v>
          </cell>
          <cell r="G2595">
            <v>67894130</v>
          </cell>
          <cell r="H2595">
            <v>13750000</v>
          </cell>
          <cell r="I2595">
            <v>13628830</v>
          </cell>
        </row>
        <row r="2596">
          <cell r="A2596" t="str">
            <v>6322|211100</v>
          </cell>
          <cell r="B2596" t="str">
            <v>6322</v>
          </cell>
          <cell r="C2596">
            <v>211100</v>
          </cell>
          <cell r="D2596">
            <v>41426</v>
          </cell>
          <cell r="E2596">
            <v>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</row>
        <row r="2597">
          <cell r="A2597" t="str">
            <v>6322|211104</v>
          </cell>
          <cell r="B2597" t="str">
            <v>6322</v>
          </cell>
          <cell r="C2597">
            <v>211104</v>
          </cell>
          <cell r="D2597">
            <v>41426</v>
          </cell>
          <cell r="E2597">
            <v>7329570498</v>
          </cell>
          <cell r="F2597">
            <v>3664785249</v>
          </cell>
          <cell r="G2597">
            <v>2769889577</v>
          </cell>
          <cell r="H2597">
            <v>610797541</v>
          </cell>
          <cell r="I2597">
            <v>478168567</v>
          </cell>
        </row>
        <row r="2598">
          <cell r="A2598" t="str">
            <v>6322|400040</v>
          </cell>
          <cell r="B2598" t="str">
            <v>6322</v>
          </cell>
          <cell r="C2598">
            <v>400040</v>
          </cell>
          <cell r="D2598">
            <v>41426</v>
          </cell>
          <cell r="E2598">
            <v>400000000</v>
          </cell>
          <cell r="F2598">
            <v>200000000</v>
          </cell>
          <cell r="G2598">
            <v>555813897</v>
          </cell>
          <cell r="H2598">
            <v>33333333</v>
          </cell>
          <cell r="I2598">
            <v>12589997</v>
          </cell>
        </row>
        <row r="2599">
          <cell r="A2599" t="str">
            <v>6322|405251</v>
          </cell>
          <cell r="B2599" t="str">
            <v>6322</v>
          </cell>
          <cell r="C2599">
            <v>405251</v>
          </cell>
          <cell r="D2599">
            <v>41426</v>
          </cell>
          <cell r="E2599">
            <v>80000000</v>
          </cell>
          <cell r="F2599">
            <v>40000000</v>
          </cell>
          <cell r="G2599">
            <v>108893471</v>
          </cell>
          <cell r="H2599">
            <v>6666667</v>
          </cell>
          <cell r="I2599">
            <v>16704731</v>
          </cell>
        </row>
        <row r="2600">
          <cell r="A2600" t="str">
            <v>6322|420000</v>
          </cell>
          <cell r="B2600" t="str">
            <v>6322</v>
          </cell>
          <cell r="C2600">
            <v>420000</v>
          </cell>
          <cell r="D2600">
            <v>41426</v>
          </cell>
          <cell r="E2600">
            <v>1525675288</v>
          </cell>
          <cell r="F2600">
            <v>762837644</v>
          </cell>
          <cell r="G2600">
            <v>657315932</v>
          </cell>
          <cell r="H2600">
            <v>127139607</v>
          </cell>
          <cell r="I2600">
            <v>107379499</v>
          </cell>
        </row>
        <row r="2601">
          <cell r="A2601" t="str">
            <v>6322|422000</v>
          </cell>
          <cell r="B2601" t="str">
            <v>6322</v>
          </cell>
          <cell r="C2601">
            <v>422000</v>
          </cell>
          <cell r="D2601">
            <v>41426</v>
          </cell>
          <cell r="E2601">
            <v>3397288</v>
          </cell>
          <cell r="F2601">
            <v>1698644</v>
          </cell>
          <cell r="G2601">
            <v>2702750</v>
          </cell>
          <cell r="H2601">
            <v>283107</v>
          </cell>
          <cell r="I2601">
            <v>29900</v>
          </cell>
        </row>
        <row r="2602">
          <cell r="A2602" t="str">
            <v>6322|422001</v>
          </cell>
          <cell r="B2602" t="str">
            <v>6322</v>
          </cell>
          <cell r="C2602">
            <v>422001</v>
          </cell>
          <cell r="D2602">
            <v>41426</v>
          </cell>
          <cell r="E2602">
            <v>250432</v>
          </cell>
          <cell r="F2602">
            <v>125216</v>
          </cell>
          <cell r="G2602">
            <v>0</v>
          </cell>
          <cell r="H2602">
            <v>20869</v>
          </cell>
          <cell r="I2602">
            <v>0</v>
          </cell>
        </row>
        <row r="2603">
          <cell r="A2603" t="str">
            <v>6322|431000</v>
          </cell>
          <cell r="B2603" t="str">
            <v>6322</v>
          </cell>
          <cell r="C2603">
            <v>431000</v>
          </cell>
          <cell r="D2603">
            <v>41426</v>
          </cell>
          <cell r="E2603">
            <v>140000000</v>
          </cell>
          <cell r="F2603">
            <v>70000000</v>
          </cell>
          <cell r="G2603">
            <v>134400512</v>
          </cell>
          <cell r="H2603">
            <v>11666667</v>
          </cell>
          <cell r="I2603">
            <v>359412</v>
          </cell>
        </row>
        <row r="2604">
          <cell r="A2604" t="str">
            <v>6322|431001</v>
          </cell>
          <cell r="B2604" t="str">
            <v>6322</v>
          </cell>
          <cell r="C2604">
            <v>431001</v>
          </cell>
          <cell r="D2604">
            <v>41426</v>
          </cell>
          <cell r="E2604">
            <v>14000000</v>
          </cell>
          <cell r="F2604">
            <v>7000000</v>
          </cell>
          <cell r="G2604">
            <v>1051888</v>
          </cell>
          <cell r="H2604">
            <v>1166667</v>
          </cell>
          <cell r="I2604">
            <v>0</v>
          </cell>
        </row>
        <row r="2605">
          <cell r="A2605" t="str">
            <v>6322|434010</v>
          </cell>
          <cell r="B2605" t="str">
            <v>6322</v>
          </cell>
          <cell r="C2605">
            <v>434010</v>
          </cell>
          <cell r="D2605">
            <v>41426</v>
          </cell>
          <cell r="E2605">
            <v>0</v>
          </cell>
          <cell r="F2605">
            <v>0</v>
          </cell>
          <cell r="G2605">
            <v>81717704</v>
          </cell>
          <cell r="H2605">
            <v>0</v>
          </cell>
          <cell r="I2605">
            <v>12987517</v>
          </cell>
        </row>
        <row r="2606">
          <cell r="A2606" t="str">
            <v>6322|435000</v>
          </cell>
          <cell r="B2606" t="str">
            <v>6322</v>
          </cell>
          <cell r="C2606">
            <v>435000</v>
          </cell>
          <cell r="D2606">
            <v>41426</v>
          </cell>
          <cell r="E2606">
            <v>127139607</v>
          </cell>
          <cell r="F2606">
            <v>63569804</v>
          </cell>
          <cell r="G2606">
            <v>130039666</v>
          </cell>
          <cell r="H2606">
            <v>10594968</v>
          </cell>
          <cell r="I2606">
            <v>0</v>
          </cell>
        </row>
        <row r="2607">
          <cell r="A2607" t="str">
            <v>6322|439000</v>
          </cell>
          <cell r="B2607" t="str">
            <v>6322</v>
          </cell>
          <cell r="C2607">
            <v>439000</v>
          </cell>
          <cell r="D2607">
            <v>41426</v>
          </cell>
          <cell r="E2607">
            <v>247040825</v>
          </cell>
          <cell r="F2607">
            <v>123520413</v>
          </cell>
          <cell r="G2607">
            <v>163992302</v>
          </cell>
          <cell r="H2607">
            <v>20586736</v>
          </cell>
          <cell r="I2607">
            <v>24068984</v>
          </cell>
        </row>
        <row r="2608">
          <cell r="A2608" t="str">
            <v>6322|439200</v>
          </cell>
          <cell r="B2608" t="str">
            <v>6322</v>
          </cell>
          <cell r="C2608">
            <v>439200</v>
          </cell>
          <cell r="D2608">
            <v>41426</v>
          </cell>
          <cell r="E2608">
            <v>1080000</v>
          </cell>
          <cell r="F2608">
            <v>540000</v>
          </cell>
          <cell r="G2608">
            <v>0</v>
          </cell>
          <cell r="H2608">
            <v>90000</v>
          </cell>
          <cell r="I2608">
            <v>0</v>
          </cell>
        </row>
        <row r="2609">
          <cell r="A2609" t="str">
            <v>6322|440000</v>
          </cell>
          <cell r="B2609" t="str">
            <v>6322</v>
          </cell>
          <cell r="C2609">
            <v>440000</v>
          </cell>
          <cell r="D2609">
            <v>41426</v>
          </cell>
          <cell r="E2609">
            <v>127139607</v>
          </cell>
          <cell r="F2609">
            <v>63569804</v>
          </cell>
          <cell r="G2609">
            <v>75450282</v>
          </cell>
          <cell r="H2609">
            <v>10594968</v>
          </cell>
          <cell r="I2609">
            <v>9879550</v>
          </cell>
        </row>
        <row r="2610">
          <cell r="A2610" t="str">
            <v>6322|446000</v>
          </cell>
          <cell r="B2610" t="str">
            <v>6322</v>
          </cell>
          <cell r="C2610">
            <v>446000</v>
          </cell>
          <cell r="D2610">
            <v>41426</v>
          </cell>
          <cell r="E2610">
            <v>54374569</v>
          </cell>
          <cell r="F2610">
            <v>27187285</v>
          </cell>
          <cell r="G2610">
            <v>19020000</v>
          </cell>
          <cell r="H2610">
            <v>4531215</v>
          </cell>
          <cell r="I2610">
            <v>3675000</v>
          </cell>
        </row>
        <row r="2611">
          <cell r="A2611" t="str">
            <v>6322|447000</v>
          </cell>
          <cell r="B2611" t="str">
            <v>6322</v>
          </cell>
          <cell r="C2611">
            <v>447000</v>
          </cell>
          <cell r="D2611">
            <v>41426</v>
          </cell>
          <cell r="E2611">
            <v>23953102</v>
          </cell>
          <cell r="F2611">
            <v>11976551</v>
          </cell>
          <cell r="G2611">
            <v>10176367</v>
          </cell>
          <cell r="H2611">
            <v>1996092</v>
          </cell>
          <cell r="I2611">
            <v>1809349</v>
          </cell>
        </row>
        <row r="2612">
          <cell r="A2612" t="str">
            <v>6322|447010</v>
          </cell>
          <cell r="B2612" t="str">
            <v>6322</v>
          </cell>
          <cell r="C2612">
            <v>447010</v>
          </cell>
          <cell r="D2612">
            <v>41426</v>
          </cell>
          <cell r="E2612">
            <v>56449986</v>
          </cell>
          <cell r="F2612">
            <v>28224993</v>
          </cell>
          <cell r="G2612">
            <v>23982593</v>
          </cell>
          <cell r="H2612">
            <v>4704165</v>
          </cell>
          <cell r="I2612">
            <v>4264082</v>
          </cell>
        </row>
        <row r="2613">
          <cell r="A2613" t="str">
            <v>6322|447020</v>
          </cell>
          <cell r="B2613" t="str">
            <v>6322</v>
          </cell>
          <cell r="C2613">
            <v>447020</v>
          </cell>
          <cell r="D2613">
            <v>41426</v>
          </cell>
          <cell r="E2613">
            <v>2395310</v>
          </cell>
          <cell r="F2613">
            <v>1197655</v>
          </cell>
          <cell r="G2613">
            <v>610170</v>
          </cell>
          <cell r="H2613">
            <v>199609</v>
          </cell>
          <cell r="I2613">
            <v>93600</v>
          </cell>
        </row>
        <row r="2614">
          <cell r="A2614" t="str">
            <v>6322|448000</v>
          </cell>
          <cell r="B2614" t="str">
            <v>6322</v>
          </cell>
          <cell r="C2614">
            <v>448000</v>
          </cell>
          <cell r="D2614">
            <v>41426</v>
          </cell>
          <cell r="E2614">
            <v>168444376</v>
          </cell>
          <cell r="F2614">
            <v>84222188</v>
          </cell>
          <cell r="G2614">
            <v>54892821</v>
          </cell>
          <cell r="H2614">
            <v>14037031</v>
          </cell>
          <cell r="I2614">
            <v>3742900</v>
          </cell>
        </row>
        <row r="2615">
          <cell r="A2615" t="str">
            <v>6322|448001</v>
          </cell>
          <cell r="B2615" t="str">
            <v>6322</v>
          </cell>
          <cell r="C2615">
            <v>448001</v>
          </cell>
          <cell r="D2615">
            <v>41426</v>
          </cell>
          <cell r="E2615">
            <v>0</v>
          </cell>
          <cell r="F2615">
            <v>0</v>
          </cell>
          <cell r="G2615">
            <v>3080700</v>
          </cell>
          <cell r="H2615">
            <v>0</v>
          </cell>
          <cell r="I2615">
            <v>123000</v>
          </cell>
        </row>
        <row r="2616">
          <cell r="A2616" t="str">
            <v>6322|449020</v>
          </cell>
          <cell r="B2616" t="str">
            <v>6322</v>
          </cell>
          <cell r="C2616">
            <v>449020</v>
          </cell>
          <cell r="D2616">
            <v>41426</v>
          </cell>
          <cell r="E2616">
            <v>162360000</v>
          </cell>
          <cell r="F2616">
            <v>81180000</v>
          </cell>
          <cell r="G2616">
            <v>85461500</v>
          </cell>
          <cell r="H2616">
            <v>13530000</v>
          </cell>
          <cell r="I2616">
            <v>13002000</v>
          </cell>
        </row>
        <row r="2617">
          <cell r="A2617" t="str">
            <v>6322|449032</v>
          </cell>
          <cell r="B2617" t="str">
            <v>6322</v>
          </cell>
          <cell r="C2617">
            <v>449032</v>
          </cell>
          <cell r="D2617">
            <v>41426</v>
          </cell>
          <cell r="E2617">
            <v>24354200</v>
          </cell>
          <cell r="F2617">
            <v>12177100</v>
          </cell>
          <cell r="G2617">
            <v>-37250</v>
          </cell>
          <cell r="H2617">
            <v>2029516</v>
          </cell>
          <cell r="I2617">
            <v>0</v>
          </cell>
        </row>
        <row r="2618">
          <cell r="A2618" t="str">
            <v>6322|449060</v>
          </cell>
          <cell r="B2618" t="str">
            <v>6322</v>
          </cell>
          <cell r="C2618">
            <v>449060</v>
          </cell>
          <cell r="D2618">
            <v>41426</v>
          </cell>
          <cell r="E2618">
            <v>6000000</v>
          </cell>
          <cell r="F2618">
            <v>3000000</v>
          </cell>
          <cell r="G2618">
            <v>6636391</v>
          </cell>
          <cell r="H2618">
            <v>500000</v>
          </cell>
          <cell r="I2618">
            <v>0</v>
          </cell>
        </row>
        <row r="2619">
          <cell r="A2619" t="str">
            <v>6322|449061</v>
          </cell>
          <cell r="B2619" t="str">
            <v>6322</v>
          </cell>
          <cell r="C2619">
            <v>449061</v>
          </cell>
          <cell r="D2619">
            <v>41426</v>
          </cell>
          <cell r="E2619">
            <v>4625600</v>
          </cell>
          <cell r="F2619">
            <v>2312800</v>
          </cell>
          <cell r="G2619">
            <v>4049400</v>
          </cell>
          <cell r="H2619">
            <v>385467</v>
          </cell>
          <cell r="I2619">
            <v>195600</v>
          </cell>
        </row>
        <row r="2620">
          <cell r="A2620" t="str">
            <v>6322|451000</v>
          </cell>
          <cell r="B2620" t="str">
            <v>6322</v>
          </cell>
          <cell r="C2620">
            <v>451000</v>
          </cell>
          <cell r="D2620">
            <v>41426</v>
          </cell>
          <cell r="E2620">
            <v>4795400</v>
          </cell>
          <cell r="F2620">
            <v>2397700</v>
          </cell>
          <cell r="G2620">
            <v>0</v>
          </cell>
          <cell r="H2620">
            <v>399617</v>
          </cell>
          <cell r="I2620">
            <v>0</v>
          </cell>
        </row>
        <row r="2621">
          <cell r="A2621" t="str">
            <v>6322|452000</v>
          </cell>
          <cell r="B2621" t="str">
            <v>6322</v>
          </cell>
          <cell r="C2621">
            <v>452000</v>
          </cell>
          <cell r="D2621">
            <v>41426</v>
          </cell>
          <cell r="E2621">
            <v>179000000</v>
          </cell>
          <cell r="F2621">
            <v>89500000</v>
          </cell>
          <cell r="G2621">
            <v>30202743</v>
          </cell>
          <cell r="H2621">
            <v>14916666</v>
          </cell>
          <cell r="I2621">
            <v>22620994</v>
          </cell>
        </row>
        <row r="2622">
          <cell r="A2622" t="str">
            <v>6322|452001</v>
          </cell>
          <cell r="B2622" t="str">
            <v>6322</v>
          </cell>
          <cell r="C2622">
            <v>452001</v>
          </cell>
          <cell r="D2622">
            <v>41426</v>
          </cell>
          <cell r="E2622">
            <v>48000000</v>
          </cell>
          <cell r="F2622">
            <v>24000000</v>
          </cell>
          <cell r="G2622">
            <v>6915000</v>
          </cell>
          <cell r="H2622">
            <v>4000000</v>
          </cell>
          <cell r="I2622">
            <v>0</v>
          </cell>
        </row>
        <row r="2623">
          <cell r="A2623" t="str">
            <v>6322|455000</v>
          </cell>
          <cell r="B2623" t="str">
            <v>6322</v>
          </cell>
          <cell r="C2623">
            <v>455000</v>
          </cell>
          <cell r="D2623">
            <v>41426</v>
          </cell>
          <cell r="E2623">
            <v>20000000</v>
          </cell>
          <cell r="F2623">
            <v>10000000</v>
          </cell>
          <cell r="G2623">
            <v>19725875</v>
          </cell>
          <cell r="H2623">
            <v>1666667</v>
          </cell>
          <cell r="I2623">
            <v>0</v>
          </cell>
        </row>
        <row r="2624">
          <cell r="A2624" t="str">
            <v>6322|455002</v>
          </cell>
          <cell r="B2624" t="str">
            <v>6322</v>
          </cell>
          <cell r="C2624">
            <v>455002</v>
          </cell>
          <cell r="D2624">
            <v>41426</v>
          </cell>
          <cell r="E2624">
            <v>35800000</v>
          </cell>
          <cell r="F2624">
            <v>17900000</v>
          </cell>
          <cell r="G2624">
            <v>1174186</v>
          </cell>
          <cell r="H2624">
            <v>2983333</v>
          </cell>
          <cell r="I2624">
            <v>1636019</v>
          </cell>
        </row>
        <row r="2625">
          <cell r="A2625" t="str">
            <v>6322|459005</v>
          </cell>
          <cell r="B2625" t="str">
            <v>6322</v>
          </cell>
          <cell r="C2625">
            <v>459005</v>
          </cell>
          <cell r="D2625">
            <v>41426</v>
          </cell>
          <cell r="E2625">
            <v>690299</v>
          </cell>
          <cell r="F2625">
            <v>345150</v>
          </cell>
          <cell r="G2625">
            <v>0</v>
          </cell>
          <cell r="H2625">
            <v>57525</v>
          </cell>
          <cell r="I2625">
            <v>0</v>
          </cell>
        </row>
        <row r="2626">
          <cell r="A2626" t="str">
            <v>6322|473120</v>
          </cell>
          <cell r="B2626" t="str">
            <v>6322</v>
          </cell>
          <cell r="C2626">
            <v>473120</v>
          </cell>
          <cell r="D2626">
            <v>41426</v>
          </cell>
          <cell r="E2626">
            <v>1640114</v>
          </cell>
          <cell r="F2626">
            <v>820057</v>
          </cell>
          <cell r="G2626">
            <v>1809406</v>
          </cell>
          <cell r="H2626">
            <v>136676</v>
          </cell>
          <cell r="I2626">
            <v>143345</v>
          </cell>
        </row>
        <row r="2627">
          <cell r="A2627" t="str">
            <v>6322|476000</v>
          </cell>
          <cell r="B2627" t="str">
            <v>6322</v>
          </cell>
          <cell r="C2627">
            <v>476000</v>
          </cell>
          <cell r="D2627">
            <v>41426</v>
          </cell>
          <cell r="E2627">
            <v>3366800</v>
          </cell>
          <cell r="F2627">
            <v>1683400</v>
          </cell>
          <cell r="G2627">
            <v>1000000</v>
          </cell>
          <cell r="H2627">
            <v>280567</v>
          </cell>
          <cell r="I2627">
            <v>1000000</v>
          </cell>
        </row>
        <row r="2628">
          <cell r="A2628" t="str">
            <v>6326|211104</v>
          </cell>
          <cell r="B2628" t="str">
            <v>6326</v>
          </cell>
          <cell r="C2628">
            <v>211104</v>
          </cell>
          <cell r="D2628">
            <v>41426</v>
          </cell>
          <cell r="E2628">
            <v>11302083</v>
          </cell>
          <cell r="F2628">
            <v>5651042</v>
          </cell>
          <cell r="G2628">
            <v>2126886</v>
          </cell>
          <cell r="H2628">
            <v>941841</v>
          </cell>
          <cell r="I2628">
            <v>589453</v>
          </cell>
        </row>
        <row r="2629">
          <cell r="A2629" t="str">
            <v>6326|400040</v>
          </cell>
          <cell r="B2629" t="str">
            <v>6326</v>
          </cell>
          <cell r="C2629">
            <v>400040</v>
          </cell>
          <cell r="D2629">
            <v>41426</v>
          </cell>
          <cell r="E2629">
            <v>0</v>
          </cell>
          <cell r="F2629">
            <v>0</v>
          </cell>
          <cell r="G2629">
            <v>20565798</v>
          </cell>
          <cell r="H2629">
            <v>0</v>
          </cell>
          <cell r="I2629">
            <v>107113</v>
          </cell>
        </row>
        <row r="2630">
          <cell r="A2630" t="str">
            <v>6326|431000</v>
          </cell>
          <cell r="B2630" t="str">
            <v>6326</v>
          </cell>
          <cell r="C2630">
            <v>431000</v>
          </cell>
          <cell r="D2630">
            <v>41426</v>
          </cell>
          <cell r="E2630">
            <v>0</v>
          </cell>
          <cell r="F2630">
            <v>0</v>
          </cell>
          <cell r="G2630">
            <v>35244708</v>
          </cell>
          <cell r="H2630">
            <v>0</v>
          </cell>
          <cell r="I2630">
            <v>214615</v>
          </cell>
        </row>
        <row r="2631">
          <cell r="A2631" t="str">
            <v>6326|449060</v>
          </cell>
          <cell r="B2631" t="str">
            <v>6326</v>
          </cell>
          <cell r="C2631">
            <v>449060</v>
          </cell>
          <cell r="D2631">
            <v>41426</v>
          </cell>
          <cell r="E2631">
            <v>0</v>
          </cell>
          <cell r="F2631">
            <v>0</v>
          </cell>
          <cell r="G2631">
            <v>2780436</v>
          </cell>
          <cell r="H2631">
            <v>0</v>
          </cell>
          <cell r="I2631">
            <v>0</v>
          </cell>
        </row>
        <row r="2632">
          <cell r="A2632" t="str">
            <v>6326|449061</v>
          </cell>
          <cell r="B2632" t="str">
            <v>6326</v>
          </cell>
          <cell r="C2632">
            <v>449061</v>
          </cell>
          <cell r="D2632">
            <v>41426</v>
          </cell>
          <cell r="E2632">
            <v>1386924</v>
          </cell>
          <cell r="F2632">
            <v>693462</v>
          </cell>
          <cell r="G2632">
            <v>1541450</v>
          </cell>
          <cell r="H2632">
            <v>115577</v>
          </cell>
          <cell r="I2632">
            <v>0</v>
          </cell>
        </row>
        <row r="2633">
          <cell r="A2633" t="str">
            <v>6326|452000</v>
          </cell>
          <cell r="B2633" t="str">
            <v>6326</v>
          </cell>
          <cell r="C2633">
            <v>452000</v>
          </cell>
          <cell r="D2633">
            <v>41426</v>
          </cell>
          <cell r="E2633">
            <v>4800000</v>
          </cell>
          <cell r="F2633">
            <v>2400000</v>
          </cell>
          <cell r="G2633">
            <v>0</v>
          </cell>
          <cell r="H2633">
            <v>400000</v>
          </cell>
          <cell r="I2633">
            <v>0</v>
          </cell>
        </row>
        <row r="2634">
          <cell r="A2634" t="str">
            <v>6326|452001</v>
          </cell>
          <cell r="B2634" t="str">
            <v>6326</v>
          </cell>
          <cell r="C2634">
            <v>452001</v>
          </cell>
          <cell r="D2634">
            <v>41426</v>
          </cell>
          <cell r="E2634">
            <v>0</v>
          </cell>
          <cell r="F2634">
            <v>0</v>
          </cell>
          <cell r="G2634">
            <v>52687820</v>
          </cell>
          <cell r="H2634">
            <v>0</v>
          </cell>
          <cell r="I2634">
            <v>0</v>
          </cell>
        </row>
        <row r="2635">
          <cell r="A2635" t="str">
            <v>6326|455002</v>
          </cell>
          <cell r="B2635" t="str">
            <v>6326</v>
          </cell>
          <cell r="C2635">
            <v>455002</v>
          </cell>
          <cell r="D2635">
            <v>41426</v>
          </cell>
          <cell r="E2635">
            <v>0</v>
          </cell>
          <cell r="F2635">
            <v>0</v>
          </cell>
          <cell r="G2635">
            <v>5855768</v>
          </cell>
          <cell r="H2635">
            <v>0</v>
          </cell>
          <cell r="I2635">
            <v>0</v>
          </cell>
        </row>
        <row r="2636">
          <cell r="A2636" t="str">
            <v>6326|471000</v>
          </cell>
          <cell r="B2636" t="str">
            <v>6326</v>
          </cell>
          <cell r="C2636">
            <v>471000</v>
          </cell>
          <cell r="D2636">
            <v>41426</v>
          </cell>
          <cell r="E2636">
            <v>2175480</v>
          </cell>
          <cell r="F2636">
            <v>1087740</v>
          </cell>
          <cell r="G2636">
            <v>8476800</v>
          </cell>
          <cell r="H2636">
            <v>181290</v>
          </cell>
          <cell r="I2636">
            <v>1207550</v>
          </cell>
        </row>
        <row r="2637">
          <cell r="A2637" t="str">
            <v>6326|476220</v>
          </cell>
          <cell r="B2637" t="str">
            <v>6326</v>
          </cell>
          <cell r="C2637">
            <v>476220</v>
          </cell>
          <cell r="D2637">
            <v>41426</v>
          </cell>
          <cell r="E2637">
            <v>1071744</v>
          </cell>
          <cell r="F2637">
            <v>535872</v>
          </cell>
          <cell r="G2637">
            <v>1509179</v>
          </cell>
          <cell r="H2637">
            <v>89312</v>
          </cell>
          <cell r="I2637">
            <v>0</v>
          </cell>
        </row>
        <row r="2638">
          <cell r="A2638" t="str">
            <v>6327|211104</v>
          </cell>
          <cell r="B2638" t="str">
            <v>6327</v>
          </cell>
          <cell r="C2638">
            <v>211104</v>
          </cell>
          <cell r="D2638">
            <v>41426</v>
          </cell>
          <cell r="E2638">
            <v>143468429</v>
          </cell>
          <cell r="F2638">
            <v>71734215</v>
          </cell>
          <cell r="G2638">
            <v>71734215</v>
          </cell>
          <cell r="H2638">
            <v>11955703</v>
          </cell>
          <cell r="I2638">
            <v>11955703</v>
          </cell>
        </row>
        <row r="2639">
          <cell r="A2639" t="str">
            <v>6410|211104</v>
          </cell>
          <cell r="B2639" t="str">
            <v>6410</v>
          </cell>
          <cell r="C2639">
            <v>211104</v>
          </cell>
          <cell r="D2639">
            <v>41426</v>
          </cell>
          <cell r="E2639">
            <v>150934977</v>
          </cell>
          <cell r="F2639">
            <v>75467489</v>
          </cell>
          <cell r="G2639">
            <v>38236018</v>
          </cell>
          <cell r="H2639">
            <v>12577915</v>
          </cell>
          <cell r="I2639">
            <v>6372679</v>
          </cell>
        </row>
        <row r="2640">
          <cell r="A2640" t="str">
            <v>6410|400040</v>
          </cell>
          <cell r="B2640" t="str">
            <v>6410</v>
          </cell>
          <cell r="C2640">
            <v>400040</v>
          </cell>
          <cell r="D2640">
            <v>41426</v>
          </cell>
          <cell r="E2640">
            <v>1500000</v>
          </cell>
          <cell r="F2640">
            <v>750000</v>
          </cell>
          <cell r="G2640">
            <v>661758</v>
          </cell>
          <cell r="H2640">
            <v>125000</v>
          </cell>
          <cell r="I2640">
            <v>462000</v>
          </cell>
        </row>
        <row r="2641">
          <cell r="A2641" t="str">
            <v>6410|420003</v>
          </cell>
          <cell r="B2641" t="str">
            <v>6410</v>
          </cell>
          <cell r="C2641">
            <v>420003</v>
          </cell>
          <cell r="D2641">
            <v>41426</v>
          </cell>
          <cell r="E2641">
            <v>220740924</v>
          </cell>
          <cell r="F2641">
            <v>110370462</v>
          </cell>
          <cell r="G2641">
            <v>126179805</v>
          </cell>
          <cell r="H2641">
            <v>18395077</v>
          </cell>
          <cell r="I2641">
            <v>21265001</v>
          </cell>
        </row>
        <row r="2642">
          <cell r="A2642" t="str">
            <v>6410|422000</v>
          </cell>
          <cell r="B2642" t="str">
            <v>6410</v>
          </cell>
          <cell r="C2642">
            <v>422000</v>
          </cell>
          <cell r="D2642">
            <v>41426</v>
          </cell>
          <cell r="E2642">
            <v>747360</v>
          </cell>
          <cell r="F2642">
            <v>373680</v>
          </cell>
          <cell r="G2642">
            <v>0</v>
          </cell>
          <cell r="H2642">
            <v>62280</v>
          </cell>
          <cell r="I2642">
            <v>0</v>
          </cell>
        </row>
        <row r="2643">
          <cell r="A2643" t="str">
            <v>6410|431000</v>
          </cell>
          <cell r="B2643" t="str">
            <v>6410</v>
          </cell>
          <cell r="C2643">
            <v>431000</v>
          </cell>
          <cell r="D2643">
            <v>41426</v>
          </cell>
          <cell r="E2643">
            <v>12000000</v>
          </cell>
          <cell r="F2643">
            <v>6000000</v>
          </cell>
          <cell r="G2643">
            <v>0</v>
          </cell>
          <cell r="H2643">
            <v>1000000</v>
          </cell>
          <cell r="I2643">
            <v>0</v>
          </cell>
        </row>
        <row r="2644">
          <cell r="A2644" t="str">
            <v>6410|434013</v>
          </cell>
          <cell r="B2644" t="str">
            <v>6410</v>
          </cell>
          <cell r="C2644">
            <v>434013</v>
          </cell>
          <cell r="D2644">
            <v>41426</v>
          </cell>
          <cell r="E2644">
            <v>0</v>
          </cell>
          <cell r="F2644">
            <v>0</v>
          </cell>
          <cell r="G2644">
            <v>3750402</v>
          </cell>
          <cell r="H2644">
            <v>0</v>
          </cell>
          <cell r="I2644">
            <v>600488</v>
          </cell>
        </row>
        <row r="2645">
          <cell r="A2645" t="str">
            <v>6410|435003</v>
          </cell>
          <cell r="B2645" t="str">
            <v>6410</v>
          </cell>
          <cell r="C2645">
            <v>435003</v>
          </cell>
          <cell r="D2645">
            <v>41426</v>
          </cell>
          <cell r="E2645">
            <v>31940085</v>
          </cell>
          <cell r="F2645">
            <v>15970043</v>
          </cell>
          <cell r="G2645">
            <v>51759000</v>
          </cell>
          <cell r="H2645">
            <v>2661674</v>
          </cell>
          <cell r="I2645">
            <v>0</v>
          </cell>
        </row>
        <row r="2646">
          <cell r="A2646" t="str">
            <v>6410|439003</v>
          </cell>
          <cell r="B2646" t="str">
            <v>6410</v>
          </cell>
          <cell r="C2646">
            <v>439003</v>
          </cell>
          <cell r="D2646">
            <v>41426</v>
          </cell>
          <cell r="E2646">
            <v>39449879</v>
          </cell>
          <cell r="F2646">
            <v>19724940</v>
          </cell>
          <cell r="G2646">
            <v>20073108</v>
          </cell>
          <cell r="H2646">
            <v>3287490</v>
          </cell>
          <cell r="I2646">
            <v>3222605</v>
          </cell>
        </row>
        <row r="2647">
          <cell r="A2647" t="str">
            <v>6410|440003</v>
          </cell>
          <cell r="B2647" t="str">
            <v>6410</v>
          </cell>
          <cell r="C2647">
            <v>440003</v>
          </cell>
          <cell r="D2647">
            <v>41426</v>
          </cell>
          <cell r="E2647">
            <v>21293390</v>
          </cell>
          <cell r="F2647">
            <v>10646695</v>
          </cell>
          <cell r="G2647">
            <v>12288976</v>
          </cell>
          <cell r="H2647">
            <v>1774449</v>
          </cell>
          <cell r="I2647">
            <v>2527365</v>
          </cell>
        </row>
        <row r="2648">
          <cell r="A2648" t="str">
            <v>6410|447003</v>
          </cell>
          <cell r="B2648" t="str">
            <v>6410</v>
          </cell>
          <cell r="C2648">
            <v>447003</v>
          </cell>
          <cell r="D2648">
            <v>41426</v>
          </cell>
          <cell r="E2648">
            <v>4012241</v>
          </cell>
          <cell r="F2648">
            <v>2006121</v>
          </cell>
          <cell r="G2648">
            <v>2182896</v>
          </cell>
          <cell r="H2648">
            <v>334354</v>
          </cell>
          <cell r="I2648">
            <v>363816</v>
          </cell>
        </row>
        <row r="2649">
          <cell r="A2649" t="str">
            <v>6410|447013</v>
          </cell>
          <cell r="B2649" t="str">
            <v>6410</v>
          </cell>
          <cell r="C2649">
            <v>447013</v>
          </cell>
          <cell r="D2649">
            <v>41426</v>
          </cell>
          <cell r="E2649">
            <v>9431283</v>
          </cell>
          <cell r="F2649">
            <v>4715642</v>
          </cell>
          <cell r="G2649">
            <v>5144406</v>
          </cell>
          <cell r="H2649">
            <v>785941</v>
          </cell>
          <cell r="I2649">
            <v>857401</v>
          </cell>
        </row>
        <row r="2650">
          <cell r="A2650" t="str">
            <v>6410|447023</v>
          </cell>
          <cell r="B2650" t="str">
            <v>6410</v>
          </cell>
          <cell r="C2650">
            <v>447023</v>
          </cell>
          <cell r="D2650">
            <v>41426</v>
          </cell>
          <cell r="E2650">
            <v>332040</v>
          </cell>
          <cell r="F2650">
            <v>166020</v>
          </cell>
          <cell r="G2650">
            <v>500462</v>
          </cell>
          <cell r="H2650">
            <v>27670</v>
          </cell>
          <cell r="I2650">
            <v>64200</v>
          </cell>
        </row>
        <row r="2651">
          <cell r="A2651" t="str">
            <v>6410|448003</v>
          </cell>
          <cell r="B2651" t="str">
            <v>6410</v>
          </cell>
          <cell r="C2651">
            <v>448003</v>
          </cell>
          <cell r="D2651">
            <v>41426</v>
          </cell>
          <cell r="E2651">
            <v>14470431</v>
          </cell>
          <cell r="F2651">
            <v>7235216</v>
          </cell>
          <cell r="G2651">
            <v>5195700</v>
          </cell>
          <cell r="H2651">
            <v>1205870</v>
          </cell>
          <cell r="I2651">
            <v>160000</v>
          </cell>
        </row>
        <row r="2652">
          <cell r="A2652" t="str">
            <v>6410|449023</v>
          </cell>
          <cell r="B2652" t="str">
            <v>6410</v>
          </cell>
          <cell r="C2652">
            <v>449023</v>
          </cell>
          <cell r="D2652">
            <v>41426</v>
          </cell>
          <cell r="E2652">
            <v>29436000</v>
          </cell>
          <cell r="F2652">
            <v>14718000</v>
          </cell>
          <cell r="G2652">
            <v>19200000</v>
          </cell>
          <cell r="H2652">
            <v>2453000</v>
          </cell>
          <cell r="I2652">
            <v>3200000</v>
          </cell>
        </row>
        <row r="2653">
          <cell r="A2653" t="str">
            <v>6410|449032</v>
          </cell>
          <cell r="B2653" t="str">
            <v>6410</v>
          </cell>
          <cell r="C2653">
            <v>449032</v>
          </cell>
          <cell r="D2653">
            <v>41426</v>
          </cell>
          <cell r="E2653">
            <v>122064</v>
          </cell>
          <cell r="F2653">
            <v>61032</v>
          </cell>
          <cell r="G2653">
            <v>3621250</v>
          </cell>
          <cell r="H2653">
            <v>10172</v>
          </cell>
          <cell r="I2653">
            <v>0</v>
          </cell>
        </row>
        <row r="2654">
          <cell r="A2654" t="str">
            <v>6410|449050</v>
          </cell>
          <cell r="B2654" t="str">
            <v>6410</v>
          </cell>
          <cell r="C2654">
            <v>449050</v>
          </cell>
          <cell r="D2654">
            <v>41426</v>
          </cell>
          <cell r="E2654">
            <v>26907540</v>
          </cell>
          <cell r="F2654">
            <v>13453770</v>
          </cell>
          <cell r="G2654">
            <v>14799982</v>
          </cell>
          <cell r="H2654">
            <v>2242295</v>
          </cell>
          <cell r="I2654">
            <v>2466667</v>
          </cell>
        </row>
        <row r="2655">
          <cell r="A2655" t="str">
            <v>6410|449061</v>
          </cell>
          <cell r="B2655" t="str">
            <v>6410</v>
          </cell>
          <cell r="C2655">
            <v>449061</v>
          </cell>
          <cell r="D2655">
            <v>41426</v>
          </cell>
          <cell r="E2655">
            <v>386220</v>
          </cell>
          <cell r="F2655">
            <v>193110</v>
          </cell>
          <cell r="G2655">
            <v>771750</v>
          </cell>
          <cell r="H2655">
            <v>32185</v>
          </cell>
          <cell r="I2655">
            <v>0</v>
          </cell>
        </row>
        <row r="2656">
          <cell r="A2656" t="str">
            <v>6410|451000</v>
          </cell>
          <cell r="B2656" t="str">
            <v>6410</v>
          </cell>
          <cell r="C2656">
            <v>451000</v>
          </cell>
          <cell r="D2656">
            <v>41426</v>
          </cell>
          <cell r="E2656">
            <v>576452</v>
          </cell>
          <cell r="F2656">
            <v>288226</v>
          </cell>
          <cell r="G2656">
            <v>0</v>
          </cell>
          <cell r="H2656">
            <v>48038</v>
          </cell>
          <cell r="I2656">
            <v>0</v>
          </cell>
        </row>
        <row r="2657">
          <cell r="A2657" t="str">
            <v>6410|455000</v>
          </cell>
          <cell r="B2657" t="str">
            <v>6410</v>
          </cell>
          <cell r="C2657">
            <v>455000</v>
          </cell>
          <cell r="D2657">
            <v>41426</v>
          </cell>
          <cell r="E2657">
            <v>40000000</v>
          </cell>
          <cell r="F2657">
            <v>20000000</v>
          </cell>
          <cell r="G2657">
            <v>28736164</v>
          </cell>
          <cell r="H2657">
            <v>3333333</v>
          </cell>
          <cell r="I2657">
            <v>0</v>
          </cell>
        </row>
        <row r="2658">
          <cell r="A2658" t="str">
            <v>6410|470102</v>
          </cell>
          <cell r="B2658" t="str">
            <v>6410</v>
          </cell>
          <cell r="C2658">
            <v>470102</v>
          </cell>
          <cell r="D2658">
            <v>41426</v>
          </cell>
          <cell r="E2658">
            <v>2575605</v>
          </cell>
          <cell r="F2658">
            <v>1287803</v>
          </cell>
          <cell r="G2658">
            <v>298503</v>
          </cell>
          <cell r="H2658">
            <v>214634</v>
          </cell>
          <cell r="I2658">
            <v>40000</v>
          </cell>
        </row>
        <row r="2659">
          <cell r="A2659" t="str">
            <v>6410|471000</v>
          </cell>
          <cell r="B2659" t="str">
            <v>6410</v>
          </cell>
          <cell r="C2659">
            <v>471000</v>
          </cell>
          <cell r="D2659">
            <v>41426</v>
          </cell>
          <cell r="E2659">
            <v>3716115</v>
          </cell>
          <cell r="F2659">
            <v>1858058</v>
          </cell>
          <cell r="G2659">
            <v>1850000</v>
          </cell>
          <cell r="H2659">
            <v>309677</v>
          </cell>
          <cell r="I2659">
            <v>370000</v>
          </cell>
        </row>
        <row r="2660">
          <cell r="A2660" t="str">
            <v>6410|473120</v>
          </cell>
          <cell r="B2660" t="str">
            <v>6410</v>
          </cell>
          <cell r="C2660">
            <v>473120</v>
          </cell>
          <cell r="D2660">
            <v>41426</v>
          </cell>
          <cell r="E2660">
            <v>808299</v>
          </cell>
          <cell r="F2660">
            <v>404150</v>
          </cell>
          <cell r="G2660">
            <v>459535</v>
          </cell>
          <cell r="H2660">
            <v>67359</v>
          </cell>
          <cell r="I2660">
            <v>132497</v>
          </cell>
        </row>
        <row r="2661">
          <cell r="A2661" t="str">
            <v>6410|475006</v>
          </cell>
          <cell r="B2661" t="str">
            <v>6410</v>
          </cell>
          <cell r="C2661">
            <v>475006</v>
          </cell>
          <cell r="D2661">
            <v>41426</v>
          </cell>
          <cell r="E2661">
            <v>2560340</v>
          </cell>
          <cell r="F2661">
            <v>1280170</v>
          </cell>
          <cell r="G2661">
            <v>1249500</v>
          </cell>
          <cell r="H2661">
            <v>213362</v>
          </cell>
          <cell r="I2661">
            <v>212375</v>
          </cell>
        </row>
        <row r="2662">
          <cell r="A2662" t="str">
            <v>6410|476000</v>
          </cell>
          <cell r="B2662" t="str">
            <v>6410</v>
          </cell>
          <cell r="C2662">
            <v>476000</v>
          </cell>
          <cell r="D2662">
            <v>41426</v>
          </cell>
          <cell r="E2662">
            <v>4385755</v>
          </cell>
          <cell r="F2662">
            <v>2192878</v>
          </cell>
          <cell r="G2662">
            <v>2210129</v>
          </cell>
          <cell r="H2662">
            <v>365480</v>
          </cell>
          <cell r="I2662">
            <v>0</v>
          </cell>
        </row>
        <row r="2663">
          <cell r="A2663" t="str">
            <v>6410|477800</v>
          </cell>
          <cell r="B2663" t="str">
            <v>6410</v>
          </cell>
          <cell r="C2663">
            <v>477800</v>
          </cell>
          <cell r="D2663">
            <v>41426</v>
          </cell>
          <cell r="E2663">
            <v>220000000</v>
          </cell>
          <cell r="F2663">
            <v>110000000</v>
          </cell>
          <cell r="G2663">
            <v>24650275</v>
          </cell>
          <cell r="H2663">
            <v>18333333</v>
          </cell>
          <cell r="I2663">
            <v>-24707695</v>
          </cell>
        </row>
        <row r="2664">
          <cell r="A2664" t="str">
            <v>6421|211100</v>
          </cell>
          <cell r="B2664" t="str">
            <v>6421</v>
          </cell>
          <cell r="C2664">
            <v>211100</v>
          </cell>
          <cell r="D2664">
            <v>41426</v>
          </cell>
          <cell r="E2664">
            <v>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</row>
        <row r="2665">
          <cell r="A2665" t="str">
            <v>6421|211104</v>
          </cell>
          <cell r="B2665" t="str">
            <v>6421</v>
          </cell>
          <cell r="C2665">
            <v>211104</v>
          </cell>
          <cell r="D2665">
            <v>41426</v>
          </cell>
          <cell r="E2665">
            <v>1934920954</v>
          </cell>
          <cell r="F2665">
            <v>967460477</v>
          </cell>
          <cell r="G2665">
            <v>1157691538</v>
          </cell>
          <cell r="H2665">
            <v>161243413</v>
          </cell>
          <cell r="I2665">
            <v>196302691</v>
          </cell>
        </row>
        <row r="2666">
          <cell r="A2666" t="str">
            <v>6421|400040</v>
          </cell>
          <cell r="B2666" t="str">
            <v>6421</v>
          </cell>
          <cell r="C2666">
            <v>400040</v>
          </cell>
          <cell r="D2666">
            <v>41426</v>
          </cell>
          <cell r="E2666">
            <v>120000000</v>
          </cell>
          <cell r="F2666">
            <v>60000000</v>
          </cell>
          <cell r="G2666">
            <v>-500671</v>
          </cell>
          <cell r="H2666">
            <v>10000000</v>
          </cell>
          <cell r="I2666">
            <v>-17982843</v>
          </cell>
        </row>
        <row r="2667">
          <cell r="A2667" t="str">
            <v>6421|405251</v>
          </cell>
          <cell r="B2667" t="str">
            <v>6421</v>
          </cell>
          <cell r="C2667">
            <v>405251</v>
          </cell>
          <cell r="D2667">
            <v>41426</v>
          </cell>
          <cell r="E2667">
            <v>15000000</v>
          </cell>
          <cell r="F2667">
            <v>7500000</v>
          </cell>
          <cell r="G2667">
            <v>62630558</v>
          </cell>
          <cell r="H2667">
            <v>1250000</v>
          </cell>
          <cell r="I2667">
            <v>-1758388</v>
          </cell>
        </row>
        <row r="2668">
          <cell r="A2668" t="str">
            <v>6421|420000</v>
          </cell>
          <cell r="B2668" t="str">
            <v>6421</v>
          </cell>
          <cell r="C2668">
            <v>420000</v>
          </cell>
          <cell r="D2668">
            <v>41426</v>
          </cell>
          <cell r="E2668">
            <v>1510385911</v>
          </cell>
          <cell r="F2668">
            <v>755192956</v>
          </cell>
          <cell r="G2668">
            <v>577598404</v>
          </cell>
          <cell r="H2668">
            <v>125865493</v>
          </cell>
          <cell r="I2668">
            <v>90562632</v>
          </cell>
        </row>
        <row r="2669">
          <cell r="A2669" t="str">
            <v>6421|422000</v>
          </cell>
          <cell r="B2669" t="str">
            <v>6421</v>
          </cell>
          <cell r="C2669">
            <v>422000</v>
          </cell>
          <cell r="D2669">
            <v>41426</v>
          </cell>
          <cell r="E2669">
            <v>3930075</v>
          </cell>
          <cell r="F2669">
            <v>1965038</v>
          </cell>
          <cell r="G2669">
            <v>2902900</v>
          </cell>
          <cell r="H2669">
            <v>327507</v>
          </cell>
          <cell r="I2669">
            <v>0</v>
          </cell>
        </row>
        <row r="2670">
          <cell r="A2670" t="str">
            <v>6421|431000</v>
          </cell>
          <cell r="B2670" t="str">
            <v>6421</v>
          </cell>
          <cell r="C2670">
            <v>431000</v>
          </cell>
          <cell r="D2670">
            <v>41426</v>
          </cell>
          <cell r="E2670">
            <v>150000000</v>
          </cell>
          <cell r="F2670">
            <v>75000000</v>
          </cell>
          <cell r="G2670">
            <v>122217780</v>
          </cell>
          <cell r="H2670">
            <v>12500000</v>
          </cell>
          <cell r="I2670">
            <v>4206688</v>
          </cell>
        </row>
        <row r="2671">
          <cell r="A2671" t="str">
            <v>6421|431001</v>
          </cell>
          <cell r="B2671" t="str">
            <v>6421</v>
          </cell>
          <cell r="C2671">
            <v>431001</v>
          </cell>
          <cell r="D2671">
            <v>41426</v>
          </cell>
          <cell r="E2671">
            <v>10000000</v>
          </cell>
          <cell r="F2671">
            <v>5000000</v>
          </cell>
          <cell r="G2671">
            <v>0</v>
          </cell>
          <cell r="H2671">
            <v>833333</v>
          </cell>
          <cell r="I2671">
            <v>0</v>
          </cell>
        </row>
        <row r="2672">
          <cell r="A2672" t="str">
            <v>6421|431002</v>
          </cell>
          <cell r="B2672" t="str">
            <v>6421</v>
          </cell>
          <cell r="C2672">
            <v>431002</v>
          </cell>
          <cell r="D2672">
            <v>41426</v>
          </cell>
          <cell r="E2672">
            <v>0</v>
          </cell>
          <cell r="F2672">
            <v>0</v>
          </cell>
          <cell r="G2672">
            <v>1108638</v>
          </cell>
          <cell r="H2672">
            <v>0</v>
          </cell>
          <cell r="I2672">
            <v>0</v>
          </cell>
        </row>
        <row r="2673">
          <cell r="A2673" t="str">
            <v>6421|434010</v>
          </cell>
          <cell r="B2673" t="str">
            <v>6421</v>
          </cell>
          <cell r="C2673">
            <v>434010</v>
          </cell>
          <cell r="D2673">
            <v>41426</v>
          </cell>
          <cell r="E2673">
            <v>0</v>
          </cell>
          <cell r="F2673">
            <v>0</v>
          </cell>
          <cell r="G2673">
            <v>55320405</v>
          </cell>
          <cell r="H2673">
            <v>0</v>
          </cell>
          <cell r="I2673">
            <v>8886196</v>
          </cell>
        </row>
        <row r="2674">
          <cell r="A2674" t="str">
            <v>6421|435000</v>
          </cell>
          <cell r="B2674" t="str">
            <v>6421</v>
          </cell>
          <cell r="C2674">
            <v>435000</v>
          </cell>
          <cell r="D2674">
            <v>41426</v>
          </cell>
          <cell r="E2674">
            <v>132437616</v>
          </cell>
          <cell r="F2674">
            <v>66218808</v>
          </cell>
          <cell r="G2674">
            <v>115168407</v>
          </cell>
          <cell r="H2674">
            <v>11036468</v>
          </cell>
          <cell r="I2674">
            <v>0</v>
          </cell>
        </row>
        <row r="2675">
          <cell r="A2675" t="str">
            <v>6421|439000</v>
          </cell>
          <cell r="B2675" t="str">
            <v>6421</v>
          </cell>
          <cell r="C2675">
            <v>439000</v>
          </cell>
          <cell r="D2675">
            <v>41426</v>
          </cell>
          <cell r="E2675">
            <v>267627561</v>
          </cell>
          <cell r="F2675">
            <v>133813781</v>
          </cell>
          <cell r="G2675">
            <v>102584955</v>
          </cell>
          <cell r="H2675">
            <v>22302297</v>
          </cell>
          <cell r="I2675">
            <v>16468252</v>
          </cell>
        </row>
        <row r="2676">
          <cell r="A2676" t="str">
            <v>6421|440000</v>
          </cell>
          <cell r="B2676" t="str">
            <v>6421</v>
          </cell>
          <cell r="C2676">
            <v>440000</v>
          </cell>
          <cell r="D2676">
            <v>41426</v>
          </cell>
          <cell r="E2676">
            <v>125865493</v>
          </cell>
          <cell r="F2676">
            <v>62932747</v>
          </cell>
          <cell r="G2676">
            <v>52293610</v>
          </cell>
          <cell r="H2676">
            <v>10488792</v>
          </cell>
          <cell r="I2676">
            <v>6759692</v>
          </cell>
        </row>
        <row r="2677">
          <cell r="A2677" t="str">
            <v>6421|446000</v>
          </cell>
          <cell r="B2677" t="str">
            <v>6421</v>
          </cell>
          <cell r="C2677">
            <v>446000</v>
          </cell>
          <cell r="D2677">
            <v>41426</v>
          </cell>
          <cell r="E2677">
            <v>65963173</v>
          </cell>
          <cell r="F2677">
            <v>32981587</v>
          </cell>
          <cell r="G2677">
            <v>24630000</v>
          </cell>
          <cell r="H2677">
            <v>5496932</v>
          </cell>
          <cell r="I2677">
            <v>4445000</v>
          </cell>
        </row>
        <row r="2678">
          <cell r="A2678" t="str">
            <v>6421|447000</v>
          </cell>
          <cell r="B2678" t="str">
            <v>6421</v>
          </cell>
          <cell r="C2678">
            <v>447000</v>
          </cell>
          <cell r="D2678">
            <v>41426</v>
          </cell>
          <cell r="E2678">
            <v>23713059</v>
          </cell>
          <cell r="F2678">
            <v>11856530</v>
          </cell>
          <cell r="G2678">
            <v>9007776</v>
          </cell>
          <cell r="H2678">
            <v>1976089</v>
          </cell>
          <cell r="I2678">
            <v>1501296</v>
          </cell>
        </row>
        <row r="2679">
          <cell r="A2679" t="str">
            <v>6421|447010</v>
          </cell>
          <cell r="B2679" t="str">
            <v>6421</v>
          </cell>
          <cell r="C2679">
            <v>447010</v>
          </cell>
          <cell r="D2679">
            <v>41426</v>
          </cell>
          <cell r="E2679">
            <v>55884279</v>
          </cell>
          <cell r="F2679">
            <v>27942140</v>
          </cell>
          <cell r="G2679">
            <v>21228546</v>
          </cell>
          <cell r="H2679">
            <v>4657024</v>
          </cell>
          <cell r="I2679">
            <v>3538091</v>
          </cell>
        </row>
        <row r="2680">
          <cell r="A2680" t="str">
            <v>6421|447020</v>
          </cell>
          <cell r="B2680" t="str">
            <v>6421</v>
          </cell>
          <cell r="C2680">
            <v>447020</v>
          </cell>
          <cell r="D2680">
            <v>41426</v>
          </cell>
          <cell r="E2680">
            <v>2371306</v>
          </cell>
          <cell r="F2680">
            <v>1185653</v>
          </cell>
          <cell r="G2680">
            <v>799636</v>
          </cell>
          <cell r="H2680">
            <v>197609</v>
          </cell>
          <cell r="I2680">
            <v>125292</v>
          </cell>
        </row>
        <row r="2681">
          <cell r="A2681" t="str">
            <v>6421|448000</v>
          </cell>
          <cell r="B2681" t="str">
            <v>6421</v>
          </cell>
          <cell r="C2681">
            <v>448000</v>
          </cell>
          <cell r="D2681">
            <v>41426</v>
          </cell>
          <cell r="E2681">
            <v>143603983</v>
          </cell>
          <cell r="F2681">
            <v>71801992</v>
          </cell>
          <cell r="G2681">
            <v>45296007</v>
          </cell>
          <cell r="H2681">
            <v>11966999</v>
          </cell>
          <cell r="I2681">
            <v>1201900</v>
          </cell>
        </row>
        <row r="2682">
          <cell r="A2682" t="str">
            <v>6421|449020</v>
          </cell>
          <cell r="B2682" t="str">
            <v>6421</v>
          </cell>
          <cell r="C2682">
            <v>449020</v>
          </cell>
          <cell r="D2682">
            <v>41426</v>
          </cell>
          <cell r="E2682">
            <v>130680000</v>
          </cell>
          <cell r="F2682">
            <v>65340000</v>
          </cell>
          <cell r="G2682">
            <v>61905500</v>
          </cell>
          <cell r="H2682">
            <v>10890000</v>
          </cell>
          <cell r="I2682">
            <v>9499000</v>
          </cell>
        </row>
        <row r="2683">
          <cell r="A2683" t="str">
            <v>6421|449032</v>
          </cell>
          <cell r="B2683" t="str">
            <v>6421</v>
          </cell>
          <cell r="C2683">
            <v>449032</v>
          </cell>
          <cell r="D2683">
            <v>41426</v>
          </cell>
          <cell r="E2683">
            <v>5999100</v>
          </cell>
          <cell r="F2683">
            <v>2999550</v>
          </cell>
          <cell r="G2683">
            <v>1467750</v>
          </cell>
          <cell r="H2683">
            <v>499925</v>
          </cell>
          <cell r="I2683">
            <v>0</v>
          </cell>
        </row>
        <row r="2684">
          <cell r="A2684" t="str">
            <v>6421|449040</v>
          </cell>
          <cell r="B2684" t="str">
            <v>6421</v>
          </cell>
          <cell r="C2684">
            <v>449040</v>
          </cell>
          <cell r="D2684">
            <v>41426</v>
          </cell>
          <cell r="E2684">
            <v>1720210</v>
          </cell>
          <cell r="F2684">
            <v>860105</v>
          </cell>
          <cell r="G2684">
            <v>0</v>
          </cell>
          <cell r="H2684">
            <v>143351</v>
          </cell>
          <cell r="I2684">
            <v>0</v>
          </cell>
        </row>
        <row r="2685">
          <cell r="A2685" t="str">
            <v>6421|449060</v>
          </cell>
          <cell r="B2685" t="str">
            <v>6421</v>
          </cell>
          <cell r="C2685">
            <v>449060</v>
          </cell>
          <cell r="D2685">
            <v>41426</v>
          </cell>
          <cell r="E2685">
            <v>25000000</v>
          </cell>
          <cell r="F2685">
            <v>12500000</v>
          </cell>
          <cell r="G2685">
            <v>3961153</v>
          </cell>
          <cell r="H2685">
            <v>2083333</v>
          </cell>
          <cell r="I2685">
            <v>0</v>
          </cell>
        </row>
        <row r="2686">
          <cell r="A2686" t="str">
            <v>6421|449061</v>
          </cell>
          <cell r="B2686" t="str">
            <v>6421</v>
          </cell>
          <cell r="C2686">
            <v>449061</v>
          </cell>
          <cell r="D2686">
            <v>41426</v>
          </cell>
          <cell r="E2686">
            <v>2108416</v>
          </cell>
          <cell r="F2686">
            <v>1054208</v>
          </cell>
          <cell r="G2686">
            <v>4803100</v>
          </cell>
          <cell r="H2686">
            <v>175701</v>
          </cell>
          <cell r="I2686">
            <v>479100</v>
          </cell>
        </row>
        <row r="2687">
          <cell r="A2687" t="str">
            <v>6421|452000</v>
          </cell>
          <cell r="B2687" t="str">
            <v>6421</v>
          </cell>
          <cell r="C2687">
            <v>452000</v>
          </cell>
          <cell r="D2687">
            <v>41426</v>
          </cell>
          <cell r="E2687">
            <v>280000001</v>
          </cell>
          <cell r="F2687">
            <v>140000001</v>
          </cell>
          <cell r="G2687">
            <v>178389558</v>
          </cell>
          <cell r="H2687">
            <v>23333334</v>
          </cell>
          <cell r="I2687">
            <v>8050218</v>
          </cell>
        </row>
        <row r="2688">
          <cell r="A2688" t="str">
            <v>6421|452001</v>
          </cell>
          <cell r="B2688" t="str">
            <v>6421</v>
          </cell>
          <cell r="C2688">
            <v>452001</v>
          </cell>
          <cell r="D2688">
            <v>41426</v>
          </cell>
          <cell r="E2688">
            <v>28000000</v>
          </cell>
          <cell r="F2688">
            <v>14000000</v>
          </cell>
          <cell r="G2688">
            <v>16117750</v>
          </cell>
          <cell r="H2688">
            <v>2333333</v>
          </cell>
          <cell r="I2688">
            <v>-6312500</v>
          </cell>
        </row>
        <row r="2689">
          <cell r="A2689" t="str">
            <v>6421|455000</v>
          </cell>
          <cell r="B2689" t="str">
            <v>6421</v>
          </cell>
          <cell r="C2689">
            <v>455000</v>
          </cell>
          <cell r="D2689">
            <v>41426</v>
          </cell>
          <cell r="E2689">
            <v>3400000</v>
          </cell>
          <cell r="F2689">
            <v>1700000</v>
          </cell>
          <cell r="G2689">
            <v>18982791</v>
          </cell>
          <cell r="H2689">
            <v>283333</v>
          </cell>
          <cell r="I2689">
            <v>-282250</v>
          </cell>
        </row>
        <row r="2690">
          <cell r="A2690" t="str">
            <v>6421|455001</v>
          </cell>
          <cell r="B2690" t="str">
            <v>6421</v>
          </cell>
          <cell r="C2690">
            <v>455001</v>
          </cell>
          <cell r="D2690">
            <v>41426</v>
          </cell>
          <cell r="E2690">
            <v>0</v>
          </cell>
          <cell r="F2690">
            <v>0</v>
          </cell>
          <cell r="G2690">
            <v>2800000</v>
          </cell>
          <cell r="H2690">
            <v>0</v>
          </cell>
          <cell r="I2690">
            <v>2800000</v>
          </cell>
        </row>
        <row r="2691">
          <cell r="A2691" t="str">
            <v>6421|455002</v>
          </cell>
          <cell r="B2691" t="str">
            <v>6421</v>
          </cell>
          <cell r="C2691">
            <v>455002</v>
          </cell>
          <cell r="D2691">
            <v>41426</v>
          </cell>
          <cell r="E2691">
            <v>7000000</v>
          </cell>
          <cell r="F2691">
            <v>3500000</v>
          </cell>
          <cell r="G2691">
            <v>3218879</v>
          </cell>
          <cell r="H2691">
            <v>583333</v>
          </cell>
          <cell r="I2691">
            <v>870835</v>
          </cell>
        </row>
        <row r="2692">
          <cell r="A2692" t="str">
            <v>6421|459005</v>
          </cell>
          <cell r="B2692" t="str">
            <v>6421</v>
          </cell>
          <cell r="C2692">
            <v>459005</v>
          </cell>
          <cell r="D2692">
            <v>41426</v>
          </cell>
          <cell r="E2692">
            <v>2844200</v>
          </cell>
          <cell r="F2692">
            <v>1422100</v>
          </cell>
          <cell r="G2692">
            <v>1500000</v>
          </cell>
          <cell r="H2692">
            <v>237016</v>
          </cell>
          <cell r="I2692">
            <v>0</v>
          </cell>
        </row>
        <row r="2693">
          <cell r="A2693" t="str">
            <v>6421|470101</v>
          </cell>
          <cell r="B2693" t="str">
            <v>6421</v>
          </cell>
          <cell r="C2693">
            <v>470101</v>
          </cell>
          <cell r="D2693">
            <v>41426</v>
          </cell>
          <cell r="E2693">
            <v>111190971</v>
          </cell>
          <cell r="F2693">
            <v>55595486</v>
          </cell>
          <cell r="G2693">
            <v>15526000</v>
          </cell>
          <cell r="H2693">
            <v>9265915</v>
          </cell>
          <cell r="I2693">
            <v>0</v>
          </cell>
        </row>
        <row r="2694">
          <cell r="A2694" t="str">
            <v>6421|476220</v>
          </cell>
          <cell r="B2694" t="str">
            <v>6421</v>
          </cell>
          <cell r="C2694">
            <v>476220</v>
          </cell>
          <cell r="D2694">
            <v>41426</v>
          </cell>
          <cell r="E2694">
            <v>3546400</v>
          </cell>
          <cell r="F2694">
            <v>1773200</v>
          </cell>
          <cell r="G2694">
            <v>1668358</v>
          </cell>
          <cell r="H2694">
            <v>295533</v>
          </cell>
          <cell r="I2694">
            <v>0</v>
          </cell>
        </row>
        <row r="2695">
          <cell r="A2695" t="str">
            <v>6710|211104</v>
          </cell>
          <cell r="B2695" t="str">
            <v>6710</v>
          </cell>
          <cell r="C2695">
            <v>211104</v>
          </cell>
          <cell r="D2695">
            <v>41426</v>
          </cell>
          <cell r="E2695">
            <v>42806694</v>
          </cell>
          <cell r="F2695">
            <v>21403348</v>
          </cell>
          <cell r="G2695">
            <v>21403352</v>
          </cell>
          <cell r="H2695">
            <v>3567226</v>
          </cell>
          <cell r="I2695">
            <v>3567228</v>
          </cell>
        </row>
        <row r="2696">
          <cell r="A2696" t="str">
            <v>6721|211104</v>
          </cell>
          <cell r="B2696" t="str">
            <v>6721</v>
          </cell>
          <cell r="C2696">
            <v>211104</v>
          </cell>
          <cell r="D2696">
            <v>41426</v>
          </cell>
          <cell r="E2696">
            <v>1943756328</v>
          </cell>
          <cell r="F2696">
            <v>971878164</v>
          </cell>
          <cell r="G2696">
            <v>233342</v>
          </cell>
          <cell r="H2696">
            <v>161979694</v>
          </cell>
          <cell r="I2696">
            <v>38891</v>
          </cell>
        </row>
        <row r="2697">
          <cell r="A2697" t="str">
            <v>H140|211100</v>
          </cell>
          <cell r="B2697" t="str">
            <v>H140</v>
          </cell>
          <cell r="C2697">
            <v>211100</v>
          </cell>
          <cell r="D2697">
            <v>41426</v>
          </cell>
          <cell r="E2697">
            <v>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</row>
        <row r="2698">
          <cell r="A2698" t="str">
            <v>H140|211104</v>
          </cell>
          <cell r="B2698" t="str">
            <v>H140</v>
          </cell>
          <cell r="C2698">
            <v>211104</v>
          </cell>
          <cell r="D2698">
            <v>41426</v>
          </cell>
          <cell r="E2698">
            <v>1892385</v>
          </cell>
          <cell r="F2698">
            <v>946193</v>
          </cell>
          <cell r="G2698">
            <v>946232</v>
          </cell>
          <cell r="H2698">
            <v>157699</v>
          </cell>
          <cell r="I2698">
            <v>157735</v>
          </cell>
        </row>
        <row r="2699">
          <cell r="A2699" t="str">
            <v>H140|400040</v>
          </cell>
          <cell r="B2699" t="str">
            <v>H140</v>
          </cell>
          <cell r="C2699">
            <v>400040</v>
          </cell>
          <cell r="D2699">
            <v>41426</v>
          </cell>
          <cell r="E2699">
            <v>500000000</v>
          </cell>
          <cell r="F2699">
            <v>250000000</v>
          </cell>
          <cell r="G2699">
            <v>107588618</v>
          </cell>
          <cell r="H2699">
            <v>41666667</v>
          </cell>
          <cell r="I2699">
            <v>0</v>
          </cell>
        </row>
        <row r="2700">
          <cell r="A2700" t="str">
            <v>H140|431000</v>
          </cell>
          <cell r="B2700" t="str">
            <v>H140</v>
          </cell>
          <cell r="C2700">
            <v>431000</v>
          </cell>
          <cell r="D2700">
            <v>41426</v>
          </cell>
          <cell r="E2700">
            <v>7800000</v>
          </cell>
          <cell r="F2700">
            <v>3900000</v>
          </cell>
          <cell r="G2700">
            <v>0</v>
          </cell>
          <cell r="H2700">
            <v>650000</v>
          </cell>
          <cell r="I2700">
            <v>0</v>
          </cell>
        </row>
        <row r="2701">
          <cell r="A2701" t="str">
            <v>H140|449061</v>
          </cell>
          <cell r="B2701" t="str">
            <v>H140</v>
          </cell>
          <cell r="C2701">
            <v>449061</v>
          </cell>
          <cell r="D2701">
            <v>41426</v>
          </cell>
          <cell r="E2701">
            <v>497247</v>
          </cell>
          <cell r="F2701">
            <v>248624</v>
          </cell>
          <cell r="G2701">
            <v>64000</v>
          </cell>
          <cell r="H2701">
            <v>41438</v>
          </cell>
          <cell r="I2701">
            <v>0</v>
          </cell>
        </row>
        <row r="2702">
          <cell r="A2702" t="str">
            <v>H140|470102</v>
          </cell>
          <cell r="B2702" t="str">
            <v>H140</v>
          </cell>
          <cell r="C2702">
            <v>470102</v>
          </cell>
          <cell r="D2702">
            <v>41426</v>
          </cell>
          <cell r="E2702">
            <v>0</v>
          </cell>
          <cell r="F2702">
            <v>0</v>
          </cell>
          <cell r="G2702">
            <v>240000</v>
          </cell>
          <cell r="H2702">
            <v>0</v>
          </cell>
          <cell r="I2702">
            <v>40000</v>
          </cell>
        </row>
        <row r="2703">
          <cell r="A2703" t="str">
            <v>H140|472000</v>
          </cell>
          <cell r="B2703" t="str">
            <v>H140</v>
          </cell>
          <cell r="C2703">
            <v>472000</v>
          </cell>
          <cell r="D2703">
            <v>41426</v>
          </cell>
          <cell r="E2703">
            <v>100000000</v>
          </cell>
          <cell r="F2703">
            <v>50000000</v>
          </cell>
          <cell r="G2703">
            <v>56968022</v>
          </cell>
          <cell r="H2703">
            <v>8333333</v>
          </cell>
          <cell r="I2703">
            <v>0</v>
          </cell>
        </row>
        <row r="2704">
          <cell r="A2704" t="str">
            <v>H140|473120</v>
          </cell>
          <cell r="B2704" t="str">
            <v>H140</v>
          </cell>
          <cell r="C2704">
            <v>473120</v>
          </cell>
          <cell r="D2704">
            <v>41426</v>
          </cell>
          <cell r="E2704">
            <v>1443078</v>
          </cell>
          <cell r="F2704">
            <v>721539</v>
          </cell>
          <cell r="G2704">
            <v>55229</v>
          </cell>
          <cell r="H2704">
            <v>120256</v>
          </cell>
          <cell r="I2704">
            <v>0</v>
          </cell>
        </row>
        <row r="2705">
          <cell r="A2705" t="str">
            <v>H140|476000</v>
          </cell>
          <cell r="B2705" t="str">
            <v>H140</v>
          </cell>
          <cell r="C2705">
            <v>476000</v>
          </cell>
          <cell r="D2705">
            <v>41426</v>
          </cell>
          <cell r="E2705">
            <v>355876</v>
          </cell>
          <cell r="F2705">
            <v>177938</v>
          </cell>
          <cell r="G2705">
            <v>0</v>
          </cell>
          <cell r="H2705">
            <v>29656</v>
          </cell>
          <cell r="I2705">
            <v>0</v>
          </cell>
        </row>
        <row r="2706">
          <cell r="A2706" t="str">
            <v>H140|476900</v>
          </cell>
          <cell r="B2706" t="str">
            <v>H140</v>
          </cell>
          <cell r="C2706">
            <v>476900</v>
          </cell>
          <cell r="D2706">
            <v>41426</v>
          </cell>
          <cell r="E2706">
            <v>1230408</v>
          </cell>
          <cell r="F2706">
            <v>615204</v>
          </cell>
          <cell r="G2706">
            <v>0</v>
          </cell>
          <cell r="H2706">
            <v>102534</v>
          </cell>
          <cell r="I2706">
            <v>0</v>
          </cell>
        </row>
        <row r="2707">
          <cell r="A2707" t="str">
            <v>H150|211104</v>
          </cell>
          <cell r="B2707" t="str">
            <v>H150</v>
          </cell>
          <cell r="C2707">
            <v>211104</v>
          </cell>
          <cell r="D2707">
            <v>41426</v>
          </cell>
          <cell r="E2707">
            <v>2089931</v>
          </cell>
          <cell r="F2707">
            <v>1044966</v>
          </cell>
          <cell r="G2707">
            <v>1044991</v>
          </cell>
          <cell r="H2707">
            <v>174161</v>
          </cell>
          <cell r="I2707">
            <v>174177</v>
          </cell>
        </row>
        <row r="2708">
          <cell r="A2708" t="str">
            <v>H150|449061</v>
          </cell>
          <cell r="B2708" t="str">
            <v>H150</v>
          </cell>
          <cell r="C2708">
            <v>449061</v>
          </cell>
          <cell r="D2708">
            <v>41426</v>
          </cell>
          <cell r="E2708">
            <v>525917</v>
          </cell>
          <cell r="F2708">
            <v>262959</v>
          </cell>
          <cell r="G2708">
            <v>661700</v>
          </cell>
          <cell r="H2708">
            <v>43827</v>
          </cell>
          <cell r="I2708">
            <v>0</v>
          </cell>
        </row>
        <row r="2709">
          <cell r="A2709" t="str">
            <v>H150|470102</v>
          </cell>
          <cell r="B2709" t="str">
            <v>H150</v>
          </cell>
          <cell r="C2709">
            <v>470102</v>
          </cell>
          <cell r="D2709">
            <v>41426</v>
          </cell>
          <cell r="E2709">
            <v>0</v>
          </cell>
          <cell r="F2709">
            <v>0</v>
          </cell>
          <cell r="G2709">
            <v>240000</v>
          </cell>
          <cell r="H2709">
            <v>0</v>
          </cell>
          <cell r="I2709">
            <v>40000</v>
          </cell>
        </row>
        <row r="2710">
          <cell r="A2710" t="str">
            <v>H160|431002</v>
          </cell>
          <cell r="B2710" t="str">
            <v>H160</v>
          </cell>
          <cell r="C2710">
            <v>431002</v>
          </cell>
          <cell r="D2710">
            <v>41426</v>
          </cell>
          <cell r="E2710">
            <v>32486511</v>
          </cell>
          <cell r="F2710">
            <v>16243256</v>
          </cell>
          <cell r="G2710">
            <v>25093704</v>
          </cell>
          <cell r="H2710">
            <v>2707210</v>
          </cell>
          <cell r="I2710">
            <v>1870878</v>
          </cell>
        </row>
        <row r="2711">
          <cell r="A2711" t="str">
            <v>H160|449061</v>
          </cell>
          <cell r="B2711" t="str">
            <v>H160</v>
          </cell>
          <cell r="C2711">
            <v>449061</v>
          </cell>
          <cell r="D2711">
            <v>41426</v>
          </cell>
          <cell r="E2711">
            <v>24630631</v>
          </cell>
          <cell r="F2711">
            <v>12315316</v>
          </cell>
          <cell r="G2711">
            <v>6758000</v>
          </cell>
          <cell r="H2711">
            <v>2052553</v>
          </cell>
          <cell r="I2711">
            <v>75000</v>
          </cell>
        </row>
        <row r="2712">
          <cell r="A2712" t="str">
            <v>H160|474101</v>
          </cell>
          <cell r="B2712" t="str">
            <v>H160</v>
          </cell>
          <cell r="C2712">
            <v>474101</v>
          </cell>
          <cell r="D2712">
            <v>41426</v>
          </cell>
          <cell r="E2712">
            <v>14675284</v>
          </cell>
          <cell r="F2712">
            <v>7337642</v>
          </cell>
          <cell r="G2712">
            <v>95260554</v>
          </cell>
          <cell r="H2712">
            <v>1222940</v>
          </cell>
          <cell r="I2712">
            <v>0</v>
          </cell>
        </row>
        <row r="2713">
          <cell r="A2713" t="str">
            <v>H210|211100</v>
          </cell>
          <cell r="B2713" t="str">
            <v>H210</v>
          </cell>
          <cell r="C2713">
            <v>211100</v>
          </cell>
          <cell r="D2713">
            <v>41426</v>
          </cell>
          <cell r="E2713">
            <v>0</v>
          </cell>
          <cell r="F2713">
            <v>0</v>
          </cell>
          <cell r="G2713">
            <v>342880</v>
          </cell>
          <cell r="H2713">
            <v>0</v>
          </cell>
          <cell r="I2713">
            <v>57148</v>
          </cell>
        </row>
        <row r="2714">
          <cell r="A2714" t="str">
            <v>0200|446003</v>
          </cell>
          <cell r="B2714" t="str">
            <v>0200</v>
          </cell>
          <cell r="C2714">
            <v>446003</v>
          </cell>
          <cell r="D2714">
            <v>41426</v>
          </cell>
          <cell r="E2714">
            <v>8430000</v>
          </cell>
          <cell r="F2714">
            <v>4215000</v>
          </cell>
          <cell r="G2714">
            <v>1350000</v>
          </cell>
          <cell r="H2714">
            <v>702500</v>
          </cell>
          <cell r="I2714">
            <v>250000</v>
          </cell>
        </row>
        <row r="2715">
          <cell r="A2715" t="str">
            <v>0230|446003</v>
          </cell>
          <cell r="B2715" t="str">
            <v>0230</v>
          </cell>
          <cell r="C2715">
            <v>446003</v>
          </cell>
          <cell r="D2715">
            <v>41426</v>
          </cell>
          <cell r="E2715">
            <v>0</v>
          </cell>
          <cell r="F2715">
            <v>0</v>
          </cell>
          <cell r="G2715">
            <v>1800000</v>
          </cell>
          <cell r="H2715">
            <v>0</v>
          </cell>
          <cell r="I2715">
            <v>300000</v>
          </cell>
        </row>
        <row r="2716">
          <cell r="A2716" t="str">
            <v>0260|446003</v>
          </cell>
          <cell r="B2716" t="str">
            <v>0260</v>
          </cell>
          <cell r="C2716">
            <v>446003</v>
          </cell>
          <cell r="D2716">
            <v>41426</v>
          </cell>
          <cell r="E2716">
            <v>8430000</v>
          </cell>
          <cell r="F2716">
            <v>4215000</v>
          </cell>
          <cell r="G2716">
            <v>900000</v>
          </cell>
          <cell r="H2716">
            <v>702500</v>
          </cell>
          <cell r="I2716">
            <v>150000</v>
          </cell>
        </row>
        <row r="2717">
          <cell r="A2717" t="str">
            <v>0310|446003</v>
          </cell>
          <cell r="B2717" t="str">
            <v>0310</v>
          </cell>
          <cell r="C2717">
            <v>446003</v>
          </cell>
          <cell r="D2717">
            <v>41426</v>
          </cell>
          <cell r="E2717">
            <v>0</v>
          </cell>
          <cell r="F2717">
            <v>0</v>
          </cell>
          <cell r="G2717">
            <v>600000</v>
          </cell>
          <cell r="H2717">
            <v>0</v>
          </cell>
          <cell r="I2717">
            <v>100000</v>
          </cell>
        </row>
        <row r="2718">
          <cell r="A2718" t="str">
            <v>0340|446003</v>
          </cell>
          <cell r="B2718" t="str">
            <v>0340</v>
          </cell>
          <cell r="C2718">
            <v>446003</v>
          </cell>
          <cell r="D2718">
            <v>41426</v>
          </cell>
          <cell r="E2718">
            <v>8530000</v>
          </cell>
          <cell r="F2718">
            <v>4265000</v>
          </cell>
          <cell r="G2718">
            <v>4850000</v>
          </cell>
          <cell r="H2718">
            <v>710833</v>
          </cell>
          <cell r="I2718">
            <v>600000</v>
          </cell>
        </row>
        <row r="2719">
          <cell r="A2719" t="str">
            <v>0510|475004</v>
          </cell>
          <cell r="B2719" t="str">
            <v>0510</v>
          </cell>
          <cell r="C2719">
            <v>475004</v>
          </cell>
          <cell r="D2719">
            <v>41426</v>
          </cell>
          <cell r="E2719">
            <v>8664243</v>
          </cell>
          <cell r="F2719">
            <v>4332122</v>
          </cell>
          <cell r="G2719">
            <v>14933108</v>
          </cell>
          <cell r="H2719">
            <v>722021</v>
          </cell>
          <cell r="I2719">
            <v>2700000</v>
          </cell>
        </row>
        <row r="2720">
          <cell r="A2720" t="str">
            <v>0510|446003</v>
          </cell>
          <cell r="B2720" t="str">
            <v>0510</v>
          </cell>
          <cell r="C2720">
            <v>446003</v>
          </cell>
          <cell r="D2720">
            <v>41426</v>
          </cell>
          <cell r="E2720">
            <v>0</v>
          </cell>
          <cell r="F2720">
            <v>0</v>
          </cell>
          <cell r="G2720">
            <v>900000</v>
          </cell>
          <cell r="H2720">
            <v>0</v>
          </cell>
          <cell r="I2720">
            <v>150000</v>
          </cell>
        </row>
        <row r="2721">
          <cell r="A2721" t="str">
            <v>0530|476900</v>
          </cell>
          <cell r="B2721" t="str">
            <v>0530</v>
          </cell>
          <cell r="C2721">
            <v>476900</v>
          </cell>
          <cell r="D2721">
            <v>41426</v>
          </cell>
          <cell r="E2721">
            <v>9313441</v>
          </cell>
          <cell r="F2721">
            <v>4656721</v>
          </cell>
          <cell r="G2721">
            <v>8666254</v>
          </cell>
          <cell r="H2721">
            <v>776121</v>
          </cell>
          <cell r="I2721">
            <v>0</v>
          </cell>
        </row>
        <row r="2722">
          <cell r="A2722" t="str">
            <v>1200|446003</v>
          </cell>
          <cell r="B2722" t="str">
            <v>1200</v>
          </cell>
          <cell r="C2722">
            <v>446003</v>
          </cell>
          <cell r="D2722">
            <v>41426</v>
          </cell>
          <cell r="E2722">
            <v>29590000</v>
          </cell>
          <cell r="F2722">
            <v>14795000</v>
          </cell>
          <cell r="G2722">
            <v>7450000</v>
          </cell>
          <cell r="H2722">
            <v>2465833</v>
          </cell>
          <cell r="I2722">
            <v>1300000</v>
          </cell>
        </row>
        <row r="2723">
          <cell r="A2723" t="str">
            <v>1400|446003</v>
          </cell>
          <cell r="B2723" t="str">
            <v>1400</v>
          </cell>
          <cell r="C2723">
            <v>446003</v>
          </cell>
          <cell r="D2723">
            <v>41426</v>
          </cell>
          <cell r="E2723">
            <v>10005000</v>
          </cell>
          <cell r="F2723">
            <v>5002500</v>
          </cell>
          <cell r="G2723">
            <v>3000000</v>
          </cell>
          <cell r="H2723">
            <v>833750</v>
          </cell>
          <cell r="I2723">
            <v>500000</v>
          </cell>
        </row>
        <row r="2724">
          <cell r="A2724" t="str">
            <v>1500|446003</v>
          </cell>
          <cell r="B2724" t="str">
            <v>1500</v>
          </cell>
          <cell r="C2724">
            <v>446003</v>
          </cell>
          <cell r="D2724">
            <v>41426</v>
          </cell>
          <cell r="E2724">
            <v>0</v>
          </cell>
          <cell r="F2724">
            <v>0</v>
          </cell>
          <cell r="G2724">
            <v>600000</v>
          </cell>
          <cell r="H2724">
            <v>0</v>
          </cell>
          <cell r="I2724">
            <v>100000</v>
          </cell>
        </row>
        <row r="2725">
          <cell r="A2725" t="str">
            <v>1510|446003</v>
          </cell>
          <cell r="B2725" t="str">
            <v>1510</v>
          </cell>
          <cell r="C2725">
            <v>446003</v>
          </cell>
          <cell r="D2725">
            <v>41426</v>
          </cell>
          <cell r="E2725">
            <v>0</v>
          </cell>
          <cell r="F2725">
            <v>0</v>
          </cell>
          <cell r="G2725">
            <v>2700000</v>
          </cell>
          <cell r="H2725">
            <v>0</v>
          </cell>
          <cell r="I2725">
            <v>450000</v>
          </cell>
        </row>
        <row r="2726">
          <cell r="A2726" t="str">
            <v>1550|446003</v>
          </cell>
          <cell r="B2726" t="str">
            <v>1550</v>
          </cell>
          <cell r="C2726">
            <v>446003</v>
          </cell>
          <cell r="D2726">
            <v>41426</v>
          </cell>
          <cell r="E2726">
            <v>0</v>
          </cell>
          <cell r="F2726">
            <v>0</v>
          </cell>
          <cell r="G2726">
            <v>1800000</v>
          </cell>
          <cell r="H2726">
            <v>0</v>
          </cell>
          <cell r="I2726">
            <v>300000</v>
          </cell>
        </row>
        <row r="2727">
          <cell r="A2727" t="str">
            <v>1600|446003</v>
          </cell>
          <cell r="B2727" t="str">
            <v>1600</v>
          </cell>
          <cell r="C2727">
            <v>446003</v>
          </cell>
          <cell r="D2727">
            <v>41426</v>
          </cell>
          <cell r="E2727">
            <v>14760000</v>
          </cell>
          <cell r="F2727">
            <v>7380000</v>
          </cell>
          <cell r="G2727">
            <v>1500000</v>
          </cell>
          <cell r="H2727">
            <v>1230000</v>
          </cell>
          <cell r="I2727">
            <v>250000</v>
          </cell>
        </row>
        <row r="2728">
          <cell r="A2728" t="str">
            <v>1610|446003</v>
          </cell>
          <cell r="B2728" t="str">
            <v>1610</v>
          </cell>
          <cell r="C2728">
            <v>446003</v>
          </cell>
          <cell r="D2728">
            <v>41426</v>
          </cell>
          <cell r="E2728">
            <v>8430000</v>
          </cell>
          <cell r="F2728">
            <v>4215000</v>
          </cell>
          <cell r="G2728">
            <v>2700000</v>
          </cell>
          <cell r="H2728">
            <v>702500</v>
          </cell>
          <cell r="I2728">
            <v>450000</v>
          </cell>
        </row>
        <row r="2729">
          <cell r="A2729" t="str">
            <v>1700|434012</v>
          </cell>
          <cell r="B2729" t="str">
            <v>1700</v>
          </cell>
          <cell r="C2729">
            <v>434012</v>
          </cell>
          <cell r="D2729">
            <v>41426</v>
          </cell>
          <cell r="E2729">
            <v>0</v>
          </cell>
          <cell r="F2729">
            <v>0</v>
          </cell>
          <cell r="G2729">
            <v>987200</v>
          </cell>
          <cell r="H2729">
            <v>0</v>
          </cell>
          <cell r="I2729">
            <v>166248</v>
          </cell>
        </row>
        <row r="2730">
          <cell r="A2730" t="str">
            <v>1700|446003</v>
          </cell>
          <cell r="B2730" t="str">
            <v>1700</v>
          </cell>
          <cell r="C2730">
            <v>446003</v>
          </cell>
          <cell r="D2730">
            <v>41426</v>
          </cell>
          <cell r="E2730">
            <v>0</v>
          </cell>
          <cell r="F2730">
            <v>0</v>
          </cell>
          <cell r="G2730">
            <v>900000</v>
          </cell>
          <cell r="H2730">
            <v>0</v>
          </cell>
          <cell r="I2730">
            <v>150000</v>
          </cell>
        </row>
        <row r="2731">
          <cell r="A2731" t="str">
            <v>2100|446003</v>
          </cell>
          <cell r="B2731" t="str">
            <v>2100</v>
          </cell>
          <cell r="C2731">
            <v>446003</v>
          </cell>
          <cell r="D2731">
            <v>41426</v>
          </cell>
          <cell r="E2731">
            <v>0</v>
          </cell>
          <cell r="F2731">
            <v>0</v>
          </cell>
          <cell r="G2731">
            <v>900000</v>
          </cell>
          <cell r="H2731">
            <v>0</v>
          </cell>
          <cell r="I2731">
            <v>150000</v>
          </cell>
        </row>
        <row r="2732">
          <cell r="A2732" t="str">
            <v>2270|446003</v>
          </cell>
          <cell r="B2732" t="str">
            <v>2270</v>
          </cell>
          <cell r="C2732">
            <v>446003</v>
          </cell>
          <cell r="D2732">
            <v>41426</v>
          </cell>
          <cell r="E2732">
            <v>0</v>
          </cell>
          <cell r="F2732">
            <v>0</v>
          </cell>
          <cell r="G2732">
            <v>1800000</v>
          </cell>
          <cell r="H2732">
            <v>0</v>
          </cell>
          <cell r="I2732">
            <v>300000</v>
          </cell>
        </row>
        <row r="2733">
          <cell r="A2733" t="str">
            <v>2300|446003</v>
          </cell>
          <cell r="B2733" t="str">
            <v>2300</v>
          </cell>
          <cell r="C2733">
            <v>446003</v>
          </cell>
          <cell r="D2733">
            <v>41426</v>
          </cell>
          <cell r="E2733">
            <v>0</v>
          </cell>
          <cell r="F2733">
            <v>0</v>
          </cell>
          <cell r="G2733">
            <v>900000</v>
          </cell>
          <cell r="H2733">
            <v>0</v>
          </cell>
          <cell r="I2733">
            <v>150000</v>
          </cell>
        </row>
        <row r="2734">
          <cell r="A2734" t="str">
            <v>3100|446003</v>
          </cell>
          <cell r="B2734" t="str">
            <v>3100</v>
          </cell>
          <cell r="C2734">
            <v>446003</v>
          </cell>
          <cell r="D2734">
            <v>41426</v>
          </cell>
          <cell r="E2734">
            <v>0</v>
          </cell>
          <cell r="F2734">
            <v>0</v>
          </cell>
          <cell r="G2734">
            <v>750000</v>
          </cell>
          <cell r="H2734">
            <v>0</v>
          </cell>
          <cell r="I2734">
            <v>0</v>
          </cell>
        </row>
        <row r="2735">
          <cell r="A2735" t="str">
            <v>3130|446003</v>
          </cell>
          <cell r="B2735" t="str">
            <v>3130</v>
          </cell>
          <cell r="C2735">
            <v>446003</v>
          </cell>
          <cell r="D2735">
            <v>41426</v>
          </cell>
          <cell r="E2735">
            <v>0</v>
          </cell>
          <cell r="F2735">
            <v>0</v>
          </cell>
          <cell r="G2735">
            <v>900000</v>
          </cell>
          <cell r="H2735">
            <v>0</v>
          </cell>
          <cell r="I2735">
            <v>150000</v>
          </cell>
        </row>
        <row r="2736">
          <cell r="A2736" t="str">
            <v>3200|446003</v>
          </cell>
          <cell r="B2736" t="str">
            <v>3200</v>
          </cell>
          <cell r="C2736">
            <v>446003</v>
          </cell>
          <cell r="D2736">
            <v>41426</v>
          </cell>
          <cell r="E2736">
            <v>8430000</v>
          </cell>
          <cell r="F2736">
            <v>4215000</v>
          </cell>
          <cell r="G2736">
            <v>1500000</v>
          </cell>
          <cell r="H2736">
            <v>702500</v>
          </cell>
          <cell r="I2736">
            <v>450000</v>
          </cell>
        </row>
        <row r="2737">
          <cell r="A2737" t="str">
            <v>3200|470001</v>
          </cell>
          <cell r="B2737" t="str">
            <v>3200</v>
          </cell>
          <cell r="C2737">
            <v>470001</v>
          </cell>
          <cell r="D2737">
            <v>41426</v>
          </cell>
          <cell r="E2737">
            <v>0</v>
          </cell>
          <cell r="F2737">
            <v>0</v>
          </cell>
          <cell r="G2737">
            <v>162028857</v>
          </cell>
          <cell r="H2737">
            <v>0</v>
          </cell>
          <cell r="I2737">
            <v>27004793</v>
          </cell>
        </row>
        <row r="2738">
          <cell r="A2738" t="str">
            <v>3210|416103</v>
          </cell>
          <cell r="B2738" t="str">
            <v>3210</v>
          </cell>
          <cell r="C2738">
            <v>416103</v>
          </cell>
          <cell r="D2738">
            <v>41426</v>
          </cell>
          <cell r="E2738">
            <v>38047489</v>
          </cell>
          <cell r="F2738">
            <v>19023745</v>
          </cell>
          <cell r="G2738">
            <v>18165000</v>
          </cell>
          <cell r="H2738">
            <v>3170625</v>
          </cell>
          <cell r="I2738">
            <v>0</v>
          </cell>
        </row>
        <row r="2739">
          <cell r="A2739" t="str">
            <v>3210|416303</v>
          </cell>
          <cell r="B2739" t="str">
            <v>3210</v>
          </cell>
          <cell r="C2739">
            <v>416303</v>
          </cell>
          <cell r="D2739">
            <v>41426</v>
          </cell>
          <cell r="E2739">
            <v>31761305</v>
          </cell>
          <cell r="F2739">
            <v>15880653</v>
          </cell>
          <cell r="G2739">
            <v>6290000</v>
          </cell>
          <cell r="H2739">
            <v>2646776</v>
          </cell>
          <cell r="I2739">
            <v>0</v>
          </cell>
        </row>
        <row r="2740">
          <cell r="A2740" t="str">
            <v>3210|446003</v>
          </cell>
          <cell r="B2740" t="str">
            <v>3210</v>
          </cell>
          <cell r="C2740">
            <v>446003</v>
          </cell>
          <cell r="D2740">
            <v>41426</v>
          </cell>
          <cell r="E2740">
            <v>0</v>
          </cell>
          <cell r="F2740">
            <v>0</v>
          </cell>
          <cell r="G2740">
            <v>1350000</v>
          </cell>
          <cell r="H2740">
            <v>0</v>
          </cell>
          <cell r="I2740">
            <v>300000</v>
          </cell>
        </row>
        <row r="2741">
          <cell r="A2741" t="str">
            <v>3220|446003</v>
          </cell>
          <cell r="B2741" t="str">
            <v>3220</v>
          </cell>
          <cell r="C2741">
            <v>446003</v>
          </cell>
          <cell r="D2741">
            <v>41426</v>
          </cell>
          <cell r="E2741">
            <v>0</v>
          </cell>
          <cell r="F2741">
            <v>0</v>
          </cell>
          <cell r="G2741">
            <v>900000</v>
          </cell>
          <cell r="H2741">
            <v>0</v>
          </cell>
          <cell r="I2741">
            <v>150000</v>
          </cell>
        </row>
        <row r="2742">
          <cell r="A2742" t="str">
            <v>3300|446003</v>
          </cell>
          <cell r="B2742" t="str">
            <v>3300</v>
          </cell>
          <cell r="C2742">
            <v>446003</v>
          </cell>
          <cell r="D2742">
            <v>41426</v>
          </cell>
          <cell r="E2742">
            <v>0</v>
          </cell>
          <cell r="F2742">
            <v>0</v>
          </cell>
          <cell r="G2742">
            <v>2800000</v>
          </cell>
          <cell r="H2742">
            <v>0</v>
          </cell>
          <cell r="I2742">
            <v>550000</v>
          </cell>
        </row>
        <row r="2743">
          <cell r="A2743" t="str">
            <v>3310|446003</v>
          </cell>
          <cell r="B2743" t="str">
            <v>3310</v>
          </cell>
          <cell r="C2743">
            <v>446003</v>
          </cell>
          <cell r="D2743">
            <v>41426</v>
          </cell>
          <cell r="E2743">
            <v>0</v>
          </cell>
          <cell r="F2743">
            <v>0</v>
          </cell>
          <cell r="G2743">
            <v>1400000</v>
          </cell>
          <cell r="H2743">
            <v>0</v>
          </cell>
          <cell r="I2743">
            <v>150000</v>
          </cell>
        </row>
        <row r="2744">
          <cell r="A2744" t="str">
            <v>3400|446003</v>
          </cell>
          <cell r="B2744" t="str">
            <v>3400</v>
          </cell>
          <cell r="C2744">
            <v>446003</v>
          </cell>
          <cell r="D2744">
            <v>41426</v>
          </cell>
          <cell r="E2744">
            <v>0</v>
          </cell>
          <cell r="F2744">
            <v>0</v>
          </cell>
          <cell r="G2744">
            <v>900000</v>
          </cell>
          <cell r="H2744">
            <v>0</v>
          </cell>
          <cell r="I2744">
            <v>150000</v>
          </cell>
        </row>
        <row r="2745">
          <cell r="A2745" t="str">
            <v>3410|477910</v>
          </cell>
          <cell r="B2745" t="str">
            <v>3410</v>
          </cell>
          <cell r="C2745">
            <v>477910</v>
          </cell>
          <cell r="D2745">
            <v>41426</v>
          </cell>
          <cell r="E2745">
            <v>0</v>
          </cell>
          <cell r="F2745">
            <v>0</v>
          </cell>
          <cell r="G2745">
            <v>80838000</v>
          </cell>
          <cell r="H2745">
            <v>0</v>
          </cell>
          <cell r="I2745">
            <v>0</v>
          </cell>
        </row>
        <row r="2746">
          <cell r="A2746" t="str">
            <v>3410|446003</v>
          </cell>
          <cell r="B2746" t="str">
            <v>3410</v>
          </cell>
          <cell r="C2746">
            <v>446003</v>
          </cell>
          <cell r="D2746">
            <v>41426</v>
          </cell>
          <cell r="E2746">
            <v>0</v>
          </cell>
          <cell r="F2746">
            <v>0</v>
          </cell>
          <cell r="G2746">
            <v>1650000</v>
          </cell>
          <cell r="H2746">
            <v>0</v>
          </cell>
          <cell r="I2746">
            <v>250000</v>
          </cell>
        </row>
        <row r="2747">
          <cell r="A2747" t="str">
            <v>3420|446003</v>
          </cell>
          <cell r="B2747" t="str">
            <v>3420</v>
          </cell>
          <cell r="C2747">
            <v>446003</v>
          </cell>
          <cell r="D2747">
            <v>41426</v>
          </cell>
          <cell r="E2747">
            <v>6330000</v>
          </cell>
          <cell r="F2747">
            <v>3165000</v>
          </cell>
          <cell r="G2747">
            <v>2100000</v>
          </cell>
          <cell r="H2747">
            <v>527500</v>
          </cell>
          <cell r="I2747">
            <v>350000</v>
          </cell>
        </row>
        <row r="2748">
          <cell r="A2748" t="str">
            <v>3430|446003</v>
          </cell>
          <cell r="B2748" t="str">
            <v>3430</v>
          </cell>
          <cell r="C2748">
            <v>446003</v>
          </cell>
          <cell r="D2748">
            <v>41426</v>
          </cell>
          <cell r="E2748">
            <v>21585000</v>
          </cell>
          <cell r="F2748">
            <v>10792500</v>
          </cell>
          <cell r="G2748">
            <v>4250000</v>
          </cell>
          <cell r="H2748">
            <v>1798750</v>
          </cell>
          <cell r="I2748">
            <v>750000</v>
          </cell>
        </row>
        <row r="2749">
          <cell r="A2749" t="str">
            <v>3440|446003</v>
          </cell>
          <cell r="B2749" t="str">
            <v>3440</v>
          </cell>
          <cell r="C2749">
            <v>446003</v>
          </cell>
          <cell r="D2749">
            <v>41426</v>
          </cell>
          <cell r="E2749">
            <v>8530000</v>
          </cell>
          <cell r="F2749">
            <v>4265000</v>
          </cell>
          <cell r="G2749">
            <v>2500000</v>
          </cell>
          <cell r="H2749">
            <v>710833</v>
          </cell>
          <cell r="I2749">
            <v>500000</v>
          </cell>
        </row>
        <row r="2750">
          <cell r="A2750" t="str">
            <v>3450|446003</v>
          </cell>
          <cell r="B2750" t="str">
            <v>3450</v>
          </cell>
          <cell r="C2750">
            <v>446003</v>
          </cell>
          <cell r="D2750">
            <v>41426</v>
          </cell>
          <cell r="E2750">
            <v>0</v>
          </cell>
          <cell r="F2750">
            <v>0</v>
          </cell>
          <cell r="G2750">
            <v>600000</v>
          </cell>
          <cell r="H2750">
            <v>0</v>
          </cell>
          <cell r="I2750">
            <v>100000</v>
          </cell>
        </row>
        <row r="2751">
          <cell r="A2751" t="str">
            <v>3460|446003</v>
          </cell>
          <cell r="B2751" t="str">
            <v>3460</v>
          </cell>
          <cell r="C2751">
            <v>446003</v>
          </cell>
          <cell r="D2751">
            <v>41426</v>
          </cell>
          <cell r="E2751">
            <v>0</v>
          </cell>
          <cell r="F2751">
            <v>0</v>
          </cell>
          <cell r="G2751">
            <v>4650000</v>
          </cell>
          <cell r="H2751">
            <v>0</v>
          </cell>
          <cell r="I2751">
            <v>800000</v>
          </cell>
        </row>
        <row r="2752">
          <cell r="A2752" t="str">
            <v>3470|446003</v>
          </cell>
          <cell r="B2752" t="str">
            <v>3470</v>
          </cell>
          <cell r="C2752">
            <v>446003</v>
          </cell>
          <cell r="D2752">
            <v>41426</v>
          </cell>
          <cell r="E2752">
            <v>0</v>
          </cell>
          <cell r="F2752">
            <v>0</v>
          </cell>
          <cell r="G2752">
            <v>1200000</v>
          </cell>
          <cell r="H2752">
            <v>0</v>
          </cell>
          <cell r="I2752">
            <v>200000</v>
          </cell>
        </row>
        <row r="2753">
          <cell r="A2753" t="str">
            <v>3490|446003</v>
          </cell>
          <cell r="B2753" t="str">
            <v>3490</v>
          </cell>
          <cell r="C2753">
            <v>446003</v>
          </cell>
          <cell r="D2753">
            <v>41426</v>
          </cell>
          <cell r="E2753">
            <v>0</v>
          </cell>
          <cell r="F2753">
            <v>0</v>
          </cell>
          <cell r="G2753">
            <v>150000</v>
          </cell>
          <cell r="H2753">
            <v>0</v>
          </cell>
          <cell r="I2753">
            <v>0</v>
          </cell>
        </row>
        <row r="2754">
          <cell r="A2754" t="str">
            <v>3610|472000</v>
          </cell>
          <cell r="B2754" t="str">
            <v>3610</v>
          </cell>
          <cell r="C2754">
            <v>472000</v>
          </cell>
          <cell r="D2754">
            <v>41426</v>
          </cell>
          <cell r="E2754">
            <v>0</v>
          </cell>
          <cell r="F2754">
            <v>0</v>
          </cell>
          <cell r="G2754">
            <v>1617623</v>
          </cell>
          <cell r="H2754">
            <v>0</v>
          </cell>
          <cell r="I2754">
            <v>0</v>
          </cell>
        </row>
        <row r="2755">
          <cell r="A2755" t="str">
            <v>3610|446003</v>
          </cell>
          <cell r="B2755" t="str">
            <v>3610</v>
          </cell>
          <cell r="C2755">
            <v>446003</v>
          </cell>
          <cell r="D2755">
            <v>41426</v>
          </cell>
          <cell r="E2755">
            <v>0</v>
          </cell>
          <cell r="F2755">
            <v>0</v>
          </cell>
          <cell r="G2755">
            <v>450000</v>
          </cell>
          <cell r="H2755">
            <v>0</v>
          </cell>
          <cell r="I2755">
            <v>50000</v>
          </cell>
        </row>
        <row r="2756">
          <cell r="A2756" t="str">
            <v>3700|446003</v>
          </cell>
          <cell r="B2756" t="str">
            <v>3700</v>
          </cell>
          <cell r="C2756">
            <v>446003</v>
          </cell>
          <cell r="D2756">
            <v>41426</v>
          </cell>
          <cell r="E2756">
            <v>0</v>
          </cell>
          <cell r="F2756">
            <v>0</v>
          </cell>
          <cell r="G2756">
            <v>0</v>
          </cell>
          <cell r="H2756">
            <v>0</v>
          </cell>
          <cell r="I2756">
            <v>-300000</v>
          </cell>
        </row>
        <row r="2757">
          <cell r="A2757" t="str">
            <v>5100|446003</v>
          </cell>
          <cell r="B2757" t="str">
            <v>5100</v>
          </cell>
          <cell r="C2757">
            <v>446003</v>
          </cell>
          <cell r="D2757">
            <v>41426</v>
          </cell>
          <cell r="E2757">
            <v>0</v>
          </cell>
          <cell r="F2757">
            <v>0</v>
          </cell>
          <cell r="G2757">
            <v>1200000</v>
          </cell>
          <cell r="H2757">
            <v>0</v>
          </cell>
          <cell r="I2757">
            <v>200000</v>
          </cell>
        </row>
        <row r="2758">
          <cell r="A2758" t="str">
            <v>5100|449011</v>
          </cell>
          <cell r="B2758" t="str">
            <v>5100</v>
          </cell>
          <cell r="C2758">
            <v>449011</v>
          </cell>
          <cell r="D2758">
            <v>41426</v>
          </cell>
          <cell r="E2758">
            <v>75000000</v>
          </cell>
          <cell r="F2758">
            <v>37500000</v>
          </cell>
          <cell r="G2758">
            <v>-135531522</v>
          </cell>
          <cell r="H2758">
            <v>6250000</v>
          </cell>
          <cell r="I2758">
            <v>-137685342</v>
          </cell>
        </row>
        <row r="2759">
          <cell r="A2759" t="str">
            <v>5200|446003</v>
          </cell>
          <cell r="B2759" t="str">
            <v>5200</v>
          </cell>
          <cell r="C2759">
            <v>446003</v>
          </cell>
          <cell r="D2759">
            <v>41426</v>
          </cell>
          <cell r="E2759">
            <v>8430000</v>
          </cell>
          <cell r="F2759">
            <v>4215000</v>
          </cell>
          <cell r="G2759">
            <v>2150000</v>
          </cell>
          <cell r="H2759">
            <v>702500</v>
          </cell>
          <cell r="I2759">
            <v>400000</v>
          </cell>
        </row>
        <row r="2760">
          <cell r="A2760" t="str">
            <v>5400|446003</v>
          </cell>
          <cell r="B2760" t="str">
            <v>5400</v>
          </cell>
          <cell r="C2760">
            <v>446003</v>
          </cell>
          <cell r="D2760">
            <v>41426</v>
          </cell>
          <cell r="E2760">
            <v>14760000</v>
          </cell>
          <cell r="F2760">
            <v>7380000</v>
          </cell>
          <cell r="G2760">
            <v>2300000</v>
          </cell>
          <cell r="H2760">
            <v>1230000</v>
          </cell>
          <cell r="I2760">
            <v>400000</v>
          </cell>
        </row>
        <row r="2761">
          <cell r="A2761" t="str">
            <v>5700|446003</v>
          </cell>
          <cell r="B2761" t="str">
            <v>5700</v>
          </cell>
          <cell r="C2761">
            <v>446003</v>
          </cell>
          <cell r="D2761">
            <v>41426</v>
          </cell>
          <cell r="E2761">
            <v>0</v>
          </cell>
          <cell r="F2761">
            <v>0</v>
          </cell>
          <cell r="G2761">
            <v>4500000</v>
          </cell>
          <cell r="H2761">
            <v>0</v>
          </cell>
          <cell r="I2761">
            <v>750000</v>
          </cell>
        </row>
        <row r="2762">
          <cell r="A2762" t="str">
            <v>6000|446003</v>
          </cell>
          <cell r="B2762" t="str">
            <v>6000</v>
          </cell>
          <cell r="C2762">
            <v>446003</v>
          </cell>
          <cell r="D2762">
            <v>41426</v>
          </cell>
          <cell r="E2762">
            <v>0</v>
          </cell>
          <cell r="F2762">
            <v>0</v>
          </cell>
          <cell r="G2762">
            <v>900000</v>
          </cell>
          <cell r="H2762">
            <v>0</v>
          </cell>
          <cell r="I2762">
            <v>150000</v>
          </cell>
        </row>
        <row r="2763">
          <cell r="A2763" t="str">
            <v>6110|446003</v>
          </cell>
          <cell r="B2763" t="str">
            <v>6110</v>
          </cell>
          <cell r="C2763">
            <v>446003</v>
          </cell>
          <cell r="D2763">
            <v>41426</v>
          </cell>
          <cell r="E2763">
            <v>8430000</v>
          </cell>
          <cell r="F2763">
            <v>4215000</v>
          </cell>
          <cell r="G2763">
            <v>900000</v>
          </cell>
          <cell r="H2763">
            <v>702500</v>
          </cell>
          <cell r="I2763">
            <v>150000</v>
          </cell>
        </row>
        <row r="2764">
          <cell r="A2764" t="str">
            <v>6310|446003</v>
          </cell>
          <cell r="B2764" t="str">
            <v>6310</v>
          </cell>
          <cell r="C2764">
            <v>446003</v>
          </cell>
          <cell r="D2764">
            <v>41426</v>
          </cell>
          <cell r="E2764">
            <v>14760000</v>
          </cell>
          <cell r="F2764">
            <v>7380000</v>
          </cell>
          <cell r="G2764">
            <v>2550000</v>
          </cell>
          <cell r="H2764">
            <v>1230000</v>
          </cell>
          <cell r="I2764">
            <v>450000</v>
          </cell>
        </row>
        <row r="2765">
          <cell r="A2765" t="str">
            <v>6326|473120</v>
          </cell>
          <cell r="B2765" t="str">
            <v>6326</v>
          </cell>
          <cell r="C2765">
            <v>473120</v>
          </cell>
          <cell r="D2765">
            <v>41426</v>
          </cell>
          <cell r="E2765">
            <v>63083</v>
          </cell>
          <cell r="F2765">
            <v>31542</v>
          </cell>
          <cell r="G2765">
            <v>322067</v>
          </cell>
          <cell r="H2765">
            <v>5257</v>
          </cell>
          <cell r="I2765">
            <v>93384</v>
          </cell>
        </row>
        <row r="2766">
          <cell r="A2766" t="str">
            <v>6410|446003</v>
          </cell>
          <cell r="B2766" t="str">
            <v>6410</v>
          </cell>
          <cell r="C2766">
            <v>446003</v>
          </cell>
          <cell r="D2766">
            <v>41426</v>
          </cell>
          <cell r="E2766">
            <v>0</v>
          </cell>
          <cell r="F2766">
            <v>0</v>
          </cell>
          <cell r="G2766">
            <v>900000</v>
          </cell>
          <cell r="H2766">
            <v>0</v>
          </cell>
          <cell r="I2766">
            <v>150000</v>
          </cell>
        </row>
        <row r="2767">
          <cell r="A2767" t="str">
            <v>0310|246000</v>
          </cell>
          <cell r="B2767" t="str">
            <v>0310</v>
          </cell>
          <cell r="C2767">
            <v>246000</v>
          </cell>
          <cell r="D2767">
            <v>41426</v>
          </cell>
          <cell r="E2767">
            <v>5500000</v>
          </cell>
          <cell r="F2767">
            <v>2750000</v>
          </cell>
          <cell r="G2767">
            <v>0</v>
          </cell>
          <cell r="H2767">
            <v>458333</v>
          </cell>
          <cell r="I2767">
            <v>0</v>
          </cell>
        </row>
        <row r="2768">
          <cell r="A2768" t="str">
            <v>0340|474100</v>
          </cell>
          <cell r="B2768" t="str">
            <v>0340</v>
          </cell>
          <cell r="C2768">
            <v>474100</v>
          </cell>
          <cell r="D2768">
            <v>41426</v>
          </cell>
          <cell r="E2768">
            <v>1903923</v>
          </cell>
          <cell r="F2768">
            <v>951962</v>
          </cell>
          <cell r="G2768">
            <v>0</v>
          </cell>
          <cell r="H2768">
            <v>158661</v>
          </cell>
          <cell r="I2768">
            <v>0</v>
          </cell>
        </row>
        <row r="2769">
          <cell r="A2769" t="str">
            <v>3420|459005</v>
          </cell>
          <cell r="B2769" t="str">
            <v>3420</v>
          </cell>
          <cell r="C2769">
            <v>459005</v>
          </cell>
          <cell r="D2769">
            <v>41426</v>
          </cell>
          <cell r="E2769">
            <v>700005</v>
          </cell>
          <cell r="F2769">
            <v>350003</v>
          </cell>
          <cell r="G2769">
            <v>0</v>
          </cell>
          <cell r="H2769">
            <v>58334</v>
          </cell>
          <cell r="I2769">
            <v>0</v>
          </cell>
        </row>
        <row r="2770">
          <cell r="A2770" t="str">
            <v>3500|476201</v>
          </cell>
          <cell r="B2770" t="str">
            <v>3500</v>
          </cell>
          <cell r="C2770">
            <v>476201</v>
          </cell>
          <cell r="D2770">
            <v>41426</v>
          </cell>
          <cell r="E2770">
            <v>23099682</v>
          </cell>
          <cell r="F2770">
            <v>11549841</v>
          </cell>
          <cell r="G2770">
            <v>0</v>
          </cell>
          <cell r="H2770">
            <v>1924973</v>
          </cell>
          <cell r="I2770">
            <v>0</v>
          </cell>
        </row>
        <row r="2771">
          <cell r="A2771" t="str">
            <v>6321|449040</v>
          </cell>
          <cell r="B2771" t="str">
            <v>6321</v>
          </cell>
          <cell r="C2771">
            <v>449040</v>
          </cell>
          <cell r="D2771">
            <v>41426</v>
          </cell>
          <cell r="E2771">
            <v>6241333</v>
          </cell>
          <cell r="F2771">
            <v>3120667</v>
          </cell>
          <cell r="G2771">
            <v>5980000</v>
          </cell>
          <cell r="H2771">
            <v>520112</v>
          </cell>
          <cell r="I2771">
            <v>954000</v>
          </cell>
        </row>
        <row r="2772">
          <cell r="A2772" t="str">
            <v>6410|459000</v>
          </cell>
          <cell r="B2772" t="str">
            <v>6410</v>
          </cell>
          <cell r="C2772">
            <v>459000</v>
          </cell>
          <cell r="D2772">
            <v>41426</v>
          </cell>
          <cell r="E2772">
            <v>2800300</v>
          </cell>
          <cell r="F2772">
            <v>1400153</v>
          </cell>
          <cell r="G2772">
            <v>2655750</v>
          </cell>
          <cell r="H2772">
            <v>233359</v>
          </cell>
          <cell r="I2772">
            <v>0</v>
          </cell>
        </row>
        <row r="2773">
          <cell r="A2773" t="str">
            <v>2100|470102</v>
          </cell>
          <cell r="B2773" t="str">
            <v>2100</v>
          </cell>
          <cell r="C2773">
            <v>470102</v>
          </cell>
          <cell r="D2773">
            <v>41426</v>
          </cell>
          <cell r="E2773">
            <v>1</v>
          </cell>
          <cell r="F2773">
            <v>0</v>
          </cell>
          <cell r="G2773">
            <v>361236</v>
          </cell>
          <cell r="H2773">
            <v>0</v>
          </cell>
          <cell r="I2773">
            <v>0</v>
          </cell>
        </row>
        <row r="2774">
          <cell r="A2774" t="str">
            <v>1500|476900</v>
          </cell>
          <cell r="B2774" t="str">
            <v>1500</v>
          </cell>
          <cell r="C2774">
            <v>476900</v>
          </cell>
          <cell r="D2774">
            <v>41426</v>
          </cell>
          <cell r="E2774">
            <v>144712</v>
          </cell>
          <cell r="F2774">
            <v>72356</v>
          </cell>
          <cell r="G2774">
            <v>0</v>
          </cell>
          <cell r="H2774">
            <v>12059</v>
          </cell>
          <cell r="I2774">
            <v>0</v>
          </cell>
        </row>
        <row r="2775">
          <cell r="A2775" t="str">
            <v>3100|459003</v>
          </cell>
          <cell r="B2775" t="str">
            <v>3100</v>
          </cell>
          <cell r="C2775">
            <v>459003</v>
          </cell>
          <cell r="D2775">
            <v>41426</v>
          </cell>
          <cell r="E2775">
            <v>0</v>
          </cell>
          <cell r="F2775">
            <v>0</v>
          </cell>
          <cell r="G2775">
            <v>21642561</v>
          </cell>
          <cell r="H2775">
            <v>0</v>
          </cell>
          <cell r="I2775">
            <v>0</v>
          </cell>
        </row>
        <row r="2776">
          <cell r="A2776" t="str">
            <v>3400|459003</v>
          </cell>
          <cell r="B2776" t="str">
            <v>3400</v>
          </cell>
          <cell r="C2776">
            <v>459003</v>
          </cell>
          <cell r="D2776">
            <v>41426</v>
          </cell>
          <cell r="E2776">
            <v>0</v>
          </cell>
          <cell r="F2776">
            <v>0</v>
          </cell>
          <cell r="G2776">
            <v>21053015</v>
          </cell>
          <cell r="H2776">
            <v>0</v>
          </cell>
          <cell r="I2776">
            <v>0</v>
          </cell>
        </row>
        <row r="2777">
          <cell r="A2777" t="str">
            <v>3600|473000</v>
          </cell>
          <cell r="B2777" t="str">
            <v>3600</v>
          </cell>
          <cell r="C2777">
            <v>473000</v>
          </cell>
          <cell r="D2777">
            <v>41426</v>
          </cell>
          <cell r="E2777">
            <v>931416</v>
          </cell>
          <cell r="F2777">
            <v>465708</v>
          </cell>
          <cell r="G2777">
            <v>760750</v>
          </cell>
          <cell r="H2777">
            <v>77618</v>
          </cell>
          <cell r="I2777">
            <v>6000</v>
          </cell>
        </row>
        <row r="2778">
          <cell r="A2778" t="str">
            <v>3610|476900</v>
          </cell>
          <cell r="B2778" t="str">
            <v>3610</v>
          </cell>
          <cell r="C2778">
            <v>476900</v>
          </cell>
          <cell r="D2778">
            <v>41426</v>
          </cell>
          <cell r="E2778">
            <v>0</v>
          </cell>
          <cell r="F2778">
            <v>0</v>
          </cell>
          <cell r="G2778">
            <v>295500</v>
          </cell>
          <cell r="H2778">
            <v>0</v>
          </cell>
          <cell r="I2778">
            <v>0</v>
          </cell>
        </row>
        <row r="2779">
          <cell r="A2779" t="str">
            <v>3310|433002</v>
          </cell>
          <cell r="B2779" t="str">
            <v>3310</v>
          </cell>
          <cell r="C2779">
            <v>433002</v>
          </cell>
          <cell r="D2779">
            <v>41426</v>
          </cell>
          <cell r="E2779">
            <v>0</v>
          </cell>
          <cell r="F2779">
            <v>0</v>
          </cell>
          <cell r="G2779">
            <v>1352700</v>
          </cell>
          <cell r="H2779">
            <v>0</v>
          </cell>
          <cell r="I2779">
            <v>225450</v>
          </cell>
        </row>
        <row r="2780">
          <cell r="A2780" t="str">
            <v>3700|477910</v>
          </cell>
          <cell r="B2780" t="str">
            <v>3700</v>
          </cell>
          <cell r="C2780">
            <v>477910</v>
          </cell>
          <cell r="D2780">
            <v>41426</v>
          </cell>
          <cell r="E2780">
            <v>0</v>
          </cell>
          <cell r="F2780">
            <v>0</v>
          </cell>
          <cell r="G2780">
            <v>62388000</v>
          </cell>
          <cell r="H2780">
            <v>0</v>
          </cell>
          <cell r="I2780">
            <v>0</v>
          </cell>
        </row>
        <row r="2781">
          <cell r="A2781" t="str">
            <v>0520|459000</v>
          </cell>
          <cell r="B2781" t="str">
            <v>0520</v>
          </cell>
          <cell r="C2781">
            <v>459000</v>
          </cell>
          <cell r="D2781">
            <v>41426</v>
          </cell>
          <cell r="E2781">
            <v>2700475</v>
          </cell>
          <cell r="F2781">
            <v>1350238</v>
          </cell>
          <cell r="G2781">
            <v>0</v>
          </cell>
          <cell r="H2781">
            <v>225040</v>
          </cell>
          <cell r="I2781">
            <v>0</v>
          </cell>
        </row>
        <row r="2782">
          <cell r="A2782" t="str">
            <v>3100|476201</v>
          </cell>
          <cell r="B2782" t="str">
            <v>3100</v>
          </cell>
          <cell r="C2782">
            <v>476201</v>
          </cell>
          <cell r="D2782">
            <v>41426</v>
          </cell>
          <cell r="E2782">
            <v>36536762</v>
          </cell>
          <cell r="F2782">
            <v>18268381</v>
          </cell>
          <cell r="G2782">
            <v>36194223</v>
          </cell>
          <cell r="H2782">
            <v>3044730</v>
          </cell>
          <cell r="I2782">
            <v>0</v>
          </cell>
        </row>
        <row r="2783">
          <cell r="A2783" t="str">
            <v>3460|477350</v>
          </cell>
          <cell r="B2783" t="str">
            <v>3460</v>
          </cell>
          <cell r="C2783">
            <v>477350</v>
          </cell>
          <cell r="D2783">
            <v>41426</v>
          </cell>
          <cell r="E2783">
            <v>30000000</v>
          </cell>
          <cell r="F2783">
            <v>15000000</v>
          </cell>
          <cell r="G2783">
            <v>-1445700</v>
          </cell>
          <cell r="H2783">
            <v>2500000</v>
          </cell>
          <cell r="I2783">
            <v>0</v>
          </cell>
        </row>
        <row r="2784">
          <cell r="A2784" t="str">
            <v>2240|459000</v>
          </cell>
          <cell r="B2784" t="str">
            <v>2240</v>
          </cell>
          <cell r="C2784">
            <v>459000</v>
          </cell>
          <cell r="D2784">
            <v>41426</v>
          </cell>
          <cell r="E2784">
            <v>0</v>
          </cell>
          <cell r="F2784">
            <v>0</v>
          </cell>
          <cell r="G2784">
            <v>3500000</v>
          </cell>
          <cell r="H2784">
            <v>0</v>
          </cell>
          <cell r="I2784">
            <v>0</v>
          </cell>
        </row>
        <row r="2785">
          <cell r="A2785" t="str">
            <v>3200|434011</v>
          </cell>
          <cell r="B2785" t="str">
            <v>3200</v>
          </cell>
          <cell r="C2785">
            <v>434011</v>
          </cell>
          <cell r="D2785">
            <v>41426</v>
          </cell>
          <cell r="E2785">
            <v>0</v>
          </cell>
          <cell r="F2785">
            <v>0</v>
          </cell>
          <cell r="G2785">
            <v>2501914</v>
          </cell>
          <cell r="H2785">
            <v>0</v>
          </cell>
          <cell r="I2785">
            <v>410644</v>
          </cell>
        </row>
        <row r="2786">
          <cell r="A2786" t="str">
            <v>3200|439001</v>
          </cell>
          <cell r="B2786" t="str">
            <v>3200</v>
          </cell>
          <cell r="C2786">
            <v>439001</v>
          </cell>
          <cell r="D2786">
            <v>41426</v>
          </cell>
          <cell r="E2786">
            <v>11276882</v>
          </cell>
          <cell r="F2786">
            <v>5638441</v>
          </cell>
          <cell r="G2786">
            <v>5517961</v>
          </cell>
          <cell r="H2786">
            <v>939740</v>
          </cell>
          <cell r="I2786">
            <v>915644</v>
          </cell>
        </row>
        <row r="2787">
          <cell r="A2787" t="str">
            <v>3200|440001</v>
          </cell>
          <cell r="B2787" t="str">
            <v>3200</v>
          </cell>
          <cell r="C2787">
            <v>440001</v>
          </cell>
          <cell r="D2787">
            <v>41426</v>
          </cell>
          <cell r="E2787">
            <v>3955459</v>
          </cell>
          <cell r="F2787">
            <v>1977730</v>
          </cell>
          <cell r="G2787">
            <v>2684340</v>
          </cell>
          <cell r="H2787">
            <v>329622</v>
          </cell>
          <cell r="I2787">
            <v>434879</v>
          </cell>
        </row>
        <row r="2788">
          <cell r="A2788" t="str">
            <v>3200|446001</v>
          </cell>
          <cell r="B2788" t="str">
            <v>3200</v>
          </cell>
          <cell r="C2788">
            <v>446001</v>
          </cell>
          <cell r="D2788">
            <v>41426</v>
          </cell>
          <cell r="E2788">
            <v>1977730</v>
          </cell>
          <cell r="F2788">
            <v>988865</v>
          </cell>
          <cell r="G2788">
            <v>300000</v>
          </cell>
          <cell r="H2788">
            <v>164811</v>
          </cell>
          <cell r="I2788">
            <v>50000</v>
          </cell>
        </row>
        <row r="2789">
          <cell r="A2789" t="str">
            <v>5700|433002</v>
          </cell>
          <cell r="B2789" t="str">
            <v>5700</v>
          </cell>
          <cell r="C2789">
            <v>433002</v>
          </cell>
          <cell r="D2789">
            <v>41426</v>
          </cell>
          <cell r="E2789">
            <v>0</v>
          </cell>
          <cell r="F2789">
            <v>0</v>
          </cell>
          <cell r="G2789">
            <v>1908750</v>
          </cell>
          <cell r="H2789">
            <v>0</v>
          </cell>
          <cell r="I2789">
            <v>318125</v>
          </cell>
        </row>
        <row r="2790">
          <cell r="A2790" t="str">
            <v>6326|405251</v>
          </cell>
          <cell r="B2790" t="str">
            <v>6326</v>
          </cell>
          <cell r="C2790">
            <v>405251</v>
          </cell>
          <cell r="D2790">
            <v>41426</v>
          </cell>
          <cell r="E2790">
            <v>0</v>
          </cell>
          <cell r="F2790">
            <v>0</v>
          </cell>
          <cell r="G2790">
            <v>152248120</v>
          </cell>
          <cell r="H2790">
            <v>0</v>
          </cell>
          <cell r="I2790">
            <v>10267964</v>
          </cell>
        </row>
        <row r="2791">
          <cell r="A2791" t="str">
            <v>6326|434010</v>
          </cell>
          <cell r="B2791" t="str">
            <v>6326</v>
          </cell>
          <cell r="C2791">
            <v>434010</v>
          </cell>
          <cell r="D2791">
            <v>41426</v>
          </cell>
          <cell r="E2791">
            <v>0</v>
          </cell>
          <cell r="F2791">
            <v>0</v>
          </cell>
          <cell r="G2791">
            <v>43935540</v>
          </cell>
          <cell r="H2791">
            <v>0</v>
          </cell>
          <cell r="I2791">
            <v>7177312</v>
          </cell>
        </row>
        <row r="2792">
          <cell r="A2792" t="str">
            <v>6326|439000</v>
          </cell>
          <cell r="B2792" t="str">
            <v>6326</v>
          </cell>
          <cell r="C2792">
            <v>439000</v>
          </cell>
          <cell r="D2792">
            <v>41426</v>
          </cell>
          <cell r="E2792">
            <v>0</v>
          </cell>
          <cell r="F2792">
            <v>0</v>
          </cell>
          <cell r="G2792">
            <v>82857080</v>
          </cell>
          <cell r="H2792">
            <v>0</v>
          </cell>
          <cell r="I2792">
            <v>13301281</v>
          </cell>
        </row>
        <row r="2793">
          <cell r="A2793" t="str">
            <v>6326|447000</v>
          </cell>
          <cell r="B2793" t="str">
            <v>6326</v>
          </cell>
          <cell r="C2793">
            <v>447000</v>
          </cell>
          <cell r="D2793">
            <v>41426</v>
          </cell>
          <cell r="E2793">
            <v>0</v>
          </cell>
          <cell r="F2793">
            <v>0</v>
          </cell>
          <cell r="G2793">
            <v>6215577</v>
          </cell>
          <cell r="H2793">
            <v>0</v>
          </cell>
          <cell r="I2793">
            <v>1063423</v>
          </cell>
        </row>
        <row r="2794">
          <cell r="A2794" t="str">
            <v>6326|447010</v>
          </cell>
          <cell r="B2794" t="str">
            <v>6326</v>
          </cell>
          <cell r="C2794">
            <v>447010</v>
          </cell>
          <cell r="D2794">
            <v>41426</v>
          </cell>
          <cell r="E2794">
            <v>0</v>
          </cell>
          <cell r="F2794">
            <v>0</v>
          </cell>
          <cell r="G2794">
            <v>14648196</v>
          </cell>
          <cell r="H2794">
            <v>0</v>
          </cell>
          <cell r="I2794">
            <v>2506160</v>
          </cell>
        </row>
        <row r="2795">
          <cell r="A2795" t="str">
            <v>6326|447020</v>
          </cell>
          <cell r="B2795" t="str">
            <v>6326</v>
          </cell>
          <cell r="C2795">
            <v>447020</v>
          </cell>
          <cell r="D2795">
            <v>41426</v>
          </cell>
          <cell r="E2795">
            <v>0</v>
          </cell>
          <cell r="F2795">
            <v>0</v>
          </cell>
          <cell r="G2795">
            <v>495286</v>
          </cell>
          <cell r="H2795">
            <v>0</v>
          </cell>
          <cell r="I2795">
            <v>84642</v>
          </cell>
        </row>
        <row r="2796">
          <cell r="A2796" t="str">
            <v>6326|449020</v>
          </cell>
          <cell r="B2796" t="str">
            <v>6326</v>
          </cell>
          <cell r="C2796">
            <v>449020</v>
          </cell>
          <cell r="D2796">
            <v>41426</v>
          </cell>
          <cell r="E2796">
            <v>0</v>
          </cell>
          <cell r="F2796">
            <v>0</v>
          </cell>
          <cell r="G2796">
            <v>46860500</v>
          </cell>
          <cell r="H2796">
            <v>0</v>
          </cell>
          <cell r="I2796">
            <v>7248500</v>
          </cell>
        </row>
        <row r="2797">
          <cell r="A2797" t="str">
            <v>6326|446000</v>
          </cell>
          <cell r="B2797" t="str">
            <v>6326</v>
          </cell>
          <cell r="C2797">
            <v>446000</v>
          </cell>
          <cell r="D2797">
            <v>41426</v>
          </cell>
          <cell r="E2797">
            <v>0</v>
          </cell>
          <cell r="F2797">
            <v>0</v>
          </cell>
          <cell r="G2797">
            <v>11340000</v>
          </cell>
          <cell r="H2797">
            <v>0</v>
          </cell>
          <cell r="I2797">
            <v>2015000</v>
          </cell>
        </row>
        <row r="2798">
          <cell r="A2798" t="str">
            <v>6326|420000</v>
          </cell>
          <cell r="B2798" t="str">
            <v>6326</v>
          </cell>
          <cell r="C2798">
            <v>420000</v>
          </cell>
          <cell r="D2798">
            <v>41426</v>
          </cell>
          <cell r="E2798">
            <v>0</v>
          </cell>
          <cell r="F2798">
            <v>0</v>
          </cell>
          <cell r="G2798">
            <v>398746465</v>
          </cell>
          <cell r="H2798">
            <v>0</v>
          </cell>
          <cell r="I2798">
            <v>63960940</v>
          </cell>
        </row>
        <row r="2799">
          <cell r="A2799" t="str">
            <v>6410|455001</v>
          </cell>
          <cell r="B2799" t="str">
            <v>6410</v>
          </cell>
          <cell r="C2799">
            <v>455001</v>
          </cell>
          <cell r="D2799">
            <v>41426</v>
          </cell>
          <cell r="E2799">
            <v>0</v>
          </cell>
          <cell r="F2799">
            <v>0</v>
          </cell>
          <cell r="G2799">
            <v>5960229</v>
          </cell>
          <cell r="H2799">
            <v>0</v>
          </cell>
          <cell r="I2799">
            <v>0</v>
          </cell>
        </row>
        <row r="2800">
          <cell r="A2800" t="str">
            <v>0310|459005</v>
          </cell>
          <cell r="B2800" t="str">
            <v>0310</v>
          </cell>
          <cell r="C2800">
            <v>459005</v>
          </cell>
          <cell r="D2800">
            <v>41426</v>
          </cell>
          <cell r="E2800">
            <v>0</v>
          </cell>
          <cell r="F2800">
            <v>0</v>
          </cell>
          <cell r="G2800">
            <v>20752200</v>
          </cell>
          <cell r="H2800">
            <v>0</v>
          </cell>
          <cell r="I2800">
            <v>0</v>
          </cell>
        </row>
        <row r="2801">
          <cell r="A2801" t="str">
            <v>0370|246000</v>
          </cell>
          <cell r="B2801" t="str">
            <v>0370</v>
          </cell>
          <cell r="C2801">
            <v>246000</v>
          </cell>
          <cell r="D2801">
            <v>41426</v>
          </cell>
          <cell r="E2801">
            <v>0</v>
          </cell>
          <cell r="F2801">
            <v>0</v>
          </cell>
          <cell r="G2801">
            <v>-3750000</v>
          </cell>
          <cell r="H2801">
            <v>0</v>
          </cell>
          <cell r="I2801">
            <v>-3750000</v>
          </cell>
        </row>
        <row r="2802">
          <cell r="A2802" t="str">
            <v>6126|459005</v>
          </cell>
          <cell r="B2802" t="str">
            <v>6126</v>
          </cell>
          <cell r="C2802">
            <v>459005</v>
          </cell>
          <cell r="D2802">
            <v>41426</v>
          </cell>
          <cell r="E2802">
            <v>0</v>
          </cell>
          <cell r="F2802">
            <v>0</v>
          </cell>
          <cell r="G2802">
            <v>500000</v>
          </cell>
          <cell r="H2802">
            <v>0</v>
          </cell>
          <cell r="I2802">
            <v>0</v>
          </cell>
        </row>
        <row r="2803">
          <cell r="A2803" t="str">
            <v>6321|476000</v>
          </cell>
          <cell r="B2803" t="str">
            <v>6321</v>
          </cell>
          <cell r="C2803">
            <v>476000</v>
          </cell>
          <cell r="D2803">
            <v>41426</v>
          </cell>
          <cell r="E2803">
            <v>0</v>
          </cell>
          <cell r="F2803">
            <v>0</v>
          </cell>
          <cell r="G2803">
            <v>1000000</v>
          </cell>
          <cell r="H2803">
            <v>0</v>
          </cell>
          <cell r="I2803">
            <v>0</v>
          </cell>
        </row>
        <row r="2804">
          <cell r="A2804" t="str">
            <v>0510|476220</v>
          </cell>
          <cell r="B2804" t="str">
            <v>0510</v>
          </cell>
          <cell r="C2804">
            <v>476220</v>
          </cell>
          <cell r="D2804">
            <v>41426</v>
          </cell>
          <cell r="E2804">
            <v>13176095</v>
          </cell>
          <cell r="F2804">
            <v>6588048</v>
          </cell>
          <cell r="G2804">
            <v>37642337</v>
          </cell>
          <cell r="H2804">
            <v>1098008</v>
          </cell>
          <cell r="I2804">
            <v>8271669</v>
          </cell>
        </row>
        <row r="2805">
          <cell r="A2805" t="str">
            <v>3200|420001</v>
          </cell>
          <cell r="B2805" t="str">
            <v>3200</v>
          </cell>
          <cell r="C2805">
            <v>420001</v>
          </cell>
          <cell r="D2805">
            <v>41426</v>
          </cell>
          <cell r="E2805">
            <v>47465514</v>
          </cell>
          <cell r="F2805">
            <v>23732757</v>
          </cell>
          <cell r="G2805">
            <v>16779000</v>
          </cell>
          <cell r="H2805">
            <v>3955459</v>
          </cell>
          <cell r="I2805">
            <v>2796500</v>
          </cell>
        </row>
        <row r="2806">
          <cell r="A2806" t="str">
            <v>3200|439201</v>
          </cell>
          <cell r="B2806" t="str">
            <v>3200</v>
          </cell>
          <cell r="C2806">
            <v>439201</v>
          </cell>
          <cell r="D2806">
            <v>41426</v>
          </cell>
          <cell r="E2806">
            <v>5760000</v>
          </cell>
          <cell r="F2806">
            <v>2880000</v>
          </cell>
          <cell r="G2806">
            <v>2950000</v>
          </cell>
          <cell r="H2806">
            <v>480000</v>
          </cell>
          <cell r="I2806">
            <v>425000</v>
          </cell>
        </row>
        <row r="2807">
          <cell r="A2807" t="str">
            <v>3200|447001</v>
          </cell>
          <cell r="B2807" t="str">
            <v>3200</v>
          </cell>
          <cell r="C2807">
            <v>447001</v>
          </cell>
          <cell r="D2807">
            <v>41426</v>
          </cell>
          <cell r="E2807">
            <v>745209</v>
          </cell>
          <cell r="F2807">
            <v>372605</v>
          </cell>
          <cell r="G2807">
            <v>90612</v>
          </cell>
          <cell r="H2807">
            <v>62101</v>
          </cell>
          <cell r="I2807">
            <v>15102</v>
          </cell>
        </row>
        <row r="2808">
          <cell r="A2808" t="str">
            <v>3200|447011</v>
          </cell>
          <cell r="B2808" t="str">
            <v>3200</v>
          </cell>
          <cell r="C2808">
            <v>447011</v>
          </cell>
          <cell r="D2808">
            <v>41426</v>
          </cell>
          <cell r="E2808">
            <v>1756224</v>
          </cell>
          <cell r="F2808">
            <v>878112</v>
          </cell>
          <cell r="G2808">
            <v>620826</v>
          </cell>
          <cell r="H2808">
            <v>146352</v>
          </cell>
          <cell r="I2808">
            <v>103471</v>
          </cell>
        </row>
        <row r="2809">
          <cell r="A2809" t="str">
            <v>3200|449025</v>
          </cell>
          <cell r="B2809" t="str">
            <v>3200</v>
          </cell>
          <cell r="C2809">
            <v>449025</v>
          </cell>
          <cell r="D2809">
            <v>41426</v>
          </cell>
          <cell r="E2809">
            <v>3960000</v>
          </cell>
          <cell r="F2809">
            <v>1980000</v>
          </cell>
          <cell r="G2809">
            <v>2521500</v>
          </cell>
          <cell r="H2809">
            <v>330000</v>
          </cell>
          <cell r="I2809">
            <v>348500</v>
          </cell>
        </row>
        <row r="2810">
          <cell r="A2810" t="str">
            <v>3210|451001</v>
          </cell>
          <cell r="B2810" t="str">
            <v>3210</v>
          </cell>
          <cell r="C2810">
            <v>451001</v>
          </cell>
          <cell r="D2810">
            <v>41426</v>
          </cell>
          <cell r="E2810">
            <v>400000000</v>
          </cell>
          <cell r="F2810">
            <v>200000000</v>
          </cell>
          <cell r="G2810">
            <v>16976500</v>
          </cell>
          <cell r="H2810">
            <v>33333333</v>
          </cell>
          <cell r="I2810">
            <v>5900000</v>
          </cell>
        </row>
        <row r="2811">
          <cell r="A2811" t="str">
            <v>3410|477860</v>
          </cell>
          <cell r="B2811" t="str">
            <v>3410</v>
          </cell>
          <cell r="C2811">
            <v>477860</v>
          </cell>
          <cell r="D2811">
            <v>41426</v>
          </cell>
          <cell r="E2811">
            <v>9281584</v>
          </cell>
          <cell r="F2811">
            <v>4640792</v>
          </cell>
          <cell r="G2811">
            <v>-287664</v>
          </cell>
          <cell r="H2811">
            <v>773465</v>
          </cell>
          <cell r="I2811">
            <v>0</v>
          </cell>
        </row>
        <row r="2812">
          <cell r="A2812" t="str">
            <v>3440|477001</v>
          </cell>
          <cell r="B2812" t="str">
            <v>3440</v>
          </cell>
          <cell r="C2812">
            <v>477001</v>
          </cell>
          <cell r="D2812">
            <v>41426</v>
          </cell>
          <cell r="E2812">
            <v>0</v>
          </cell>
          <cell r="F2812">
            <v>0</v>
          </cell>
          <cell r="G2812">
            <v>7600000</v>
          </cell>
          <cell r="H2812">
            <v>0</v>
          </cell>
          <cell r="I2812">
            <v>0</v>
          </cell>
        </row>
        <row r="2813">
          <cell r="A2813" t="str">
            <v>2500|473120</v>
          </cell>
          <cell r="B2813" t="str">
            <v>2500</v>
          </cell>
          <cell r="C2813">
            <v>473120</v>
          </cell>
          <cell r="D2813">
            <v>41426</v>
          </cell>
          <cell r="E2813">
            <v>354076</v>
          </cell>
          <cell r="F2813">
            <v>177038</v>
          </cell>
          <cell r="G2813">
            <v>2207000</v>
          </cell>
          <cell r="H2813">
            <v>29506</v>
          </cell>
          <cell r="I2813">
            <v>440800</v>
          </cell>
        </row>
        <row r="2814">
          <cell r="A2814" t="str">
            <v>6325|449061</v>
          </cell>
          <cell r="B2814" t="str">
            <v>6325</v>
          </cell>
          <cell r="C2814">
            <v>449061</v>
          </cell>
          <cell r="D2814">
            <v>41426</v>
          </cell>
          <cell r="E2814">
            <v>0</v>
          </cell>
          <cell r="F2814">
            <v>0</v>
          </cell>
          <cell r="G2814">
            <v>458800</v>
          </cell>
          <cell r="H2814">
            <v>0</v>
          </cell>
          <cell r="I2814">
            <v>0</v>
          </cell>
        </row>
        <row r="2815">
          <cell r="A2815" t="str">
            <v>6326|448000</v>
          </cell>
          <cell r="B2815" t="str">
            <v>6326</v>
          </cell>
          <cell r="C2815">
            <v>448000</v>
          </cell>
          <cell r="D2815">
            <v>41426</v>
          </cell>
          <cell r="E2815">
            <v>0</v>
          </cell>
          <cell r="F2815">
            <v>0</v>
          </cell>
          <cell r="G2815">
            <v>50386080</v>
          </cell>
          <cell r="H2815">
            <v>0</v>
          </cell>
          <cell r="I2815">
            <v>10001600</v>
          </cell>
        </row>
        <row r="2816">
          <cell r="A2816" t="str">
            <v>1500|475004</v>
          </cell>
          <cell r="B2816" t="str">
            <v>1500</v>
          </cell>
          <cell r="C2816">
            <v>475004</v>
          </cell>
          <cell r="D2816">
            <v>41426</v>
          </cell>
          <cell r="E2816">
            <v>3237271</v>
          </cell>
          <cell r="F2816">
            <v>1618636</v>
          </cell>
          <cell r="G2816">
            <v>0</v>
          </cell>
          <cell r="H2816">
            <v>269773</v>
          </cell>
          <cell r="I2816">
            <v>0</v>
          </cell>
        </row>
        <row r="2817">
          <cell r="A2817" t="str">
            <v>0200|475002</v>
          </cell>
          <cell r="B2817" t="str">
            <v>0200</v>
          </cell>
          <cell r="C2817">
            <v>475002</v>
          </cell>
          <cell r="D2817">
            <v>41426</v>
          </cell>
          <cell r="E2817">
            <v>0</v>
          </cell>
          <cell r="F2817">
            <v>0</v>
          </cell>
          <cell r="G2817">
            <v>510897</v>
          </cell>
          <cell r="H2817">
            <v>0</v>
          </cell>
          <cell r="I2817">
            <v>0</v>
          </cell>
        </row>
        <row r="2818">
          <cell r="A2818" t="str">
            <v>0260|439101</v>
          </cell>
          <cell r="B2818" t="str">
            <v>0260</v>
          </cell>
          <cell r="C2818">
            <v>439101</v>
          </cell>
          <cell r="D2818">
            <v>41426</v>
          </cell>
          <cell r="E2818">
            <v>0</v>
          </cell>
          <cell r="F2818">
            <v>0</v>
          </cell>
          <cell r="G2818">
            <v>2000000</v>
          </cell>
          <cell r="H2818">
            <v>0</v>
          </cell>
          <cell r="I2818">
            <v>0</v>
          </cell>
        </row>
        <row r="2819">
          <cell r="A2819" t="str">
            <v>0310|476223</v>
          </cell>
          <cell r="B2819" t="str">
            <v>0310</v>
          </cell>
          <cell r="C2819">
            <v>476223</v>
          </cell>
          <cell r="D2819">
            <v>41426</v>
          </cell>
          <cell r="E2819">
            <v>0</v>
          </cell>
          <cell r="F2819">
            <v>0</v>
          </cell>
          <cell r="G2819">
            <v>1600000</v>
          </cell>
          <cell r="H2819">
            <v>0</v>
          </cell>
          <cell r="I2819">
            <v>0</v>
          </cell>
        </row>
        <row r="2820">
          <cell r="A2820" t="str">
            <v>0310|439100</v>
          </cell>
          <cell r="B2820" t="str">
            <v>0310</v>
          </cell>
          <cell r="C2820">
            <v>439100</v>
          </cell>
          <cell r="D2820">
            <v>41426</v>
          </cell>
          <cell r="E2820">
            <v>0</v>
          </cell>
          <cell r="F2820">
            <v>0</v>
          </cell>
          <cell r="G2820">
            <v>2000000</v>
          </cell>
          <cell r="H2820">
            <v>0</v>
          </cell>
          <cell r="I2820">
            <v>0</v>
          </cell>
        </row>
        <row r="2821">
          <cell r="A2821" t="str">
            <v>0530|449060</v>
          </cell>
          <cell r="B2821" t="str">
            <v>0530</v>
          </cell>
          <cell r="C2821">
            <v>449060</v>
          </cell>
          <cell r="D2821">
            <v>41426</v>
          </cell>
          <cell r="E2821">
            <v>0</v>
          </cell>
          <cell r="F2821">
            <v>0</v>
          </cell>
          <cell r="G2821">
            <v>19286</v>
          </cell>
          <cell r="H2821">
            <v>0</v>
          </cell>
          <cell r="I2821">
            <v>0</v>
          </cell>
        </row>
        <row r="2822">
          <cell r="A2822" t="str">
            <v>1200|246006</v>
          </cell>
          <cell r="B2822" t="str">
            <v>1200</v>
          </cell>
          <cell r="C2822">
            <v>246006</v>
          </cell>
          <cell r="D2822">
            <v>41426</v>
          </cell>
          <cell r="E2822">
            <v>0</v>
          </cell>
          <cell r="F2822">
            <v>0</v>
          </cell>
          <cell r="G2822">
            <v>5860100</v>
          </cell>
          <cell r="H2822">
            <v>0</v>
          </cell>
          <cell r="I2822">
            <v>0</v>
          </cell>
        </row>
        <row r="2823">
          <cell r="A2823" t="str">
            <v>1210|449050</v>
          </cell>
          <cell r="B2823" t="str">
            <v>1210</v>
          </cell>
          <cell r="C2823">
            <v>449050</v>
          </cell>
          <cell r="D2823">
            <v>41426</v>
          </cell>
          <cell r="E2823">
            <v>0</v>
          </cell>
          <cell r="F2823">
            <v>0</v>
          </cell>
          <cell r="G2823">
            <v>65099348</v>
          </cell>
          <cell r="H2823">
            <v>0</v>
          </cell>
          <cell r="I2823">
            <v>0</v>
          </cell>
        </row>
        <row r="2824">
          <cell r="A2824" t="str">
            <v>1600|405252</v>
          </cell>
          <cell r="B2824" t="str">
            <v>1600</v>
          </cell>
          <cell r="C2824">
            <v>405252</v>
          </cell>
          <cell r="D2824">
            <v>41426</v>
          </cell>
          <cell r="E2824">
            <v>0</v>
          </cell>
          <cell r="F2824">
            <v>0</v>
          </cell>
          <cell r="G2824">
            <v>30153</v>
          </cell>
          <cell r="H2824">
            <v>0</v>
          </cell>
          <cell r="I2824">
            <v>0</v>
          </cell>
        </row>
        <row r="2825">
          <cell r="A2825" t="str">
            <v>2300|475003</v>
          </cell>
          <cell r="B2825" t="str">
            <v>2300</v>
          </cell>
          <cell r="C2825">
            <v>475003</v>
          </cell>
          <cell r="D2825">
            <v>41426</v>
          </cell>
          <cell r="E2825">
            <v>0</v>
          </cell>
          <cell r="F2825">
            <v>0</v>
          </cell>
          <cell r="G2825">
            <v>109206</v>
          </cell>
          <cell r="H2825">
            <v>0</v>
          </cell>
          <cell r="I2825">
            <v>0</v>
          </cell>
        </row>
        <row r="2826">
          <cell r="A2826" t="str">
            <v>2500|449050</v>
          </cell>
          <cell r="B2826" t="str">
            <v>2500</v>
          </cell>
          <cell r="C2826">
            <v>449050</v>
          </cell>
          <cell r="D2826">
            <v>41426</v>
          </cell>
          <cell r="E2826">
            <v>0</v>
          </cell>
          <cell r="F2826">
            <v>0</v>
          </cell>
          <cell r="G2826">
            <v>987274</v>
          </cell>
          <cell r="H2826">
            <v>0</v>
          </cell>
          <cell r="I2826">
            <v>0</v>
          </cell>
        </row>
        <row r="2827">
          <cell r="A2827" t="str">
            <v>3200|447021</v>
          </cell>
          <cell r="B2827" t="str">
            <v>3200</v>
          </cell>
          <cell r="C2827">
            <v>447021</v>
          </cell>
          <cell r="D2827">
            <v>41426</v>
          </cell>
          <cell r="E2827">
            <v>74521</v>
          </cell>
          <cell r="F2827">
            <v>37261</v>
          </cell>
          <cell r="G2827">
            <v>5463</v>
          </cell>
          <cell r="H2827">
            <v>6211</v>
          </cell>
          <cell r="I2827">
            <v>750</v>
          </cell>
        </row>
        <row r="2828">
          <cell r="A2828" t="str">
            <v>3220|477450</v>
          </cell>
          <cell r="B2828" t="str">
            <v>3220</v>
          </cell>
          <cell r="C2828">
            <v>477450</v>
          </cell>
          <cell r="D2828">
            <v>41426</v>
          </cell>
          <cell r="E2828">
            <v>0</v>
          </cell>
          <cell r="F2828">
            <v>0</v>
          </cell>
          <cell r="G2828">
            <v>1785000</v>
          </cell>
          <cell r="H2828">
            <v>0</v>
          </cell>
          <cell r="I2828">
            <v>0</v>
          </cell>
        </row>
        <row r="2829">
          <cell r="A2829" t="str">
            <v>3310|439013</v>
          </cell>
          <cell r="B2829" t="str">
            <v>3310</v>
          </cell>
          <cell r="C2829">
            <v>439013</v>
          </cell>
          <cell r="D2829">
            <v>41426</v>
          </cell>
          <cell r="E2829">
            <v>0</v>
          </cell>
          <cell r="F2829">
            <v>0</v>
          </cell>
          <cell r="G2829">
            <v>370360200</v>
          </cell>
          <cell r="H2829">
            <v>0</v>
          </cell>
          <cell r="I2829">
            <v>0</v>
          </cell>
        </row>
        <row r="2830">
          <cell r="A2830" t="str">
            <v>3320|473120</v>
          </cell>
          <cell r="B2830" t="str">
            <v>3320</v>
          </cell>
          <cell r="C2830">
            <v>473120</v>
          </cell>
          <cell r="D2830">
            <v>41426</v>
          </cell>
          <cell r="E2830">
            <v>0</v>
          </cell>
          <cell r="F2830">
            <v>0</v>
          </cell>
          <cell r="G2830">
            <v>1086534</v>
          </cell>
          <cell r="H2830">
            <v>0</v>
          </cell>
          <cell r="I2830">
            <v>0</v>
          </cell>
        </row>
        <row r="2831">
          <cell r="A2831" t="str">
            <v>3460|246006</v>
          </cell>
          <cell r="B2831" t="str">
            <v>3460</v>
          </cell>
          <cell r="C2831">
            <v>246006</v>
          </cell>
          <cell r="D2831">
            <v>41426</v>
          </cell>
          <cell r="E2831">
            <v>0</v>
          </cell>
          <cell r="F2831">
            <v>0</v>
          </cell>
          <cell r="G2831">
            <v>689656</v>
          </cell>
          <cell r="H2831">
            <v>0</v>
          </cell>
          <cell r="I2831">
            <v>0</v>
          </cell>
        </row>
        <row r="2832">
          <cell r="A2832" t="str">
            <v>3490|246006</v>
          </cell>
          <cell r="B2832" t="str">
            <v>3490</v>
          </cell>
          <cell r="C2832">
            <v>246006</v>
          </cell>
          <cell r="D2832">
            <v>41426</v>
          </cell>
          <cell r="E2832">
            <v>0</v>
          </cell>
          <cell r="F2832">
            <v>0</v>
          </cell>
          <cell r="G2832">
            <v>229885</v>
          </cell>
          <cell r="H2832">
            <v>0</v>
          </cell>
          <cell r="I2832">
            <v>0</v>
          </cell>
        </row>
        <row r="2833">
          <cell r="A2833" t="str">
            <v>5200|246006</v>
          </cell>
          <cell r="B2833" t="str">
            <v>5200</v>
          </cell>
          <cell r="C2833">
            <v>246006</v>
          </cell>
          <cell r="D2833">
            <v>41426</v>
          </cell>
          <cell r="E2833">
            <v>12000000</v>
          </cell>
          <cell r="F2833">
            <v>12000000</v>
          </cell>
          <cell r="G2833">
            <v>2500000</v>
          </cell>
          <cell r="H2833">
            <v>12000000</v>
          </cell>
          <cell r="I2833">
            <v>0</v>
          </cell>
        </row>
        <row r="2834">
          <cell r="A2834" t="str">
            <v>5200|473000</v>
          </cell>
          <cell r="B2834" t="str">
            <v>5200</v>
          </cell>
          <cell r="C2834">
            <v>473000</v>
          </cell>
          <cell r="D2834">
            <v>41426</v>
          </cell>
          <cell r="E2834">
            <v>0</v>
          </cell>
          <cell r="F2834">
            <v>0</v>
          </cell>
          <cell r="G2834">
            <v>14742</v>
          </cell>
          <cell r="H2834">
            <v>0</v>
          </cell>
          <cell r="I2834">
            <v>0</v>
          </cell>
        </row>
        <row r="2835">
          <cell r="A2835" t="str">
            <v>5200|406000</v>
          </cell>
          <cell r="B2835" t="str">
            <v>5200</v>
          </cell>
          <cell r="C2835">
            <v>406000</v>
          </cell>
          <cell r="D2835">
            <v>41426</v>
          </cell>
          <cell r="E2835">
            <v>66000000</v>
          </cell>
          <cell r="F2835">
            <v>33000000</v>
          </cell>
          <cell r="G2835">
            <v>33275331</v>
          </cell>
          <cell r="H2835">
            <v>5500000</v>
          </cell>
          <cell r="I2835">
            <v>0</v>
          </cell>
        </row>
        <row r="2836">
          <cell r="A2836" t="str">
            <v>5500|448001</v>
          </cell>
          <cell r="B2836" t="str">
            <v>5500</v>
          </cell>
          <cell r="C2836">
            <v>448001</v>
          </cell>
          <cell r="D2836">
            <v>41426</v>
          </cell>
          <cell r="E2836">
            <v>0</v>
          </cell>
          <cell r="F2836">
            <v>0</v>
          </cell>
          <cell r="G2836">
            <v>380000</v>
          </cell>
          <cell r="H2836">
            <v>0</v>
          </cell>
          <cell r="I2836">
            <v>0</v>
          </cell>
        </row>
        <row r="2837">
          <cell r="A2837" t="str">
            <v>6326|431002</v>
          </cell>
          <cell r="B2837" t="str">
            <v>6326</v>
          </cell>
          <cell r="C2837">
            <v>431002</v>
          </cell>
          <cell r="D2837">
            <v>41426</v>
          </cell>
          <cell r="E2837">
            <v>0</v>
          </cell>
          <cell r="F2837">
            <v>0</v>
          </cell>
          <cell r="G2837">
            <v>236376</v>
          </cell>
          <cell r="H2837">
            <v>0</v>
          </cell>
          <cell r="I2837">
            <v>0</v>
          </cell>
        </row>
        <row r="2838">
          <cell r="A2838" t="str">
            <v>H160|439203</v>
          </cell>
          <cell r="B2838" t="str">
            <v>H160</v>
          </cell>
          <cell r="C2838">
            <v>439203</v>
          </cell>
          <cell r="D2838">
            <v>41426</v>
          </cell>
          <cell r="E2838">
            <v>0</v>
          </cell>
          <cell r="F2838">
            <v>0</v>
          </cell>
          <cell r="G2838">
            <v>2279103</v>
          </cell>
          <cell r="H2838">
            <v>0</v>
          </cell>
          <cell r="I2838">
            <v>0</v>
          </cell>
        </row>
        <row r="2839">
          <cell r="A2839" t="str">
            <v>0510|477300</v>
          </cell>
          <cell r="B2839" t="str">
            <v>0510</v>
          </cell>
          <cell r="C2839">
            <v>477300</v>
          </cell>
          <cell r="D2839">
            <v>41426</v>
          </cell>
          <cell r="E2839">
            <v>6200000</v>
          </cell>
          <cell r="F2839">
            <v>3100000</v>
          </cell>
          <cell r="G2839">
            <v>0</v>
          </cell>
          <cell r="H2839">
            <v>516667</v>
          </cell>
          <cell r="I2839">
            <v>0</v>
          </cell>
        </row>
        <row r="2840">
          <cell r="A2840" t="str">
            <v>0520|477310</v>
          </cell>
          <cell r="B2840" t="str">
            <v>0520</v>
          </cell>
          <cell r="C2840">
            <v>477310</v>
          </cell>
          <cell r="D2840">
            <v>41426</v>
          </cell>
          <cell r="E2840">
            <v>30000000</v>
          </cell>
          <cell r="F2840">
            <v>15000000</v>
          </cell>
          <cell r="G2840">
            <v>0</v>
          </cell>
          <cell r="H2840">
            <v>2500000</v>
          </cell>
          <cell r="I2840">
            <v>0</v>
          </cell>
        </row>
        <row r="2841">
          <cell r="A2841" t="str">
            <v>3300|477300</v>
          </cell>
          <cell r="B2841" t="str">
            <v>3300</v>
          </cell>
          <cell r="C2841">
            <v>477300</v>
          </cell>
          <cell r="D2841">
            <v>41426</v>
          </cell>
          <cell r="E2841">
            <v>757700000</v>
          </cell>
          <cell r="F2841">
            <v>378850000</v>
          </cell>
          <cell r="G2841">
            <v>528259780</v>
          </cell>
          <cell r="H2841">
            <v>63141667</v>
          </cell>
          <cell r="I2841">
            <v>528259780</v>
          </cell>
        </row>
        <row r="2842">
          <cell r="A2842" t="str">
            <v>3310|477300</v>
          </cell>
          <cell r="B2842" t="str">
            <v>3310</v>
          </cell>
          <cell r="C2842">
            <v>477300</v>
          </cell>
          <cell r="D2842">
            <v>41426</v>
          </cell>
          <cell r="E2842">
            <v>705000000</v>
          </cell>
          <cell r="F2842">
            <v>352500000</v>
          </cell>
          <cell r="G2842">
            <v>9000000</v>
          </cell>
          <cell r="H2842">
            <v>58750000</v>
          </cell>
          <cell r="I2842">
            <v>0</v>
          </cell>
        </row>
        <row r="2843">
          <cell r="A2843" t="str">
            <v>3430|477400</v>
          </cell>
          <cell r="B2843" t="str">
            <v>3430</v>
          </cell>
          <cell r="C2843">
            <v>477400</v>
          </cell>
          <cell r="D2843">
            <v>41426</v>
          </cell>
          <cell r="E2843">
            <v>15000000</v>
          </cell>
          <cell r="F2843">
            <v>7500000</v>
          </cell>
          <cell r="G2843">
            <v>0</v>
          </cell>
          <cell r="H2843">
            <v>1250000</v>
          </cell>
          <cell r="I2843">
            <v>0</v>
          </cell>
        </row>
        <row r="2844">
          <cell r="A2844" t="str">
            <v>3460|477300</v>
          </cell>
          <cell r="B2844" t="str">
            <v>3460</v>
          </cell>
          <cell r="C2844">
            <v>477300</v>
          </cell>
          <cell r="D2844">
            <v>41426</v>
          </cell>
          <cell r="E2844">
            <v>5000000</v>
          </cell>
          <cell r="F2844">
            <v>2500000</v>
          </cell>
          <cell r="G2844">
            <v>0</v>
          </cell>
          <cell r="H2844">
            <v>416667</v>
          </cell>
          <cell r="I2844">
            <v>0</v>
          </cell>
        </row>
        <row r="2845">
          <cell r="A2845" t="str">
            <v>3460|449036</v>
          </cell>
          <cell r="B2845" t="str">
            <v>3460</v>
          </cell>
          <cell r="C2845">
            <v>449036</v>
          </cell>
          <cell r="D2845">
            <v>41426</v>
          </cell>
          <cell r="E2845">
            <v>30000000</v>
          </cell>
          <cell r="F2845">
            <v>15000000</v>
          </cell>
          <cell r="G2845">
            <v>0</v>
          </cell>
          <cell r="H2845">
            <v>2500000</v>
          </cell>
          <cell r="I2845">
            <v>0</v>
          </cell>
        </row>
        <row r="2846">
          <cell r="A2846" t="str">
            <v>0100|472000</v>
          </cell>
          <cell r="B2846" t="str">
            <v>0100</v>
          </cell>
          <cell r="C2846">
            <v>472000</v>
          </cell>
          <cell r="D2846">
            <v>41426</v>
          </cell>
          <cell r="E2846">
            <v>5500000</v>
          </cell>
          <cell r="F2846">
            <v>2750000</v>
          </cell>
          <cell r="G2846">
            <v>724432</v>
          </cell>
          <cell r="H2846">
            <v>458333</v>
          </cell>
          <cell r="I2846">
            <v>0</v>
          </cell>
        </row>
        <row r="2847">
          <cell r="A2847" t="str">
            <v>0100|434013</v>
          </cell>
          <cell r="B2847" t="str">
            <v>0100</v>
          </cell>
          <cell r="C2847">
            <v>434013</v>
          </cell>
          <cell r="D2847">
            <v>41426</v>
          </cell>
          <cell r="E2847">
            <v>0</v>
          </cell>
          <cell r="F2847">
            <v>0</v>
          </cell>
          <cell r="G2847">
            <v>7500804</v>
          </cell>
          <cell r="H2847">
            <v>0</v>
          </cell>
          <cell r="I2847">
            <v>1200976</v>
          </cell>
        </row>
        <row r="2848">
          <cell r="A2848" t="str">
            <v>1100|434013</v>
          </cell>
          <cell r="B2848" t="str">
            <v>1100</v>
          </cell>
          <cell r="C2848">
            <v>434013</v>
          </cell>
          <cell r="D2848">
            <v>41426</v>
          </cell>
          <cell r="E2848">
            <v>0</v>
          </cell>
          <cell r="F2848">
            <v>0</v>
          </cell>
          <cell r="G2848">
            <v>3750402</v>
          </cell>
          <cell r="H2848">
            <v>0</v>
          </cell>
          <cell r="I2848">
            <v>600488</v>
          </cell>
        </row>
        <row r="2849">
          <cell r="A2849" t="str">
            <v>1100|446003</v>
          </cell>
          <cell r="B2849" t="str">
            <v>1100</v>
          </cell>
          <cell r="C2849">
            <v>446003</v>
          </cell>
          <cell r="D2849">
            <v>41426</v>
          </cell>
          <cell r="E2849">
            <v>0</v>
          </cell>
          <cell r="F2849">
            <v>0</v>
          </cell>
          <cell r="G2849">
            <v>1200000</v>
          </cell>
          <cell r="H2849">
            <v>0</v>
          </cell>
          <cell r="I2849">
            <v>200000</v>
          </cell>
        </row>
        <row r="2850">
          <cell r="A2850" t="str">
            <v>0100|449040</v>
          </cell>
          <cell r="B2850" t="str">
            <v>0100</v>
          </cell>
          <cell r="C2850">
            <v>449040</v>
          </cell>
          <cell r="D2850">
            <v>41426</v>
          </cell>
          <cell r="E2850">
            <v>55288071</v>
          </cell>
          <cell r="F2850">
            <v>27644036</v>
          </cell>
          <cell r="G2850">
            <v>98155109</v>
          </cell>
          <cell r="H2850">
            <v>4607340</v>
          </cell>
          <cell r="I2850">
            <v>9518400</v>
          </cell>
        </row>
        <row r="2851">
          <cell r="A2851" t="str">
            <v>0100|451000</v>
          </cell>
          <cell r="B2851" t="str">
            <v>0100</v>
          </cell>
          <cell r="C2851">
            <v>451000</v>
          </cell>
          <cell r="D2851">
            <v>41426</v>
          </cell>
          <cell r="E2851">
            <v>83921</v>
          </cell>
          <cell r="F2851">
            <v>41961</v>
          </cell>
          <cell r="G2851">
            <v>25300000</v>
          </cell>
          <cell r="H2851">
            <v>6994</v>
          </cell>
          <cell r="I2851">
            <v>0</v>
          </cell>
        </row>
        <row r="2852">
          <cell r="A2852" t="str">
            <v>0100|459000</v>
          </cell>
          <cell r="B2852" t="str">
            <v>0100</v>
          </cell>
          <cell r="C2852">
            <v>459000</v>
          </cell>
          <cell r="D2852">
            <v>41426</v>
          </cell>
          <cell r="E2852">
            <v>18000000</v>
          </cell>
          <cell r="F2852">
            <v>9000000</v>
          </cell>
          <cell r="G2852">
            <v>0</v>
          </cell>
          <cell r="H2852">
            <v>1500000</v>
          </cell>
          <cell r="I2852">
            <v>0</v>
          </cell>
        </row>
        <row r="2853">
          <cell r="A2853" t="str">
            <v>0100|476000</v>
          </cell>
          <cell r="B2853" t="str">
            <v>0100</v>
          </cell>
          <cell r="C2853">
            <v>476000</v>
          </cell>
          <cell r="D2853">
            <v>41426</v>
          </cell>
          <cell r="E2853">
            <v>15792861</v>
          </cell>
          <cell r="F2853">
            <v>7896431</v>
          </cell>
          <cell r="G2853">
            <v>2368750</v>
          </cell>
          <cell r="H2853">
            <v>1316072</v>
          </cell>
          <cell r="I2853">
            <v>1929750</v>
          </cell>
        </row>
        <row r="2854">
          <cell r="A2854" t="str">
            <v>0100|476220</v>
          </cell>
          <cell r="B2854" t="str">
            <v>0100</v>
          </cell>
          <cell r="C2854">
            <v>476220</v>
          </cell>
          <cell r="D2854">
            <v>41426</v>
          </cell>
          <cell r="E2854">
            <v>24047235</v>
          </cell>
          <cell r="F2854">
            <v>12023618</v>
          </cell>
          <cell r="G2854">
            <v>77671736</v>
          </cell>
          <cell r="H2854">
            <v>2003937</v>
          </cell>
          <cell r="I2854">
            <v>22428559</v>
          </cell>
        </row>
        <row r="2855">
          <cell r="A2855" t="str">
            <v>0100|477001</v>
          </cell>
          <cell r="B2855" t="str">
            <v>0100</v>
          </cell>
          <cell r="C2855">
            <v>477001</v>
          </cell>
          <cell r="D2855">
            <v>41426</v>
          </cell>
          <cell r="E2855">
            <v>650000000</v>
          </cell>
          <cell r="F2855">
            <v>325000000</v>
          </cell>
          <cell r="G2855">
            <v>0</v>
          </cell>
          <cell r="H2855">
            <v>54166667</v>
          </cell>
          <cell r="I2855">
            <v>0</v>
          </cell>
        </row>
        <row r="2856">
          <cell r="A2856" t="str">
            <v>0100|477100</v>
          </cell>
          <cell r="B2856" t="str">
            <v>0100</v>
          </cell>
          <cell r="C2856">
            <v>477100</v>
          </cell>
          <cell r="D2856">
            <v>41426</v>
          </cell>
          <cell r="E2856">
            <v>50000000</v>
          </cell>
          <cell r="F2856">
            <v>25000000</v>
          </cell>
          <cell r="G2856">
            <v>2612961</v>
          </cell>
          <cell r="H2856">
            <v>4166667</v>
          </cell>
          <cell r="I2856">
            <v>1213643</v>
          </cell>
        </row>
        <row r="2857">
          <cell r="A2857" t="str">
            <v>0100|477300</v>
          </cell>
          <cell r="B2857" t="str">
            <v>0100</v>
          </cell>
          <cell r="C2857">
            <v>477300</v>
          </cell>
          <cell r="D2857">
            <v>41426</v>
          </cell>
          <cell r="E2857">
            <v>250000000</v>
          </cell>
          <cell r="F2857">
            <v>125000000</v>
          </cell>
          <cell r="G2857">
            <v>0</v>
          </cell>
          <cell r="H2857">
            <v>20833333</v>
          </cell>
          <cell r="I2857">
            <v>0</v>
          </cell>
        </row>
        <row r="2858">
          <cell r="A2858" t="str">
            <v>0100|477310</v>
          </cell>
          <cell r="B2858" t="str">
            <v>0100</v>
          </cell>
          <cell r="C2858">
            <v>477310</v>
          </cell>
          <cell r="D2858">
            <v>41426</v>
          </cell>
          <cell r="E2858">
            <v>250000000</v>
          </cell>
          <cell r="F2858">
            <v>125000000</v>
          </cell>
          <cell r="G2858">
            <v>0</v>
          </cell>
          <cell r="H2858">
            <v>20833333</v>
          </cell>
          <cell r="I2858">
            <v>0</v>
          </cell>
        </row>
        <row r="2859">
          <cell r="A2859" t="str">
            <v>0100|477350</v>
          </cell>
          <cell r="B2859" t="str">
            <v>0100</v>
          </cell>
          <cell r="C2859">
            <v>477350</v>
          </cell>
          <cell r="D2859">
            <v>41426</v>
          </cell>
          <cell r="E2859">
            <v>100000000</v>
          </cell>
          <cell r="F2859">
            <v>50000000</v>
          </cell>
          <cell r="G2859">
            <v>0</v>
          </cell>
          <cell r="H2859">
            <v>8333333</v>
          </cell>
          <cell r="I2859">
            <v>0</v>
          </cell>
        </row>
        <row r="2860">
          <cell r="A2860" t="str">
            <v>0100|477450</v>
          </cell>
          <cell r="B2860" t="str">
            <v>0100</v>
          </cell>
          <cell r="C2860">
            <v>477450</v>
          </cell>
          <cell r="D2860">
            <v>41426</v>
          </cell>
          <cell r="E2860">
            <v>343000000</v>
          </cell>
          <cell r="F2860">
            <v>171500000</v>
          </cell>
          <cell r="G2860">
            <v>210387300</v>
          </cell>
          <cell r="H2860">
            <v>28583333</v>
          </cell>
          <cell r="I2860">
            <v>210387300</v>
          </cell>
        </row>
        <row r="2861">
          <cell r="A2861" t="str">
            <v>0100|477410</v>
          </cell>
          <cell r="B2861" t="str">
            <v>0100</v>
          </cell>
          <cell r="C2861">
            <v>477410</v>
          </cell>
          <cell r="D2861">
            <v>41426</v>
          </cell>
          <cell r="E2861">
            <v>1000000000</v>
          </cell>
          <cell r="F2861">
            <v>500000000</v>
          </cell>
          <cell r="G2861">
            <v>0</v>
          </cell>
          <cell r="H2861">
            <v>83333333</v>
          </cell>
          <cell r="I2861">
            <v>0</v>
          </cell>
        </row>
        <row r="2862">
          <cell r="A2862" t="str">
            <v>0100|477420</v>
          </cell>
          <cell r="B2862" t="str">
            <v>0100</v>
          </cell>
          <cell r="C2862">
            <v>477420</v>
          </cell>
          <cell r="D2862">
            <v>41426</v>
          </cell>
          <cell r="E2862">
            <v>200000000</v>
          </cell>
          <cell r="F2862">
            <v>100000000</v>
          </cell>
          <cell r="G2862">
            <v>-28027430</v>
          </cell>
          <cell r="H2862">
            <v>16666667</v>
          </cell>
          <cell r="I2862">
            <v>-36837000</v>
          </cell>
        </row>
        <row r="2863">
          <cell r="A2863" t="str">
            <v>0100|435003</v>
          </cell>
          <cell r="B2863" t="str">
            <v>0100</v>
          </cell>
          <cell r="C2863">
            <v>435003</v>
          </cell>
          <cell r="D2863">
            <v>41426</v>
          </cell>
          <cell r="E2863">
            <v>530949430</v>
          </cell>
          <cell r="F2863">
            <v>265474715</v>
          </cell>
          <cell r="G2863">
            <v>44132500</v>
          </cell>
          <cell r="H2863">
            <v>44245786</v>
          </cell>
          <cell r="I2863">
            <v>0</v>
          </cell>
        </row>
        <row r="2864">
          <cell r="A2864" t="str">
            <v>0100|449011</v>
          </cell>
          <cell r="B2864" t="str">
            <v>0100</v>
          </cell>
          <cell r="C2864">
            <v>449011</v>
          </cell>
          <cell r="D2864">
            <v>41426</v>
          </cell>
          <cell r="E2864">
            <v>75000000</v>
          </cell>
          <cell r="F2864">
            <v>37500000</v>
          </cell>
          <cell r="G2864">
            <v>-147728867</v>
          </cell>
          <cell r="H2864">
            <v>6250000</v>
          </cell>
          <cell r="I2864">
            <v>-147728867</v>
          </cell>
        </row>
        <row r="2865">
          <cell r="A2865" t="str">
            <v>0100|470001</v>
          </cell>
          <cell r="B2865" t="str">
            <v>0100</v>
          </cell>
          <cell r="C2865">
            <v>470001</v>
          </cell>
          <cell r="D2865">
            <v>41426</v>
          </cell>
          <cell r="E2865">
            <v>547800000</v>
          </cell>
          <cell r="F2865">
            <v>273900000</v>
          </cell>
          <cell r="G2865">
            <v>273900000</v>
          </cell>
          <cell r="H2865">
            <v>45650000</v>
          </cell>
          <cell r="I2865">
            <v>45650000</v>
          </cell>
        </row>
        <row r="2866">
          <cell r="A2866" t="str">
            <v>0100|448001</v>
          </cell>
          <cell r="B2866" t="str">
            <v>0100</v>
          </cell>
          <cell r="C2866">
            <v>448001</v>
          </cell>
          <cell r="D2866">
            <v>41426</v>
          </cell>
          <cell r="E2866">
            <v>0</v>
          </cell>
          <cell r="F2866">
            <v>0</v>
          </cell>
          <cell r="G2866">
            <v>380000</v>
          </cell>
          <cell r="H2866">
            <v>0</v>
          </cell>
          <cell r="I2866">
            <v>0</v>
          </cell>
        </row>
        <row r="2867">
          <cell r="A2867" t="str">
            <v>1100|449032</v>
          </cell>
          <cell r="B2867" t="str">
            <v>1100</v>
          </cell>
          <cell r="C2867">
            <v>449032</v>
          </cell>
          <cell r="D2867">
            <v>41426</v>
          </cell>
          <cell r="E2867">
            <v>4647685</v>
          </cell>
          <cell r="F2867">
            <v>2323843</v>
          </cell>
          <cell r="G2867">
            <v>11500000</v>
          </cell>
          <cell r="H2867">
            <v>387308</v>
          </cell>
          <cell r="I2867">
            <v>500000</v>
          </cell>
        </row>
        <row r="2868">
          <cell r="A2868" t="str">
            <v>1100|473000</v>
          </cell>
          <cell r="B2868" t="str">
            <v>1100</v>
          </cell>
          <cell r="C2868">
            <v>473000</v>
          </cell>
          <cell r="D2868">
            <v>41426</v>
          </cell>
          <cell r="E2868">
            <v>656116</v>
          </cell>
          <cell r="F2868">
            <v>328058</v>
          </cell>
          <cell r="G2868">
            <v>66000</v>
          </cell>
          <cell r="H2868">
            <v>54676</v>
          </cell>
          <cell r="I2868">
            <v>0</v>
          </cell>
        </row>
        <row r="2869">
          <cell r="A2869" t="str">
            <v>1100|475003</v>
          </cell>
          <cell r="B2869" t="str">
            <v>1100</v>
          </cell>
          <cell r="C2869">
            <v>475003</v>
          </cell>
          <cell r="D2869">
            <v>41426</v>
          </cell>
          <cell r="E2869">
            <v>146833</v>
          </cell>
          <cell r="F2869">
            <v>73417</v>
          </cell>
          <cell r="G2869">
            <v>2180000</v>
          </cell>
          <cell r="H2869">
            <v>12237</v>
          </cell>
          <cell r="I2869">
            <v>0</v>
          </cell>
        </row>
        <row r="2870">
          <cell r="A2870" t="str">
            <v>1100|475006</v>
          </cell>
          <cell r="B2870" t="str">
            <v>1100</v>
          </cell>
          <cell r="C2870">
            <v>475006</v>
          </cell>
          <cell r="D2870">
            <v>41426</v>
          </cell>
          <cell r="E2870">
            <v>15909410</v>
          </cell>
          <cell r="F2870">
            <v>7954705</v>
          </cell>
          <cell r="G2870">
            <v>5530963</v>
          </cell>
          <cell r="H2870">
            <v>1325784</v>
          </cell>
          <cell r="I2870">
            <v>921828</v>
          </cell>
        </row>
        <row r="2871">
          <cell r="A2871" t="str">
            <v>1100|476001</v>
          </cell>
          <cell r="B2871" t="str">
            <v>1100</v>
          </cell>
          <cell r="C2871">
            <v>476001</v>
          </cell>
          <cell r="D2871">
            <v>41426</v>
          </cell>
          <cell r="E2871">
            <v>375000</v>
          </cell>
          <cell r="F2871">
            <v>187500</v>
          </cell>
          <cell r="G2871">
            <v>365707</v>
          </cell>
          <cell r="H2871">
            <v>31250</v>
          </cell>
          <cell r="I2871">
            <v>0</v>
          </cell>
        </row>
        <row r="2872">
          <cell r="A2872" t="str">
            <v>1100|476900</v>
          </cell>
          <cell r="B2872" t="str">
            <v>1100</v>
          </cell>
          <cell r="C2872">
            <v>476900</v>
          </cell>
          <cell r="D2872">
            <v>41426</v>
          </cell>
          <cell r="E2872">
            <v>2811288</v>
          </cell>
          <cell r="F2872">
            <v>1405644</v>
          </cell>
          <cell r="G2872">
            <v>1541348</v>
          </cell>
          <cell r="H2872">
            <v>234274</v>
          </cell>
          <cell r="I2872">
            <v>0</v>
          </cell>
        </row>
        <row r="2873">
          <cell r="A2873" t="str">
            <v>1100|246000</v>
          </cell>
          <cell r="B2873" t="str">
            <v>1100</v>
          </cell>
          <cell r="C2873">
            <v>246000</v>
          </cell>
          <cell r="D2873">
            <v>41426</v>
          </cell>
          <cell r="E2873">
            <v>40000000</v>
          </cell>
          <cell r="F2873">
            <v>20000000</v>
          </cell>
          <cell r="G2873">
            <v>3191500</v>
          </cell>
          <cell r="H2873">
            <v>3333333</v>
          </cell>
          <cell r="I2873">
            <v>2225000</v>
          </cell>
        </row>
        <row r="2874">
          <cell r="A2874" t="str">
            <v>1100|405200</v>
          </cell>
          <cell r="B2874" t="str">
            <v>1100</v>
          </cell>
          <cell r="C2874">
            <v>405200</v>
          </cell>
          <cell r="D2874">
            <v>41426</v>
          </cell>
          <cell r="E2874">
            <v>6000000</v>
          </cell>
          <cell r="F2874">
            <v>3000000</v>
          </cell>
          <cell r="G2874">
            <v>2887000</v>
          </cell>
          <cell r="H2874">
            <v>500000</v>
          </cell>
          <cell r="I2874">
            <v>0</v>
          </cell>
        </row>
        <row r="2875">
          <cell r="A2875" t="str">
            <v>1100|439006</v>
          </cell>
          <cell r="B2875" t="str">
            <v>1100</v>
          </cell>
          <cell r="C2875">
            <v>439006</v>
          </cell>
          <cell r="D2875">
            <v>41426</v>
          </cell>
          <cell r="E2875">
            <v>107671723</v>
          </cell>
          <cell r="F2875">
            <v>53835862</v>
          </cell>
          <cell r="G2875">
            <v>74583650</v>
          </cell>
          <cell r="H2875">
            <v>8972644</v>
          </cell>
          <cell r="I2875">
            <v>0</v>
          </cell>
        </row>
        <row r="2876">
          <cell r="A2876" t="str">
            <v>1100|448003</v>
          </cell>
          <cell r="B2876" t="str">
            <v>1100</v>
          </cell>
          <cell r="C2876">
            <v>448003</v>
          </cell>
          <cell r="D2876">
            <v>41426</v>
          </cell>
          <cell r="E2876">
            <v>9322276</v>
          </cell>
          <cell r="F2876">
            <v>4661138</v>
          </cell>
          <cell r="G2876">
            <v>2921700</v>
          </cell>
          <cell r="H2876">
            <v>776856</v>
          </cell>
          <cell r="I2876">
            <v>0</v>
          </cell>
        </row>
        <row r="2877">
          <cell r="A2877" t="str">
            <v>1100|449010</v>
          </cell>
          <cell r="B2877" t="str">
            <v>1100</v>
          </cell>
          <cell r="C2877">
            <v>449010</v>
          </cell>
          <cell r="D2877">
            <v>41426</v>
          </cell>
          <cell r="E2877">
            <v>0</v>
          </cell>
          <cell r="F2877">
            <v>0</v>
          </cell>
          <cell r="G2877">
            <v>-48304782</v>
          </cell>
          <cell r="H2877">
            <v>0</v>
          </cell>
          <cell r="I2877">
            <v>-48304782</v>
          </cell>
        </row>
        <row r="2878">
          <cell r="A2878" t="str">
            <v>0100|449050</v>
          </cell>
          <cell r="B2878" t="str">
            <v>0100</v>
          </cell>
          <cell r="C2878">
            <v>449050</v>
          </cell>
          <cell r="D2878">
            <v>41426</v>
          </cell>
          <cell r="E2878">
            <v>137000000</v>
          </cell>
          <cell r="F2878">
            <v>68500000</v>
          </cell>
          <cell r="G2878">
            <v>149605029</v>
          </cell>
          <cell r="H2878">
            <v>11416667</v>
          </cell>
          <cell r="I2878">
            <v>23773171</v>
          </cell>
        </row>
        <row r="2879">
          <cell r="A2879" t="str">
            <v>0100|449061</v>
          </cell>
          <cell r="B2879" t="str">
            <v>0100</v>
          </cell>
          <cell r="C2879">
            <v>449061</v>
          </cell>
          <cell r="D2879">
            <v>41426</v>
          </cell>
          <cell r="E2879">
            <v>8976792</v>
          </cell>
          <cell r="F2879">
            <v>4488396</v>
          </cell>
          <cell r="G2879">
            <v>5174500</v>
          </cell>
          <cell r="H2879">
            <v>748066</v>
          </cell>
          <cell r="I2879">
            <v>1070000</v>
          </cell>
        </row>
        <row r="2880">
          <cell r="A2880" t="str">
            <v>0100|471000</v>
          </cell>
          <cell r="B2880" t="str">
            <v>0100</v>
          </cell>
          <cell r="C2880">
            <v>471000</v>
          </cell>
          <cell r="D2880">
            <v>41426</v>
          </cell>
          <cell r="E2880">
            <v>21507880</v>
          </cell>
          <cell r="F2880">
            <v>10753940</v>
          </cell>
          <cell r="G2880">
            <v>3835000</v>
          </cell>
          <cell r="H2880">
            <v>1792323</v>
          </cell>
          <cell r="I2880">
            <v>-3000000</v>
          </cell>
        </row>
        <row r="2881">
          <cell r="A2881" t="str">
            <v>0100|473000</v>
          </cell>
          <cell r="B2881" t="str">
            <v>0100</v>
          </cell>
          <cell r="C2881">
            <v>473000</v>
          </cell>
          <cell r="D2881">
            <v>41426</v>
          </cell>
          <cell r="E2881">
            <v>885659</v>
          </cell>
          <cell r="F2881">
            <v>442830</v>
          </cell>
          <cell r="G2881">
            <v>42000</v>
          </cell>
          <cell r="H2881">
            <v>73805</v>
          </cell>
          <cell r="I2881">
            <v>6000</v>
          </cell>
        </row>
        <row r="2882">
          <cell r="A2882" t="str">
            <v>0100|473120</v>
          </cell>
          <cell r="B2882" t="str">
            <v>0100</v>
          </cell>
          <cell r="C2882">
            <v>473120</v>
          </cell>
          <cell r="D2882">
            <v>41426</v>
          </cell>
          <cell r="E2882">
            <v>80000000</v>
          </cell>
          <cell r="F2882">
            <v>40000000</v>
          </cell>
          <cell r="G2882">
            <v>39389442</v>
          </cell>
          <cell r="H2882">
            <v>6666667</v>
          </cell>
          <cell r="I2882">
            <v>6710204</v>
          </cell>
        </row>
        <row r="2883">
          <cell r="A2883" t="str">
            <v>0100|474100</v>
          </cell>
          <cell r="B2883" t="str">
            <v>0100</v>
          </cell>
          <cell r="C2883">
            <v>474100</v>
          </cell>
          <cell r="D2883">
            <v>41426</v>
          </cell>
          <cell r="E2883">
            <v>580000000</v>
          </cell>
          <cell r="F2883">
            <v>290000000</v>
          </cell>
          <cell r="G2883">
            <v>196775088</v>
          </cell>
          <cell r="H2883">
            <v>48333333</v>
          </cell>
          <cell r="I2883">
            <v>16407830</v>
          </cell>
        </row>
        <row r="2884">
          <cell r="A2884" t="str">
            <v>0100|474101</v>
          </cell>
          <cell r="B2884" t="str">
            <v>0100</v>
          </cell>
          <cell r="C2884">
            <v>474101</v>
          </cell>
          <cell r="D2884">
            <v>41426</v>
          </cell>
          <cell r="E2884">
            <v>13000000</v>
          </cell>
          <cell r="F2884">
            <v>6500000</v>
          </cell>
          <cell r="G2884">
            <v>-3393937</v>
          </cell>
          <cell r="H2884">
            <v>1083333</v>
          </cell>
          <cell r="I2884">
            <v>-5000000</v>
          </cell>
        </row>
        <row r="2885">
          <cell r="A2885" t="str">
            <v>0100|475004</v>
          </cell>
          <cell r="B2885" t="str">
            <v>0100</v>
          </cell>
          <cell r="C2885">
            <v>475004</v>
          </cell>
          <cell r="D2885">
            <v>41426</v>
          </cell>
          <cell r="E2885">
            <v>44610826</v>
          </cell>
          <cell r="F2885">
            <v>22305413</v>
          </cell>
          <cell r="G2885">
            <v>33275500</v>
          </cell>
          <cell r="H2885">
            <v>3717569</v>
          </cell>
          <cell r="I2885">
            <v>8162500</v>
          </cell>
        </row>
        <row r="2886">
          <cell r="A2886" t="str">
            <v>0100|475006</v>
          </cell>
          <cell r="B2886" t="str">
            <v>0100</v>
          </cell>
          <cell r="C2886">
            <v>475006</v>
          </cell>
          <cell r="D2886">
            <v>41426</v>
          </cell>
          <cell r="E2886">
            <v>26743899</v>
          </cell>
          <cell r="F2886">
            <v>13371950</v>
          </cell>
          <cell r="G2886">
            <v>14910794</v>
          </cell>
          <cell r="H2886">
            <v>2228659</v>
          </cell>
          <cell r="I2886">
            <v>2378126</v>
          </cell>
        </row>
        <row r="2887">
          <cell r="A2887" t="str">
            <v>0100|476001</v>
          </cell>
          <cell r="B2887" t="str">
            <v>0100</v>
          </cell>
          <cell r="C2887">
            <v>476001</v>
          </cell>
          <cell r="D2887">
            <v>41426</v>
          </cell>
          <cell r="E2887">
            <v>4063008</v>
          </cell>
          <cell r="F2887">
            <v>2031504</v>
          </cell>
          <cell r="G2887">
            <v>2227653</v>
          </cell>
          <cell r="H2887">
            <v>338584</v>
          </cell>
          <cell r="I2887">
            <v>0</v>
          </cell>
        </row>
        <row r="2888">
          <cell r="A2888" t="str">
            <v>0100|476002</v>
          </cell>
          <cell r="B2888" t="str">
            <v>0100</v>
          </cell>
          <cell r="C2888">
            <v>476002</v>
          </cell>
          <cell r="D2888">
            <v>41426</v>
          </cell>
          <cell r="E2888">
            <v>33756722</v>
          </cell>
          <cell r="F2888">
            <v>16878361</v>
          </cell>
          <cell r="G2888">
            <v>10669939</v>
          </cell>
          <cell r="H2888">
            <v>2813060</v>
          </cell>
          <cell r="I2888">
            <v>0</v>
          </cell>
        </row>
        <row r="2889">
          <cell r="A2889" t="str">
            <v>0100|476201</v>
          </cell>
          <cell r="B2889" t="str">
            <v>0100</v>
          </cell>
          <cell r="C2889">
            <v>476201</v>
          </cell>
          <cell r="D2889">
            <v>41426</v>
          </cell>
          <cell r="E2889">
            <v>80000000</v>
          </cell>
          <cell r="F2889">
            <v>40000000</v>
          </cell>
          <cell r="G2889">
            <v>506570250</v>
          </cell>
          <cell r="H2889">
            <v>6666667</v>
          </cell>
          <cell r="I2889">
            <v>415868000</v>
          </cell>
        </row>
        <row r="2890">
          <cell r="A2890" t="str">
            <v>0100|476900</v>
          </cell>
          <cell r="B2890" t="str">
            <v>0100</v>
          </cell>
          <cell r="C2890">
            <v>476900</v>
          </cell>
          <cell r="D2890">
            <v>41426</v>
          </cell>
          <cell r="E2890">
            <v>100225859</v>
          </cell>
          <cell r="F2890">
            <v>50112930</v>
          </cell>
          <cell r="G2890">
            <v>93938408</v>
          </cell>
          <cell r="H2890">
            <v>8352155</v>
          </cell>
          <cell r="I2890">
            <v>22497743</v>
          </cell>
        </row>
        <row r="2891">
          <cell r="A2891" t="str">
            <v>0100|476910</v>
          </cell>
          <cell r="B2891" t="str">
            <v>0100</v>
          </cell>
          <cell r="C2891">
            <v>476910</v>
          </cell>
          <cell r="D2891">
            <v>41426</v>
          </cell>
          <cell r="E2891">
            <v>28372304</v>
          </cell>
          <cell r="F2891">
            <v>14186152</v>
          </cell>
          <cell r="G2891">
            <v>24733140</v>
          </cell>
          <cell r="H2891">
            <v>2364359</v>
          </cell>
          <cell r="I2891">
            <v>0</v>
          </cell>
        </row>
        <row r="2892">
          <cell r="A2892" t="str">
            <v>0100|459005</v>
          </cell>
          <cell r="B2892" t="str">
            <v>0100</v>
          </cell>
          <cell r="C2892">
            <v>459005</v>
          </cell>
          <cell r="D2892">
            <v>41426</v>
          </cell>
          <cell r="E2892">
            <v>1444392</v>
          </cell>
          <cell r="F2892">
            <v>722196</v>
          </cell>
          <cell r="G2892">
            <v>1079526</v>
          </cell>
          <cell r="H2892">
            <v>120366</v>
          </cell>
          <cell r="I2892">
            <v>0</v>
          </cell>
        </row>
        <row r="2893">
          <cell r="A2893" t="str">
            <v>0100|246000</v>
          </cell>
          <cell r="B2893" t="str">
            <v>0100</v>
          </cell>
          <cell r="C2893">
            <v>246000</v>
          </cell>
          <cell r="D2893">
            <v>41426</v>
          </cell>
          <cell r="E2893">
            <v>12660000</v>
          </cell>
          <cell r="F2893">
            <v>6330000</v>
          </cell>
          <cell r="G2893">
            <v>3461451</v>
          </cell>
          <cell r="H2893">
            <v>1055000</v>
          </cell>
          <cell r="I2893">
            <v>0</v>
          </cell>
        </row>
        <row r="2894">
          <cell r="A2894" t="str">
            <v>0100|400040</v>
          </cell>
          <cell r="B2894" t="str">
            <v>0100</v>
          </cell>
          <cell r="C2894">
            <v>400040</v>
          </cell>
          <cell r="D2894">
            <v>41426</v>
          </cell>
          <cell r="E2894">
            <v>26375000</v>
          </cell>
          <cell r="F2894">
            <v>13187500</v>
          </cell>
          <cell r="G2894">
            <v>562095</v>
          </cell>
          <cell r="H2894">
            <v>2197917</v>
          </cell>
          <cell r="I2894">
            <v>0</v>
          </cell>
        </row>
        <row r="2895">
          <cell r="A2895" t="str">
            <v>0100|405200</v>
          </cell>
          <cell r="B2895" t="str">
            <v>0100</v>
          </cell>
          <cell r="C2895">
            <v>405200</v>
          </cell>
          <cell r="D2895">
            <v>41426</v>
          </cell>
          <cell r="E2895">
            <v>15825000</v>
          </cell>
          <cell r="F2895">
            <v>7912500</v>
          </cell>
          <cell r="G2895">
            <v>-250364</v>
          </cell>
          <cell r="H2895">
            <v>1318750</v>
          </cell>
          <cell r="I2895">
            <v>0</v>
          </cell>
        </row>
        <row r="2896">
          <cell r="A2896" t="str">
            <v>0100|420003</v>
          </cell>
          <cell r="B2896" t="str">
            <v>0100</v>
          </cell>
          <cell r="C2896">
            <v>420003</v>
          </cell>
          <cell r="D2896">
            <v>41426</v>
          </cell>
          <cell r="E2896">
            <v>1420143376</v>
          </cell>
          <cell r="F2896">
            <v>710071688</v>
          </cell>
          <cell r="G2896">
            <v>686854113</v>
          </cell>
          <cell r="H2896">
            <v>118345281</v>
          </cell>
          <cell r="I2896">
            <v>114924151</v>
          </cell>
        </row>
        <row r="2897">
          <cell r="A2897" t="str">
            <v>0100|422003</v>
          </cell>
          <cell r="B2897" t="str">
            <v>0100</v>
          </cell>
          <cell r="C2897">
            <v>422003</v>
          </cell>
          <cell r="D2897">
            <v>41426</v>
          </cell>
          <cell r="E2897">
            <v>1462647544</v>
          </cell>
          <cell r="F2897">
            <v>731323772</v>
          </cell>
          <cell r="G2897">
            <v>918518349</v>
          </cell>
          <cell r="H2897">
            <v>121887295</v>
          </cell>
          <cell r="I2897">
            <v>117353449</v>
          </cell>
        </row>
        <row r="2898">
          <cell r="A2898" t="str">
            <v>0100|439003</v>
          </cell>
          <cell r="B2898" t="str">
            <v>0100</v>
          </cell>
          <cell r="C2898">
            <v>439003</v>
          </cell>
          <cell r="D2898">
            <v>41426</v>
          </cell>
          <cell r="E2898">
            <v>78899758</v>
          </cell>
          <cell r="F2898">
            <v>39449879</v>
          </cell>
          <cell r="G2898">
            <v>40146216</v>
          </cell>
          <cell r="H2898">
            <v>6574980</v>
          </cell>
          <cell r="I2898">
            <v>6445211</v>
          </cell>
        </row>
        <row r="2899">
          <cell r="A2899" t="str">
            <v>0100|439203</v>
          </cell>
          <cell r="B2899" t="str">
            <v>0100</v>
          </cell>
          <cell r="C2899">
            <v>439203</v>
          </cell>
          <cell r="D2899">
            <v>41426</v>
          </cell>
          <cell r="E2899">
            <v>11520000</v>
          </cell>
          <cell r="F2899">
            <v>5760000</v>
          </cell>
          <cell r="G2899">
            <v>6075000</v>
          </cell>
          <cell r="H2899">
            <v>960000</v>
          </cell>
          <cell r="I2899">
            <v>950000</v>
          </cell>
        </row>
        <row r="2900">
          <cell r="A2900" t="str">
            <v>0100|440003</v>
          </cell>
          <cell r="B2900" t="str">
            <v>0100</v>
          </cell>
          <cell r="C2900">
            <v>440003</v>
          </cell>
          <cell r="D2900">
            <v>41426</v>
          </cell>
          <cell r="E2900">
            <v>33535615</v>
          </cell>
          <cell r="F2900">
            <v>16767808</v>
          </cell>
          <cell r="G2900">
            <v>19183214</v>
          </cell>
          <cell r="H2900">
            <v>2794635</v>
          </cell>
          <cell r="I2900">
            <v>3945243</v>
          </cell>
        </row>
        <row r="2901">
          <cell r="A2901" t="str">
            <v>0100|447003</v>
          </cell>
          <cell r="B2901" t="str">
            <v>0100</v>
          </cell>
          <cell r="C2901">
            <v>447003</v>
          </cell>
          <cell r="D2901">
            <v>41426</v>
          </cell>
          <cell r="E2901">
            <v>6318299</v>
          </cell>
          <cell r="F2901">
            <v>3159150</v>
          </cell>
          <cell r="G2901">
            <v>918030</v>
          </cell>
          <cell r="H2901">
            <v>526525</v>
          </cell>
          <cell r="I2901">
            <v>153005</v>
          </cell>
        </row>
        <row r="2902">
          <cell r="A2902" t="str">
            <v>0100|447013</v>
          </cell>
          <cell r="B2902" t="str">
            <v>0100</v>
          </cell>
          <cell r="C2902">
            <v>447013</v>
          </cell>
          <cell r="D2902">
            <v>41426</v>
          </cell>
          <cell r="E2902">
            <v>14889813</v>
          </cell>
          <cell r="F2902">
            <v>7444907</v>
          </cell>
          <cell r="G2902">
            <v>6290154</v>
          </cell>
          <cell r="H2902">
            <v>1240818</v>
          </cell>
          <cell r="I2902">
            <v>1048359</v>
          </cell>
        </row>
        <row r="2903">
          <cell r="A2903" t="str">
            <v>0100|447023</v>
          </cell>
          <cell r="B2903" t="str">
            <v>0100</v>
          </cell>
          <cell r="C2903">
            <v>447023</v>
          </cell>
          <cell r="D2903">
            <v>41426</v>
          </cell>
          <cell r="E2903">
            <v>522882</v>
          </cell>
          <cell r="F2903">
            <v>261441</v>
          </cell>
          <cell r="G2903">
            <v>162037</v>
          </cell>
          <cell r="H2903">
            <v>43573</v>
          </cell>
          <cell r="I2903">
            <v>27000</v>
          </cell>
        </row>
        <row r="2904">
          <cell r="A2904" t="str">
            <v>0100|448003</v>
          </cell>
          <cell r="B2904" t="str">
            <v>0100</v>
          </cell>
          <cell r="C2904">
            <v>448003</v>
          </cell>
          <cell r="D2904">
            <v>41426</v>
          </cell>
          <cell r="E2904">
            <v>23792707</v>
          </cell>
          <cell r="F2904">
            <v>11896354</v>
          </cell>
          <cell r="G2904">
            <v>6169088</v>
          </cell>
          <cell r="H2904">
            <v>1982726</v>
          </cell>
          <cell r="I2904">
            <v>2795300</v>
          </cell>
        </row>
        <row r="2905">
          <cell r="A2905" t="str">
            <v>0100|449023</v>
          </cell>
          <cell r="B2905" t="str">
            <v>0100</v>
          </cell>
          <cell r="C2905">
            <v>449023</v>
          </cell>
          <cell r="D2905">
            <v>41426</v>
          </cell>
          <cell r="E2905">
            <v>33396000</v>
          </cell>
          <cell r="F2905">
            <v>16698000</v>
          </cell>
          <cell r="G2905">
            <v>36406000</v>
          </cell>
          <cell r="H2905">
            <v>2783000</v>
          </cell>
          <cell r="I2905">
            <v>3540000</v>
          </cell>
        </row>
        <row r="2906">
          <cell r="A2906" t="str">
            <v>0100|470102</v>
          </cell>
          <cell r="B2906" t="str">
            <v>0100</v>
          </cell>
          <cell r="C2906">
            <v>470102</v>
          </cell>
          <cell r="D2906">
            <v>41426</v>
          </cell>
          <cell r="E2906">
            <v>16091475</v>
          </cell>
          <cell r="F2906">
            <v>8045738</v>
          </cell>
          <cell r="G2906">
            <v>1685247</v>
          </cell>
          <cell r="H2906">
            <v>1340957</v>
          </cell>
          <cell r="I2906">
            <v>81998</v>
          </cell>
        </row>
        <row r="2907">
          <cell r="A2907" t="str">
            <v>1100|449040</v>
          </cell>
          <cell r="B2907" t="str">
            <v>1100</v>
          </cell>
          <cell r="C2907">
            <v>449040</v>
          </cell>
          <cell r="D2907">
            <v>41426</v>
          </cell>
          <cell r="E2907">
            <v>41782395</v>
          </cell>
          <cell r="F2907">
            <v>20891198</v>
          </cell>
          <cell r="G2907">
            <v>336899689</v>
          </cell>
          <cell r="H2907">
            <v>3481867</v>
          </cell>
          <cell r="I2907">
            <v>162035087</v>
          </cell>
        </row>
        <row r="2908">
          <cell r="A2908" t="str">
            <v>1100|449050</v>
          </cell>
          <cell r="B2908" t="str">
            <v>1100</v>
          </cell>
          <cell r="C2908">
            <v>449050</v>
          </cell>
          <cell r="D2908">
            <v>41426</v>
          </cell>
          <cell r="E2908">
            <v>981555860</v>
          </cell>
          <cell r="F2908">
            <v>490777930</v>
          </cell>
          <cell r="G2908">
            <v>225484579</v>
          </cell>
          <cell r="H2908">
            <v>81796322</v>
          </cell>
          <cell r="I2908">
            <v>35577518</v>
          </cell>
        </row>
        <row r="2909">
          <cell r="A2909" t="str">
            <v>1100|449061</v>
          </cell>
          <cell r="B2909" t="str">
            <v>1100</v>
          </cell>
          <cell r="C2909">
            <v>449061</v>
          </cell>
          <cell r="D2909">
            <v>41426</v>
          </cell>
          <cell r="E2909">
            <v>12817037</v>
          </cell>
          <cell r="F2909">
            <v>6408519</v>
          </cell>
          <cell r="G2909">
            <v>4175500</v>
          </cell>
          <cell r="H2909">
            <v>1068087</v>
          </cell>
          <cell r="I2909">
            <v>376000</v>
          </cell>
        </row>
        <row r="2910">
          <cell r="A2910" t="str">
            <v>1100|471000</v>
          </cell>
          <cell r="B2910" t="str">
            <v>1100</v>
          </cell>
          <cell r="C2910">
            <v>471000</v>
          </cell>
          <cell r="D2910">
            <v>41426</v>
          </cell>
          <cell r="E2910">
            <v>3535838</v>
          </cell>
          <cell r="F2910">
            <v>1767919</v>
          </cell>
          <cell r="G2910">
            <v>2310000</v>
          </cell>
          <cell r="H2910">
            <v>294653</v>
          </cell>
          <cell r="I2910">
            <v>0</v>
          </cell>
        </row>
        <row r="2911">
          <cell r="A2911" t="str">
            <v>1100|473120</v>
          </cell>
          <cell r="B2911" t="str">
            <v>1100</v>
          </cell>
          <cell r="C2911">
            <v>473120</v>
          </cell>
          <cell r="D2911">
            <v>41426</v>
          </cell>
          <cell r="E2911">
            <v>50265360</v>
          </cell>
          <cell r="F2911">
            <v>25132680</v>
          </cell>
          <cell r="G2911">
            <v>42571922</v>
          </cell>
          <cell r="H2911">
            <v>4188780</v>
          </cell>
          <cell r="I2911">
            <v>7236037</v>
          </cell>
        </row>
        <row r="2912">
          <cell r="A2912" t="str">
            <v>1100|474100</v>
          </cell>
          <cell r="B2912" t="str">
            <v>1100</v>
          </cell>
          <cell r="C2912">
            <v>474100</v>
          </cell>
          <cell r="D2912">
            <v>41426</v>
          </cell>
          <cell r="E2912">
            <v>274173293</v>
          </cell>
          <cell r="F2912">
            <v>137086647</v>
          </cell>
          <cell r="G2912">
            <v>-14178082</v>
          </cell>
          <cell r="H2912">
            <v>22847775</v>
          </cell>
          <cell r="I2912">
            <v>-123802645</v>
          </cell>
        </row>
        <row r="2913">
          <cell r="A2913" t="str">
            <v>1100|474101</v>
          </cell>
          <cell r="B2913" t="str">
            <v>1100</v>
          </cell>
          <cell r="C2913">
            <v>474101</v>
          </cell>
          <cell r="D2913">
            <v>41426</v>
          </cell>
          <cell r="E2913">
            <v>0</v>
          </cell>
          <cell r="F2913">
            <v>0</v>
          </cell>
          <cell r="G2913">
            <v>510440</v>
          </cell>
          <cell r="H2913">
            <v>0</v>
          </cell>
          <cell r="I2913">
            <v>0</v>
          </cell>
        </row>
        <row r="2914">
          <cell r="A2914" t="str">
            <v>1100|475004</v>
          </cell>
          <cell r="B2914" t="str">
            <v>1100</v>
          </cell>
          <cell r="C2914">
            <v>475004</v>
          </cell>
          <cell r="D2914">
            <v>41426</v>
          </cell>
          <cell r="E2914">
            <v>49025199</v>
          </cell>
          <cell r="F2914">
            <v>24512600</v>
          </cell>
          <cell r="G2914">
            <v>20740467</v>
          </cell>
          <cell r="H2914">
            <v>4085434</v>
          </cell>
          <cell r="I2914">
            <v>2150000</v>
          </cell>
        </row>
        <row r="2915">
          <cell r="A2915" t="str">
            <v>1100|476000</v>
          </cell>
          <cell r="B2915" t="str">
            <v>1100</v>
          </cell>
          <cell r="C2915">
            <v>476000</v>
          </cell>
          <cell r="D2915">
            <v>41426</v>
          </cell>
          <cell r="E2915">
            <v>26703089</v>
          </cell>
          <cell r="F2915">
            <v>13351545</v>
          </cell>
          <cell r="G2915">
            <v>14013118</v>
          </cell>
          <cell r="H2915">
            <v>2225258</v>
          </cell>
          <cell r="I2915">
            <v>833750</v>
          </cell>
        </row>
        <row r="2916">
          <cell r="A2916" t="str">
            <v>1100|476002</v>
          </cell>
          <cell r="B2916" t="str">
            <v>1100</v>
          </cell>
          <cell r="C2916">
            <v>476002</v>
          </cell>
          <cell r="D2916">
            <v>41426</v>
          </cell>
          <cell r="E2916">
            <v>9373259</v>
          </cell>
          <cell r="F2916">
            <v>4686630</v>
          </cell>
          <cell r="G2916">
            <v>10641550</v>
          </cell>
          <cell r="H2916">
            <v>781105</v>
          </cell>
          <cell r="I2916">
            <v>0</v>
          </cell>
        </row>
        <row r="2917">
          <cell r="A2917" t="str">
            <v>1100|476201</v>
          </cell>
          <cell r="B2917" t="str">
            <v>1100</v>
          </cell>
          <cell r="C2917">
            <v>476201</v>
          </cell>
          <cell r="D2917">
            <v>41426</v>
          </cell>
          <cell r="E2917">
            <v>932579834</v>
          </cell>
          <cell r="F2917">
            <v>466289917</v>
          </cell>
          <cell r="G2917">
            <v>-409571250</v>
          </cell>
          <cell r="H2917">
            <v>77714986</v>
          </cell>
          <cell r="I2917">
            <v>-504930383</v>
          </cell>
        </row>
        <row r="2918">
          <cell r="A2918" t="str">
            <v>1100|476220</v>
          </cell>
          <cell r="B2918" t="str">
            <v>1100</v>
          </cell>
          <cell r="C2918">
            <v>476220</v>
          </cell>
          <cell r="D2918">
            <v>41426</v>
          </cell>
          <cell r="E2918">
            <v>81327257</v>
          </cell>
          <cell r="F2918">
            <v>40663629</v>
          </cell>
          <cell r="G2918">
            <v>51125067</v>
          </cell>
          <cell r="H2918">
            <v>6777272</v>
          </cell>
          <cell r="I2918">
            <v>9040183</v>
          </cell>
        </row>
        <row r="2919">
          <cell r="A2919" t="str">
            <v>1100|420003</v>
          </cell>
          <cell r="B2919" t="str">
            <v>1100</v>
          </cell>
          <cell r="C2919">
            <v>420003</v>
          </cell>
          <cell r="D2919">
            <v>41426</v>
          </cell>
          <cell r="E2919">
            <v>1321616824</v>
          </cell>
          <cell r="F2919">
            <v>660808412</v>
          </cell>
          <cell r="G2919">
            <v>688766529</v>
          </cell>
          <cell r="H2919">
            <v>110134735</v>
          </cell>
          <cell r="I2919">
            <v>96107446</v>
          </cell>
        </row>
        <row r="2920">
          <cell r="A2920" t="str">
            <v>1100|422003</v>
          </cell>
          <cell r="B2920" t="str">
            <v>1100</v>
          </cell>
          <cell r="C2920">
            <v>422003</v>
          </cell>
          <cell r="D2920">
            <v>41426</v>
          </cell>
          <cell r="E2920">
            <v>1170156060</v>
          </cell>
          <cell r="F2920">
            <v>585078030</v>
          </cell>
          <cell r="G2920">
            <v>742214614</v>
          </cell>
          <cell r="H2920">
            <v>97513005</v>
          </cell>
          <cell r="I2920">
            <v>108621727</v>
          </cell>
        </row>
        <row r="2921">
          <cell r="A2921" t="str">
            <v>1100|433003</v>
          </cell>
          <cell r="B2921" t="str">
            <v>1100</v>
          </cell>
          <cell r="C2921">
            <v>433003</v>
          </cell>
          <cell r="D2921">
            <v>41426</v>
          </cell>
          <cell r="E2921">
            <v>5788378</v>
          </cell>
          <cell r="F2921">
            <v>2894189</v>
          </cell>
          <cell r="G2921">
            <v>2969700</v>
          </cell>
          <cell r="H2921">
            <v>482365</v>
          </cell>
          <cell r="I2921">
            <v>494950</v>
          </cell>
        </row>
        <row r="2922">
          <cell r="A2922" t="str">
            <v>1100|435003</v>
          </cell>
          <cell r="B2922" t="str">
            <v>1100</v>
          </cell>
          <cell r="C2922">
            <v>435003</v>
          </cell>
          <cell r="D2922">
            <v>41426</v>
          </cell>
          <cell r="E2922">
            <v>599703931</v>
          </cell>
          <cell r="F2922">
            <v>299851966</v>
          </cell>
          <cell r="G2922">
            <v>742791533</v>
          </cell>
          <cell r="H2922">
            <v>49975328</v>
          </cell>
          <cell r="I2922">
            <v>3596095335</v>
          </cell>
        </row>
        <row r="2923">
          <cell r="A2923" t="str">
            <v>1100|439003</v>
          </cell>
          <cell r="B2923" t="str">
            <v>1100</v>
          </cell>
          <cell r="C2923">
            <v>439003</v>
          </cell>
          <cell r="D2923">
            <v>41426</v>
          </cell>
          <cell r="E2923">
            <v>39449879</v>
          </cell>
          <cell r="F2923">
            <v>19724940</v>
          </cell>
          <cell r="G2923">
            <v>20073108</v>
          </cell>
          <cell r="H2923">
            <v>3287490</v>
          </cell>
          <cell r="I2923">
            <v>3222605</v>
          </cell>
        </row>
        <row r="2924">
          <cell r="A2924" t="str">
            <v>1100|440003</v>
          </cell>
          <cell r="B2924" t="str">
            <v>1100</v>
          </cell>
          <cell r="C2924">
            <v>440003</v>
          </cell>
          <cell r="D2924">
            <v>41426</v>
          </cell>
          <cell r="E2924">
            <v>12242225</v>
          </cell>
          <cell r="F2924">
            <v>6121113</v>
          </cell>
          <cell r="G2924">
            <v>6894237</v>
          </cell>
          <cell r="H2924">
            <v>1020186</v>
          </cell>
          <cell r="I2924">
            <v>1417877</v>
          </cell>
        </row>
        <row r="2925">
          <cell r="A2925" t="str">
            <v>1100|447003</v>
          </cell>
          <cell r="B2925" t="str">
            <v>1100</v>
          </cell>
          <cell r="C2925">
            <v>447003</v>
          </cell>
          <cell r="D2925">
            <v>41426</v>
          </cell>
          <cell r="E2925">
            <v>2306058</v>
          </cell>
          <cell r="F2925">
            <v>1153029</v>
          </cell>
          <cell r="G2925">
            <v>320730</v>
          </cell>
          <cell r="H2925">
            <v>192171</v>
          </cell>
          <cell r="I2925">
            <v>53455</v>
          </cell>
        </row>
        <row r="2926">
          <cell r="A2926" t="str">
            <v>1100|447013</v>
          </cell>
          <cell r="B2926" t="str">
            <v>1100</v>
          </cell>
          <cell r="C2926">
            <v>447013</v>
          </cell>
          <cell r="D2926">
            <v>41426</v>
          </cell>
          <cell r="E2926">
            <v>5435548</v>
          </cell>
          <cell r="F2926">
            <v>2717774</v>
          </cell>
          <cell r="G2926">
            <v>2197578</v>
          </cell>
          <cell r="H2926">
            <v>452962</v>
          </cell>
          <cell r="I2926">
            <v>366263</v>
          </cell>
        </row>
        <row r="2927">
          <cell r="A2927" t="str">
            <v>1100|447023</v>
          </cell>
          <cell r="B2927" t="str">
            <v>1100</v>
          </cell>
          <cell r="C2927">
            <v>447023</v>
          </cell>
          <cell r="D2927">
            <v>41426</v>
          </cell>
          <cell r="E2927">
            <v>190842</v>
          </cell>
          <cell r="F2927">
            <v>95421</v>
          </cell>
          <cell r="G2927">
            <v>56662</v>
          </cell>
          <cell r="H2927">
            <v>15903</v>
          </cell>
          <cell r="I2927">
            <v>9450</v>
          </cell>
        </row>
        <row r="2928">
          <cell r="A2928" t="str">
            <v>1100|449023</v>
          </cell>
          <cell r="B2928" t="str">
            <v>1100</v>
          </cell>
          <cell r="C2928">
            <v>449023</v>
          </cell>
          <cell r="D2928">
            <v>41426</v>
          </cell>
          <cell r="E2928">
            <v>3960000</v>
          </cell>
          <cell r="F2928">
            <v>1980000</v>
          </cell>
          <cell r="G2928">
            <v>2091000</v>
          </cell>
          <cell r="H2928">
            <v>330000</v>
          </cell>
          <cell r="I2928">
            <v>323000</v>
          </cell>
        </row>
        <row r="2929">
          <cell r="A2929" t="str">
            <v>1100|470001</v>
          </cell>
          <cell r="B2929" t="str">
            <v>1100</v>
          </cell>
          <cell r="C2929">
            <v>470001</v>
          </cell>
          <cell r="D2929">
            <v>41426</v>
          </cell>
          <cell r="E2929">
            <v>429393936</v>
          </cell>
          <cell r="F2929">
            <v>214696968</v>
          </cell>
          <cell r="G2929">
            <v>250921986</v>
          </cell>
          <cell r="H2929">
            <v>35782828</v>
          </cell>
          <cell r="I2929">
            <v>72007846</v>
          </cell>
        </row>
        <row r="2930">
          <cell r="A2930" t="str">
            <v>1100|466003</v>
          </cell>
          <cell r="B2930" t="str">
            <v>1100</v>
          </cell>
          <cell r="C2930">
            <v>466003</v>
          </cell>
          <cell r="D2930">
            <v>41426</v>
          </cell>
          <cell r="E2930">
            <v>0</v>
          </cell>
          <cell r="F2930">
            <v>0</v>
          </cell>
          <cell r="G2930">
            <v>6306558</v>
          </cell>
          <cell r="H2930">
            <v>0</v>
          </cell>
          <cell r="I2930">
            <v>0</v>
          </cell>
        </row>
        <row r="2931">
          <cell r="A2931" t="str">
            <v>1100|470102</v>
          </cell>
          <cell r="B2931" t="str">
            <v>1100</v>
          </cell>
          <cell r="C2931">
            <v>470102</v>
          </cell>
          <cell r="D2931">
            <v>41426</v>
          </cell>
          <cell r="E2931">
            <v>8548125</v>
          </cell>
          <cell r="F2931">
            <v>4274063</v>
          </cell>
          <cell r="G2931">
            <v>1431748</v>
          </cell>
          <cell r="H2931">
            <v>712344</v>
          </cell>
          <cell r="I2931">
            <v>40000</v>
          </cell>
        </row>
        <row r="2932">
          <cell r="A2932" t="str">
            <v>5400|439203</v>
          </cell>
          <cell r="B2932" t="str">
            <v>5400</v>
          </cell>
          <cell r="C2932">
            <v>439203</v>
          </cell>
          <cell r="D2932">
            <v>41426</v>
          </cell>
          <cell r="E2932">
            <v>0</v>
          </cell>
          <cell r="F2932">
            <v>0</v>
          </cell>
          <cell r="G2932">
            <v>538616</v>
          </cell>
          <cell r="H2932">
            <v>0</v>
          </cell>
          <cell r="I2932">
            <v>12500</v>
          </cell>
        </row>
        <row r="2933">
          <cell r="A2933" t="str">
            <v>6327|211100</v>
          </cell>
          <cell r="B2933" t="str">
            <v>6327</v>
          </cell>
          <cell r="C2933">
            <v>211100</v>
          </cell>
          <cell r="D2933">
            <v>41426</v>
          </cell>
          <cell r="E2933">
            <v>0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</row>
        <row r="2934">
          <cell r="A2934" t="str">
            <v>0100|449032</v>
          </cell>
          <cell r="B2934" t="str">
            <v>0100</v>
          </cell>
          <cell r="C2934">
            <v>449032</v>
          </cell>
          <cell r="D2934">
            <v>41426</v>
          </cell>
          <cell r="E2934">
            <v>16911197</v>
          </cell>
          <cell r="F2934">
            <v>8455599</v>
          </cell>
          <cell r="G2934">
            <v>11000000</v>
          </cell>
          <cell r="H2934">
            <v>1409267</v>
          </cell>
          <cell r="I2934">
            <v>0</v>
          </cell>
        </row>
        <row r="2935">
          <cell r="A2935" t="str">
            <v>3600|459004</v>
          </cell>
          <cell r="B2935" t="str">
            <v>3600</v>
          </cell>
          <cell r="C2935">
            <v>459004</v>
          </cell>
          <cell r="D2935">
            <v>41426</v>
          </cell>
          <cell r="E2935">
            <v>181348</v>
          </cell>
          <cell r="F2935">
            <v>90674</v>
          </cell>
          <cell r="G2935">
            <v>0</v>
          </cell>
          <cell r="H2935">
            <v>15112</v>
          </cell>
          <cell r="I2935">
            <v>0</v>
          </cell>
        </row>
        <row r="2936">
          <cell r="A2936" t="str">
            <v>3610|459000</v>
          </cell>
          <cell r="B2936" t="str">
            <v>3610</v>
          </cell>
          <cell r="C2936">
            <v>459000</v>
          </cell>
          <cell r="D2936">
            <v>41426</v>
          </cell>
          <cell r="E2936">
            <v>636796</v>
          </cell>
          <cell r="F2936">
            <v>318398</v>
          </cell>
          <cell r="G2936">
            <v>0</v>
          </cell>
          <cell r="H2936">
            <v>53066</v>
          </cell>
          <cell r="I2936">
            <v>0</v>
          </cell>
        </row>
        <row r="2937">
          <cell r="A2937" t="str">
            <v>3610|459005</v>
          </cell>
          <cell r="B2937" t="str">
            <v>3610</v>
          </cell>
          <cell r="C2937">
            <v>459005</v>
          </cell>
          <cell r="D2937">
            <v>41426</v>
          </cell>
          <cell r="E2937">
            <v>0</v>
          </cell>
          <cell r="F2937">
            <v>0</v>
          </cell>
          <cell r="G2937">
            <v>676550</v>
          </cell>
          <cell r="H2937">
            <v>0</v>
          </cell>
          <cell r="I2937">
            <v>0</v>
          </cell>
        </row>
        <row r="2938">
          <cell r="A2938" t="str">
            <v>6327|435000</v>
          </cell>
          <cell r="B2938" t="str">
            <v>6327</v>
          </cell>
          <cell r="C2938">
            <v>435000</v>
          </cell>
          <cell r="D2938">
            <v>41426</v>
          </cell>
          <cell r="E2938">
            <v>3602487</v>
          </cell>
          <cell r="F2938">
            <v>1801244</v>
          </cell>
          <cell r="G2938">
            <v>4083330</v>
          </cell>
          <cell r="H2938">
            <v>300208</v>
          </cell>
          <cell r="I2938">
            <v>0</v>
          </cell>
        </row>
        <row r="2939">
          <cell r="A2939" t="str">
            <v>6327|440000</v>
          </cell>
          <cell r="B2939" t="str">
            <v>6327</v>
          </cell>
          <cell r="C2939">
            <v>440000</v>
          </cell>
          <cell r="D2939">
            <v>41426</v>
          </cell>
          <cell r="E2939">
            <v>3602487</v>
          </cell>
          <cell r="F2939">
            <v>1801244</v>
          </cell>
          <cell r="G2939">
            <v>2011292</v>
          </cell>
          <cell r="H2939">
            <v>300208</v>
          </cell>
          <cell r="I2939">
            <v>259988</v>
          </cell>
        </row>
        <row r="2940">
          <cell r="A2940" t="str">
            <v>H160|473120</v>
          </cell>
          <cell r="B2940" t="str">
            <v>H160</v>
          </cell>
          <cell r="C2940">
            <v>473120</v>
          </cell>
          <cell r="D2940">
            <v>41426</v>
          </cell>
          <cell r="E2940">
            <v>15628093</v>
          </cell>
          <cell r="F2940">
            <v>7814047</v>
          </cell>
          <cell r="G2940">
            <v>0</v>
          </cell>
          <cell r="H2940">
            <v>1302342</v>
          </cell>
          <cell r="I2940">
            <v>0</v>
          </cell>
        </row>
        <row r="2941">
          <cell r="A2941" t="str">
            <v>H160|475003</v>
          </cell>
          <cell r="B2941" t="str">
            <v>H160</v>
          </cell>
          <cell r="C2941">
            <v>475003</v>
          </cell>
          <cell r="D2941">
            <v>41426</v>
          </cell>
          <cell r="E2941">
            <v>2553780</v>
          </cell>
          <cell r="F2941">
            <v>1276890</v>
          </cell>
          <cell r="G2941">
            <v>0</v>
          </cell>
          <cell r="H2941">
            <v>212815</v>
          </cell>
          <cell r="I2941">
            <v>0</v>
          </cell>
        </row>
        <row r="2942">
          <cell r="A2942" t="str">
            <v>6327|431000</v>
          </cell>
          <cell r="B2942" t="str">
            <v>6327</v>
          </cell>
          <cell r="C2942">
            <v>431000</v>
          </cell>
          <cell r="D2942">
            <v>41426</v>
          </cell>
          <cell r="E2942">
            <v>1000000</v>
          </cell>
          <cell r="F2942">
            <v>500000</v>
          </cell>
          <cell r="G2942">
            <v>36149</v>
          </cell>
          <cell r="H2942">
            <v>83333</v>
          </cell>
          <cell r="I2942">
            <v>0</v>
          </cell>
        </row>
        <row r="2943">
          <cell r="A2943" t="str">
            <v>6327|434010</v>
          </cell>
          <cell r="B2943" t="str">
            <v>6327</v>
          </cell>
          <cell r="C2943">
            <v>434010</v>
          </cell>
          <cell r="D2943">
            <v>41426</v>
          </cell>
          <cell r="E2943">
            <v>0</v>
          </cell>
          <cell r="F2943">
            <v>0</v>
          </cell>
          <cell r="G2943">
            <v>2127709</v>
          </cell>
          <cell r="H2943">
            <v>0</v>
          </cell>
          <cell r="I2943">
            <v>341777</v>
          </cell>
        </row>
        <row r="2944">
          <cell r="A2944" t="str">
            <v>6327|439000</v>
          </cell>
          <cell r="B2944" t="str">
            <v>6327</v>
          </cell>
          <cell r="C2944">
            <v>439000</v>
          </cell>
          <cell r="D2944">
            <v>41426</v>
          </cell>
          <cell r="E2944">
            <v>10293368</v>
          </cell>
          <cell r="F2944">
            <v>5146684</v>
          </cell>
          <cell r="G2944">
            <v>3945575</v>
          </cell>
          <cell r="H2944">
            <v>857781</v>
          </cell>
          <cell r="I2944">
            <v>633394</v>
          </cell>
        </row>
        <row r="2945">
          <cell r="A2945" t="str">
            <v>6327|447000</v>
          </cell>
          <cell r="B2945" t="str">
            <v>6327</v>
          </cell>
          <cell r="C2945">
            <v>447000</v>
          </cell>
          <cell r="D2945">
            <v>41426</v>
          </cell>
          <cell r="E2945">
            <v>678709</v>
          </cell>
          <cell r="F2945">
            <v>339355</v>
          </cell>
          <cell r="G2945">
            <v>333066</v>
          </cell>
          <cell r="H2945">
            <v>56560</v>
          </cell>
          <cell r="I2945">
            <v>55511</v>
          </cell>
        </row>
        <row r="2946">
          <cell r="A2946" t="str">
            <v>6327|447010</v>
          </cell>
          <cell r="B2946" t="str">
            <v>6327</v>
          </cell>
          <cell r="C2946">
            <v>447010</v>
          </cell>
          <cell r="D2946">
            <v>41426</v>
          </cell>
          <cell r="E2946">
            <v>1599504</v>
          </cell>
          <cell r="F2946">
            <v>799752</v>
          </cell>
          <cell r="G2946">
            <v>784944</v>
          </cell>
          <cell r="H2946">
            <v>133292</v>
          </cell>
          <cell r="I2946">
            <v>130824</v>
          </cell>
        </row>
        <row r="2947">
          <cell r="A2947" t="str">
            <v>6327|447020</v>
          </cell>
          <cell r="B2947" t="str">
            <v>6327</v>
          </cell>
          <cell r="C2947">
            <v>447020</v>
          </cell>
          <cell r="D2947">
            <v>41426</v>
          </cell>
          <cell r="E2947">
            <v>67871</v>
          </cell>
          <cell r="F2947">
            <v>33936</v>
          </cell>
          <cell r="G2947">
            <v>16584</v>
          </cell>
          <cell r="H2947">
            <v>5656</v>
          </cell>
          <cell r="I2947">
            <v>2750</v>
          </cell>
        </row>
        <row r="2948">
          <cell r="A2948" t="str">
            <v>6327|448000</v>
          </cell>
          <cell r="B2948" t="str">
            <v>6327</v>
          </cell>
          <cell r="C2948">
            <v>448000</v>
          </cell>
          <cell r="D2948">
            <v>41426</v>
          </cell>
          <cell r="E2948">
            <v>4013046</v>
          </cell>
          <cell r="F2948">
            <v>2006523</v>
          </cell>
          <cell r="G2948">
            <v>3281700</v>
          </cell>
          <cell r="H2948">
            <v>334420</v>
          </cell>
          <cell r="I2948">
            <v>523000</v>
          </cell>
        </row>
        <row r="2949">
          <cell r="A2949" t="str">
            <v>6327|449020</v>
          </cell>
          <cell r="B2949" t="str">
            <v>6327</v>
          </cell>
          <cell r="C2949">
            <v>449020</v>
          </cell>
          <cell r="D2949">
            <v>41426</v>
          </cell>
          <cell r="E2949">
            <v>3960000</v>
          </cell>
          <cell r="F2949">
            <v>1980000</v>
          </cell>
          <cell r="G2949">
            <v>2191000</v>
          </cell>
          <cell r="H2949">
            <v>330000</v>
          </cell>
          <cell r="I2949">
            <v>323000</v>
          </cell>
        </row>
        <row r="2950">
          <cell r="A2950" t="str">
            <v>6327|446000</v>
          </cell>
          <cell r="B2950" t="str">
            <v>6327</v>
          </cell>
          <cell r="C2950">
            <v>446000</v>
          </cell>
          <cell r="D2950">
            <v>41426</v>
          </cell>
          <cell r="E2950">
            <v>1801244</v>
          </cell>
          <cell r="F2950">
            <v>900622</v>
          </cell>
          <cell r="G2950">
            <v>990000</v>
          </cell>
          <cell r="H2950">
            <v>150104</v>
          </cell>
          <cell r="I2950">
            <v>150000</v>
          </cell>
        </row>
        <row r="2951">
          <cell r="A2951" t="str">
            <v>6327|420000</v>
          </cell>
          <cell r="B2951" t="str">
            <v>6327</v>
          </cell>
          <cell r="C2951">
            <v>420000</v>
          </cell>
          <cell r="D2951">
            <v>41426</v>
          </cell>
          <cell r="E2951">
            <v>43229849</v>
          </cell>
          <cell r="F2951">
            <v>21614925</v>
          </cell>
          <cell r="G2951">
            <v>21419024</v>
          </cell>
          <cell r="H2951">
            <v>3602488</v>
          </cell>
          <cell r="I2951">
            <v>3270080</v>
          </cell>
        </row>
        <row r="2952">
          <cell r="A2952" t="str">
            <v>0500|477100</v>
          </cell>
          <cell r="B2952" t="str">
            <v>0500</v>
          </cell>
          <cell r="C2952">
            <v>477100</v>
          </cell>
          <cell r="D2952">
            <v>41426</v>
          </cell>
          <cell r="E2952">
            <v>163230000</v>
          </cell>
          <cell r="F2952">
            <v>81615000</v>
          </cell>
          <cell r="G2952">
            <v>145905297</v>
          </cell>
          <cell r="H2952">
            <v>13602500</v>
          </cell>
          <cell r="I2952">
            <v>124493</v>
          </cell>
        </row>
        <row r="2953">
          <cell r="A2953" t="str">
            <v>0530|439013</v>
          </cell>
          <cell r="B2953" t="str">
            <v>0530</v>
          </cell>
          <cell r="C2953">
            <v>439013</v>
          </cell>
          <cell r="D2953">
            <v>41426</v>
          </cell>
          <cell r="E2953">
            <v>0</v>
          </cell>
          <cell r="F2953">
            <v>0</v>
          </cell>
          <cell r="G2953">
            <v>32639300</v>
          </cell>
          <cell r="H2953">
            <v>0</v>
          </cell>
          <cell r="I2953">
            <v>0</v>
          </cell>
        </row>
        <row r="2954">
          <cell r="A2954" t="str">
            <v>0530|422003</v>
          </cell>
          <cell r="B2954" t="str">
            <v>0530</v>
          </cell>
          <cell r="C2954">
            <v>422003</v>
          </cell>
          <cell r="D2954">
            <v>41426</v>
          </cell>
          <cell r="E2954">
            <v>0</v>
          </cell>
          <cell r="F2954">
            <v>0</v>
          </cell>
          <cell r="G2954">
            <v>113250</v>
          </cell>
          <cell r="H2954">
            <v>0</v>
          </cell>
          <cell r="I2954">
            <v>0</v>
          </cell>
        </row>
        <row r="2955">
          <cell r="A2955" t="str">
            <v>3100|431001</v>
          </cell>
          <cell r="B2955" t="str">
            <v>3100</v>
          </cell>
          <cell r="C2955">
            <v>431001</v>
          </cell>
          <cell r="D2955">
            <v>41426</v>
          </cell>
          <cell r="E2955">
            <v>0</v>
          </cell>
          <cell r="F2955">
            <v>0</v>
          </cell>
          <cell r="G2955">
            <v>111200</v>
          </cell>
          <cell r="H2955">
            <v>0</v>
          </cell>
          <cell r="I2955">
            <v>0</v>
          </cell>
        </row>
        <row r="2956">
          <cell r="A2956" t="str">
            <v>3200|477420</v>
          </cell>
          <cell r="B2956" t="str">
            <v>3200</v>
          </cell>
          <cell r="C2956">
            <v>477420</v>
          </cell>
          <cell r="D2956">
            <v>41426</v>
          </cell>
          <cell r="E2956">
            <v>0</v>
          </cell>
          <cell r="F2956">
            <v>0</v>
          </cell>
          <cell r="G2956">
            <v>1240578188</v>
          </cell>
          <cell r="H2956">
            <v>0</v>
          </cell>
          <cell r="I2956">
            <v>0</v>
          </cell>
        </row>
        <row r="2957">
          <cell r="A2957" t="str">
            <v>3200|246000</v>
          </cell>
          <cell r="B2957" t="str">
            <v>3200</v>
          </cell>
          <cell r="C2957">
            <v>246000</v>
          </cell>
          <cell r="D2957">
            <v>41426</v>
          </cell>
          <cell r="E2957">
            <v>0</v>
          </cell>
          <cell r="F2957">
            <v>0</v>
          </cell>
          <cell r="G2957">
            <v>540916388</v>
          </cell>
          <cell r="H2957">
            <v>0</v>
          </cell>
          <cell r="I2957">
            <v>67581800</v>
          </cell>
        </row>
        <row r="2958">
          <cell r="A2958" t="str">
            <v>3200|449060</v>
          </cell>
          <cell r="B2958" t="str">
            <v>3200</v>
          </cell>
          <cell r="C2958">
            <v>449060</v>
          </cell>
          <cell r="D2958">
            <v>41426</v>
          </cell>
          <cell r="E2958">
            <v>0</v>
          </cell>
          <cell r="F2958">
            <v>0</v>
          </cell>
          <cell r="G2958">
            <v>202088</v>
          </cell>
          <cell r="H2958">
            <v>0</v>
          </cell>
          <cell r="I2958">
            <v>101044</v>
          </cell>
        </row>
        <row r="2959">
          <cell r="A2959" t="str">
            <v>3200|422001</v>
          </cell>
          <cell r="B2959" t="str">
            <v>3200</v>
          </cell>
          <cell r="C2959">
            <v>422001</v>
          </cell>
          <cell r="D2959">
            <v>41426</v>
          </cell>
          <cell r="E2959">
            <v>0</v>
          </cell>
          <cell r="F2959">
            <v>0</v>
          </cell>
          <cell r="G2959">
            <v>33450</v>
          </cell>
          <cell r="H2959">
            <v>0</v>
          </cell>
          <cell r="I2959">
            <v>0</v>
          </cell>
        </row>
        <row r="2960">
          <cell r="A2960" t="str">
            <v>3220|449040</v>
          </cell>
          <cell r="B2960" t="str">
            <v>3220</v>
          </cell>
          <cell r="C2960">
            <v>449040</v>
          </cell>
          <cell r="D2960">
            <v>41426</v>
          </cell>
          <cell r="E2960">
            <v>14121900</v>
          </cell>
          <cell r="F2960">
            <v>7060950</v>
          </cell>
          <cell r="G2960">
            <v>10574000</v>
          </cell>
          <cell r="H2960">
            <v>1176825</v>
          </cell>
          <cell r="I2960">
            <v>2182000</v>
          </cell>
        </row>
        <row r="2961">
          <cell r="A2961" t="str">
            <v>3300|473000</v>
          </cell>
          <cell r="B2961" t="str">
            <v>3300</v>
          </cell>
          <cell r="C2961">
            <v>473000</v>
          </cell>
          <cell r="D2961">
            <v>41426</v>
          </cell>
          <cell r="E2961">
            <v>232301</v>
          </cell>
          <cell r="F2961">
            <v>116151</v>
          </cell>
          <cell r="G2961">
            <v>612000</v>
          </cell>
          <cell r="H2961">
            <v>19359</v>
          </cell>
          <cell r="I2961">
            <v>312000</v>
          </cell>
        </row>
        <row r="2962">
          <cell r="A2962" t="str">
            <v>3310|449060</v>
          </cell>
          <cell r="B2962" t="str">
            <v>3310</v>
          </cell>
          <cell r="C2962">
            <v>449060</v>
          </cell>
          <cell r="D2962">
            <v>41426</v>
          </cell>
          <cell r="E2962">
            <v>0</v>
          </cell>
          <cell r="F2962">
            <v>0</v>
          </cell>
          <cell r="G2962">
            <v>404179</v>
          </cell>
          <cell r="H2962">
            <v>0</v>
          </cell>
          <cell r="I2962">
            <v>0</v>
          </cell>
        </row>
        <row r="2963">
          <cell r="A2963" t="str">
            <v>3310|477900</v>
          </cell>
          <cell r="B2963" t="str">
            <v>3310</v>
          </cell>
          <cell r="C2963">
            <v>477900</v>
          </cell>
          <cell r="D2963">
            <v>41426</v>
          </cell>
          <cell r="E2963">
            <v>0</v>
          </cell>
          <cell r="F2963">
            <v>0</v>
          </cell>
          <cell r="G2963">
            <v>-127600000</v>
          </cell>
          <cell r="H2963">
            <v>0</v>
          </cell>
          <cell r="I2963">
            <v>0</v>
          </cell>
        </row>
        <row r="2964">
          <cell r="A2964" t="str">
            <v>3310|422002</v>
          </cell>
          <cell r="B2964" t="str">
            <v>3310</v>
          </cell>
          <cell r="C2964">
            <v>422002</v>
          </cell>
          <cell r="D2964">
            <v>41426</v>
          </cell>
          <cell r="E2964">
            <v>0</v>
          </cell>
          <cell r="F2964">
            <v>0</v>
          </cell>
          <cell r="G2964">
            <v>59750</v>
          </cell>
          <cell r="H2964">
            <v>0</v>
          </cell>
          <cell r="I2964">
            <v>0</v>
          </cell>
        </row>
        <row r="2965">
          <cell r="A2965" t="str">
            <v>3400|422002</v>
          </cell>
          <cell r="B2965" t="str">
            <v>3400</v>
          </cell>
          <cell r="C2965">
            <v>422002</v>
          </cell>
          <cell r="D2965">
            <v>41426</v>
          </cell>
          <cell r="E2965">
            <v>120240</v>
          </cell>
          <cell r="F2965">
            <v>60120</v>
          </cell>
          <cell r="G2965">
            <v>48600</v>
          </cell>
          <cell r="H2965">
            <v>10020</v>
          </cell>
          <cell r="I2965">
            <v>0</v>
          </cell>
        </row>
        <row r="2966">
          <cell r="A2966" t="str">
            <v>3410|473000</v>
          </cell>
          <cell r="B2966" t="str">
            <v>3410</v>
          </cell>
          <cell r="C2966">
            <v>473000</v>
          </cell>
          <cell r="D2966">
            <v>41426</v>
          </cell>
          <cell r="E2966">
            <v>8365571</v>
          </cell>
          <cell r="F2966">
            <v>4182786</v>
          </cell>
          <cell r="G2966">
            <v>1888000</v>
          </cell>
          <cell r="H2966">
            <v>697131</v>
          </cell>
          <cell r="I2966">
            <v>0</v>
          </cell>
        </row>
        <row r="2967">
          <cell r="A2967" t="str">
            <v>3420|422003</v>
          </cell>
          <cell r="B2967" t="str">
            <v>3420</v>
          </cell>
          <cell r="C2967">
            <v>422003</v>
          </cell>
          <cell r="D2967">
            <v>41426</v>
          </cell>
          <cell r="E2967">
            <v>252720</v>
          </cell>
          <cell r="F2967">
            <v>126360</v>
          </cell>
          <cell r="G2967">
            <v>190350</v>
          </cell>
          <cell r="H2967">
            <v>21060</v>
          </cell>
          <cell r="I2967">
            <v>0</v>
          </cell>
        </row>
        <row r="2968">
          <cell r="A2968" t="str">
            <v>3460|477500</v>
          </cell>
          <cell r="B2968" t="str">
            <v>3460</v>
          </cell>
          <cell r="C2968">
            <v>477500</v>
          </cell>
          <cell r="D2968">
            <v>41426</v>
          </cell>
          <cell r="E2968">
            <v>0</v>
          </cell>
          <cell r="F2968">
            <v>0</v>
          </cell>
          <cell r="G2968">
            <v>66238297</v>
          </cell>
          <cell r="H2968">
            <v>0</v>
          </cell>
          <cell r="I2968">
            <v>230000</v>
          </cell>
        </row>
        <row r="2969">
          <cell r="A2969" t="str">
            <v>3500|474110</v>
          </cell>
          <cell r="B2969" t="str">
            <v>3500</v>
          </cell>
          <cell r="C2969">
            <v>474110</v>
          </cell>
          <cell r="D2969">
            <v>41426</v>
          </cell>
          <cell r="E2969">
            <v>0</v>
          </cell>
          <cell r="F2969">
            <v>0</v>
          </cell>
          <cell r="G2969">
            <v>10709579</v>
          </cell>
          <cell r="H2969">
            <v>0</v>
          </cell>
          <cell r="I2969">
            <v>0</v>
          </cell>
        </row>
        <row r="2970">
          <cell r="A2970" t="str">
            <v>3600|477300</v>
          </cell>
          <cell r="B2970" t="str">
            <v>3600</v>
          </cell>
          <cell r="C2970">
            <v>477300</v>
          </cell>
          <cell r="D2970">
            <v>41426</v>
          </cell>
          <cell r="E2970">
            <v>0</v>
          </cell>
          <cell r="F2970">
            <v>0</v>
          </cell>
          <cell r="G2970">
            <v>-2267755</v>
          </cell>
          <cell r="H2970">
            <v>0</v>
          </cell>
          <cell r="I2970">
            <v>-2280000</v>
          </cell>
        </row>
        <row r="2971">
          <cell r="A2971" t="str">
            <v>3610|475002</v>
          </cell>
          <cell r="B2971" t="str">
            <v>3610</v>
          </cell>
          <cell r="C2971">
            <v>475002</v>
          </cell>
          <cell r="D2971">
            <v>41426</v>
          </cell>
          <cell r="E2971">
            <v>0</v>
          </cell>
          <cell r="F2971">
            <v>0</v>
          </cell>
          <cell r="G2971">
            <v>853557</v>
          </cell>
          <cell r="H2971">
            <v>0</v>
          </cell>
          <cell r="I2971">
            <v>0</v>
          </cell>
        </row>
        <row r="2972">
          <cell r="A2972" t="str">
            <v>3610|477300</v>
          </cell>
          <cell r="B2972" t="str">
            <v>3610</v>
          </cell>
          <cell r="C2972">
            <v>477300</v>
          </cell>
          <cell r="D2972">
            <v>41426</v>
          </cell>
          <cell r="E2972">
            <v>0</v>
          </cell>
          <cell r="F2972">
            <v>0</v>
          </cell>
          <cell r="G2972">
            <v>2362600</v>
          </cell>
          <cell r="H2972">
            <v>0</v>
          </cell>
          <cell r="I2972">
            <v>0</v>
          </cell>
        </row>
        <row r="2973">
          <cell r="A2973" t="str">
            <v>3610|448002</v>
          </cell>
          <cell r="B2973" t="str">
            <v>3610</v>
          </cell>
          <cell r="C2973">
            <v>448002</v>
          </cell>
          <cell r="D2973">
            <v>41426</v>
          </cell>
          <cell r="E2973">
            <v>0</v>
          </cell>
          <cell r="F2973">
            <v>0</v>
          </cell>
          <cell r="G2973">
            <v>5343800</v>
          </cell>
          <cell r="H2973">
            <v>0</v>
          </cell>
          <cell r="I2973">
            <v>380000</v>
          </cell>
        </row>
        <row r="2974">
          <cell r="A2974" t="str">
            <v>3700|449060</v>
          </cell>
          <cell r="B2974" t="str">
            <v>3700</v>
          </cell>
          <cell r="C2974">
            <v>449060</v>
          </cell>
          <cell r="D2974">
            <v>41426</v>
          </cell>
          <cell r="E2974">
            <v>0</v>
          </cell>
          <cell r="F2974">
            <v>0</v>
          </cell>
          <cell r="G2974">
            <v>0</v>
          </cell>
          <cell r="H2974">
            <v>0</v>
          </cell>
          <cell r="I2974">
            <v>-101044</v>
          </cell>
        </row>
        <row r="2975">
          <cell r="A2975" t="str">
            <v>0100|465001</v>
          </cell>
          <cell r="B2975" t="str">
            <v>0100</v>
          </cell>
          <cell r="C2975">
            <v>465001</v>
          </cell>
          <cell r="D2975">
            <v>41426</v>
          </cell>
          <cell r="E2975">
            <v>2000000</v>
          </cell>
          <cell r="F2975">
            <v>1000000</v>
          </cell>
          <cell r="G2975">
            <v>0</v>
          </cell>
          <cell r="H2975">
            <v>166667</v>
          </cell>
          <cell r="I2975">
            <v>0</v>
          </cell>
        </row>
        <row r="2976">
          <cell r="A2976" t="str">
            <v>0100|455000</v>
          </cell>
          <cell r="B2976" t="str">
            <v>0100</v>
          </cell>
          <cell r="C2976">
            <v>455000</v>
          </cell>
          <cell r="D2976">
            <v>41426</v>
          </cell>
          <cell r="E2976">
            <v>828871</v>
          </cell>
          <cell r="F2976">
            <v>414436</v>
          </cell>
          <cell r="G2976">
            <v>0</v>
          </cell>
          <cell r="H2976">
            <v>69073</v>
          </cell>
          <cell r="I2976">
            <v>0</v>
          </cell>
        </row>
        <row r="2977">
          <cell r="A2977" t="str">
            <v>0100|422001</v>
          </cell>
          <cell r="B2977" t="str">
            <v>0100</v>
          </cell>
          <cell r="C2977">
            <v>422001</v>
          </cell>
          <cell r="D2977">
            <v>41426</v>
          </cell>
          <cell r="E2977">
            <v>358290</v>
          </cell>
          <cell r="F2977">
            <v>179145</v>
          </cell>
          <cell r="G2977">
            <v>0</v>
          </cell>
          <cell r="H2977">
            <v>29857</v>
          </cell>
          <cell r="I2977">
            <v>0</v>
          </cell>
        </row>
        <row r="2978">
          <cell r="A2978" t="str">
            <v>0100|434011</v>
          </cell>
          <cell r="B2978" t="str">
            <v>0100</v>
          </cell>
          <cell r="C2978">
            <v>434011</v>
          </cell>
          <cell r="D2978">
            <v>41426</v>
          </cell>
          <cell r="E2978">
            <v>5204552</v>
          </cell>
          <cell r="F2978">
            <v>2602276</v>
          </cell>
          <cell r="G2978">
            <v>0</v>
          </cell>
          <cell r="H2978">
            <v>433713</v>
          </cell>
          <cell r="I2978">
            <v>0</v>
          </cell>
        </row>
        <row r="2979">
          <cell r="A2979" t="str">
            <v>0500|431001</v>
          </cell>
          <cell r="B2979" t="str">
            <v>0500</v>
          </cell>
          <cell r="C2979">
            <v>431001</v>
          </cell>
          <cell r="D2979">
            <v>41426</v>
          </cell>
          <cell r="E2979">
            <v>25000000</v>
          </cell>
          <cell r="F2979">
            <v>12500000</v>
          </cell>
          <cell r="G2979">
            <v>0</v>
          </cell>
          <cell r="H2979">
            <v>2083333</v>
          </cell>
          <cell r="I2979">
            <v>0</v>
          </cell>
        </row>
        <row r="2980">
          <cell r="A2980" t="str">
            <v>0500|400040</v>
          </cell>
          <cell r="B2980" t="str">
            <v>0500</v>
          </cell>
          <cell r="C2980">
            <v>400040</v>
          </cell>
          <cell r="D2980">
            <v>41426</v>
          </cell>
          <cell r="E2980">
            <v>15000000</v>
          </cell>
          <cell r="F2980">
            <v>7500000</v>
          </cell>
          <cell r="G2980">
            <v>648570</v>
          </cell>
          <cell r="H2980">
            <v>1250000</v>
          </cell>
          <cell r="I2980">
            <v>648570</v>
          </cell>
        </row>
        <row r="2981">
          <cell r="A2981" t="str">
            <v>0500|405200</v>
          </cell>
          <cell r="B2981" t="str">
            <v>0500</v>
          </cell>
          <cell r="C2981">
            <v>405200</v>
          </cell>
          <cell r="D2981">
            <v>41426</v>
          </cell>
          <cell r="E2981">
            <v>9000000</v>
          </cell>
          <cell r="F2981">
            <v>4500000</v>
          </cell>
          <cell r="G2981">
            <v>0</v>
          </cell>
          <cell r="H2981">
            <v>750000</v>
          </cell>
          <cell r="I2981">
            <v>0</v>
          </cell>
        </row>
        <row r="2982">
          <cell r="A2982" t="str">
            <v>3200|435001</v>
          </cell>
          <cell r="B2982" t="str">
            <v>3200</v>
          </cell>
          <cell r="C2982">
            <v>435001</v>
          </cell>
          <cell r="D2982">
            <v>41426</v>
          </cell>
          <cell r="E2982">
            <v>3955459</v>
          </cell>
          <cell r="F2982">
            <v>1977730</v>
          </cell>
          <cell r="G2982">
            <v>3062000</v>
          </cell>
          <cell r="H2982">
            <v>329622</v>
          </cell>
          <cell r="I2982">
            <v>0</v>
          </cell>
        </row>
        <row r="2983">
          <cell r="A2983" t="str">
            <v>3310|477800</v>
          </cell>
          <cell r="B2983" t="str">
            <v>3310</v>
          </cell>
          <cell r="C2983">
            <v>477800</v>
          </cell>
          <cell r="D2983">
            <v>41426</v>
          </cell>
          <cell r="E2983">
            <v>410000000</v>
          </cell>
          <cell r="F2983">
            <v>205000000</v>
          </cell>
          <cell r="G2983">
            <v>0</v>
          </cell>
          <cell r="H2983">
            <v>34166667</v>
          </cell>
          <cell r="I2983">
            <v>0</v>
          </cell>
        </row>
        <row r="2984">
          <cell r="A2984" t="str">
            <v>3310|405200</v>
          </cell>
          <cell r="B2984" t="str">
            <v>3310</v>
          </cell>
          <cell r="C2984">
            <v>405200</v>
          </cell>
          <cell r="D2984">
            <v>41426</v>
          </cell>
          <cell r="E2984">
            <v>10000000</v>
          </cell>
          <cell r="F2984">
            <v>5000000</v>
          </cell>
          <cell r="G2984">
            <v>3389300</v>
          </cell>
          <cell r="H2984">
            <v>833333</v>
          </cell>
          <cell r="I2984">
            <v>0</v>
          </cell>
        </row>
        <row r="2985">
          <cell r="A2985" t="str">
            <v>3400|477900</v>
          </cell>
          <cell r="B2985" t="str">
            <v>3400</v>
          </cell>
          <cell r="C2985">
            <v>477900</v>
          </cell>
          <cell r="D2985">
            <v>41426</v>
          </cell>
          <cell r="E2985">
            <v>60750000</v>
          </cell>
          <cell r="F2985">
            <v>30375000</v>
          </cell>
          <cell r="G2985">
            <v>0</v>
          </cell>
          <cell r="H2985">
            <v>5062500</v>
          </cell>
          <cell r="I2985">
            <v>0</v>
          </cell>
        </row>
        <row r="2986">
          <cell r="A2986" t="str">
            <v>3410|452000</v>
          </cell>
          <cell r="B2986" t="str">
            <v>3410</v>
          </cell>
          <cell r="C2986">
            <v>452000</v>
          </cell>
          <cell r="D2986">
            <v>41426</v>
          </cell>
          <cell r="E2986">
            <v>3000000</v>
          </cell>
          <cell r="F2986">
            <v>1500000</v>
          </cell>
          <cell r="G2986">
            <v>0</v>
          </cell>
          <cell r="H2986">
            <v>250000</v>
          </cell>
          <cell r="I2986">
            <v>0</v>
          </cell>
        </row>
        <row r="2987">
          <cell r="A2987" t="str">
            <v>3420|431001</v>
          </cell>
          <cell r="B2987" t="str">
            <v>3420</v>
          </cell>
          <cell r="C2987">
            <v>431001</v>
          </cell>
          <cell r="D2987">
            <v>41426</v>
          </cell>
          <cell r="E2987">
            <v>7000000</v>
          </cell>
          <cell r="F2987">
            <v>3500000</v>
          </cell>
          <cell r="G2987">
            <v>0</v>
          </cell>
          <cell r="H2987">
            <v>583333</v>
          </cell>
          <cell r="I2987">
            <v>0</v>
          </cell>
        </row>
        <row r="2988">
          <cell r="A2988" t="str">
            <v>3430|431001</v>
          </cell>
          <cell r="B2988" t="str">
            <v>3430</v>
          </cell>
          <cell r="C2988">
            <v>431001</v>
          </cell>
          <cell r="D2988">
            <v>41426</v>
          </cell>
          <cell r="E2988">
            <v>5000000</v>
          </cell>
          <cell r="F2988">
            <v>2500000</v>
          </cell>
          <cell r="G2988">
            <v>0</v>
          </cell>
          <cell r="H2988">
            <v>416667</v>
          </cell>
          <cell r="I2988">
            <v>0</v>
          </cell>
        </row>
        <row r="2989">
          <cell r="A2989" t="str">
            <v>3430|452001</v>
          </cell>
          <cell r="B2989" t="str">
            <v>3430</v>
          </cell>
          <cell r="C2989">
            <v>452001</v>
          </cell>
          <cell r="D2989">
            <v>41426</v>
          </cell>
          <cell r="E2989">
            <v>10000000</v>
          </cell>
          <cell r="F2989">
            <v>5000000</v>
          </cell>
          <cell r="G2989">
            <v>0</v>
          </cell>
          <cell r="H2989">
            <v>833333</v>
          </cell>
          <cell r="I2989">
            <v>0</v>
          </cell>
        </row>
        <row r="2990">
          <cell r="A2990" t="str">
            <v>3430|405200</v>
          </cell>
          <cell r="B2990" t="str">
            <v>3430</v>
          </cell>
          <cell r="C2990">
            <v>405200</v>
          </cell>
          <cell r="D2990">
            <v>41426</v>
          </cell>
          <cell r="E2990">
            <v>5000000</v>
          </cell>
          <cell r="F2990">
            <v>2500000</v>
          </cell>
          <cell r="G2990">
            <v>2153000</v>
          </cell>
          <cell r="H2990">
            <v>416667</v>
          </cell>
          <cell r="I2990">
            <v>0</v>
          </cell>
        </row>
        <row r="2991">
          <cell r="A2991" t="str">
            <v>3460|431000</v>
          </cell>
          <cell r="B2991" t="str">
            <v>3460</v>
          </cell>
          <cell r="C2991">
            <v>431000</v>
          </cell>
          <cell r="D2991">
            <v>41426</v>
          </cell>
          <cell r="E2991">
            <v>16500000</v>
          </cell>
          <cell r="F2991">
            <v>8250000</v>
          </cell>
          <cell r="G2991">
            <v>0</v>
          </cell>
          <cell r="H2991">
            <v>1375000</v>
          </cell>
          <cell r="I2991">
            <v>0</v>
          </cell>
        </row>
        <row r="2992">
          <cell r="A2992" t="str">
            <v>3460|406000</v>
          </cell>
          <cell r="B2992" t="str">
            <v>3460</v>
          </cell>
          <cell r="C2992">
            <v>406000</v>
          </cell>
          <cell r="D2992">
            <v>41426</v>
          </cell>
          <cell r="E2992">
            <v>2000000</v>
          </cell>
          <cell r="F2992">
            <v>1000000</v>
          </cell>
          <cell r="G2992">
            <v>0</v>
          </cell>
          <cell r="H2992">
            <v>166667</v>
          </cell>
          <cell r="I2992">
            <v>0</v>
          </cell>
        </row>
        <row r="2993">
          <cell r="A2993" t="str">
            <v>3460|435001</v>
          </cell>
          <cell r="B2993" t="str">
            <v>3460</v>
          </cell>
          <cell r="C2993">
            <v>435001</v>
          </cell>
          <cell r="D2993">
            <v>41426</v>
          </cell>
          <cell r="E2993">
            <v>7910919</v>
          </cell>
          <cell r="F2993">
            <v>3955460</v>
          </cell>
          <cell r="G2993">
            <v>7943988</v>
          </cell>
          <cell r="H2993">
            <v>659244</v>
          </cell>
          <cell r="I2993">
            <v>0</v>
          </cell>
        </row>
        <row r="2994">
          <cell r="A2994" t="str">
            <v>3200|448001</v>
          </cell>
          <cell r="B2994" t="str">
            <v>3200</v>
          </cell>
          <cell r="C2994">
            <v>448001</v>
          </cell>
          <cell r="D2994">
            <v>41426</v>
          </cell>
          <cell r="E2994">
            <v>4198821</v>
          </cell>
          <cell r="F2994">
            <v>2099411</v>
          </cell>
          <cell r="G2994">
            <v>670230</v>
          </cell>
          <cell r="H2994">
            <v>349902</v>
          </cell>
          <cell r="I2994">
            <v>0</v>
          </cell>
        </row>
        <row r="2995">
          <cell r="A2995" t="str">
            <v>3310|431000</v>
          </cell>
          <cell r="B2995" t="str">
            <v>3310</v>
          </cell>
          <cell r="C2995">
            <v>431000</v>
          </cell>
          <cell r="D2995">
            <v>41426</v>
          </cell>
          <cell r="E2995">
            <v>10000000</v>
          </cell>
          <cell r="F2995">
            <v>5000000</v>
          </cell>
          <cell r="G2995">
            <v>18687885</v>
          </cell>
          <cell r="H2995">
            <v>833333</v>
          </cell>
          <cell r="I2995">
            <v>4624656</v>
          </cell>
        </row>
        <row r="2996">
          <cell r="A2996" t="str">
            <v>3460|246000</v>
          </cell>
          <cell r="B2996" t="str">
            <v>3460</v>
          </cell>
          <cell r="C2996">
            <v>246000</v>
          </cell>
          <cell r="D2996">
            <v>41426</v>
          </cell>
          <cell r="E2996">
            <v>40000000</v>
          </cell>
          <cell r="F2996">
            <v>20000000</v>
          </cell>
          <cell r="G2996">
            <v>444700</v>
          </cell>
          <cell r="H2996">
            <v>3333333</v>
          </cell>
          <cell r="I2996">
            <v>0</v>
          </cell>
        </row>
        <row r="2997">
          <cell r="A2997" t="str">
            <v>3440|452001</v>
          </cell>
          <cell r="B2997" t="str">
            <v>3440</v>
          </cell>
          <cell r="C2997">
            <v>452001</v>
          </cell>
          <cell r="D2997">
            <v>41426</v>
          </cell>
          <cell r="E2997">
            <v>10000000</v>
          </cell>
          <cell r="F2997">
            <v>5000000</v>
          </cell>
          <cell r="G2997">
            <v>0</v>
          </cell>
          <cell r="H2997">
            <v>833333</v>
          </cell>
          <cell r="I2997">
            <v>0</v>
          </cell>
        </row>
        <row r="2998">
          <cell r="A2998" t="str">
            <v>5500|476223</v>
          </cell>
          <cell r="B2998" t="str">
            <v>5500</v>
          </cell>
          <cell r="C2998">
            <v>476223</v>
          </cell>
          <cell r="D2998">
            <v>41426</v>
          </cell>
          <cell r="E2998">
            <v>3046600000</v>
          </cell>
          <cell r="F2998">
            <v>1523300000</v>
          </cell>
          <cell r="G2998">
            <v>-1072775782</v>
          </cell>
          <cell r="H2998">
            <v>253883333</v>
          </cell>
          <cell r="I2998">
            <v>-1114917551</v>
          </cell>
        </row>
        <row r="2999">
          <cell r="A2999" t="str">
            <v>0260|422003</v>
          </cell>
          <cell r="B2999" t="str">
            <v>0260</v>
          </cell>
          <cell r="C2999">
            <v>422003</v>
          </cell>
          <cell r="D2999">
            <v>41426</v>
          </cell>
          <cell r="E2999">
            <v>0</v>
          </cell>
          <cell r="F2999">
            <v>0</v>
          </cell>
          <cell r="G2999">
            <v>238950</v>
          </cell>
          <cell r="H2999">
            <v>0</v>
          </cell>
          <cell r="I2999">
            <v>0</v>
          </cell>
        </row>
        <row r="3000">
          <cell r="A3000" t="str">
            <v>1200|466002</v>
          </cell>
          <cell r="B3000" t="str">
            <v>1200</v>
          </cell>
          <cell r="C3000">
            <v>466002</v>
          </cell>
          <cell r="D3000">
            <v>41426</v>
          </cell>
          <cell r="E3000">
            <v>0</v>
          </cell>
          <cell r="F3000">
            <v>0</v>
          </cell>
          <cell r="G3000">
            <v>475161</v>
          </cell>
          <cell r="H3000">
            <v>0</v>
          </cell>
          <cell r="I3000">
            <v>0</v>
          </cell>
        </row>
        <row r="3001">
          <cell r="A3001" t="str">
            <v>1210|434011</v>
          </cell>
          <cell r="B3001" t="str">
            <v>1210</v>
          </cell>
          <cell r="C3001">
            <v>434011</v>
          </cell>
          <cell r="D3001">
            <v>41426</v>
          </cell>
          <cell r="E3001">
            <v>0</v>
          </cell>
          <cell r="F3001">
            <v>0</v>
          </cell>
          <cell r="G3001">
            <v>4</v>
          </cell>
          <cell r="H3001">
            <v>0</v>
          </cell>
          <cell r="I3001">
            <v>2</v>
          </cell>
        </row>
        <row r="3002">
          <cell r="A3002" t="str">
            <v>1210|440001</v>
          </cell>
          <cell r="B3002" t="str">
            <v>1210</v>
          </cell>
          <cell r="C3002">
            <v>440001</v>
          </cell>
          <cell r="D3002">
            <v>41426</v>
          </cell>
          <cell r="E3002">
            <v>0</v>
          </cell>
          <cell r="F3002">
            <v>0</v>
          </cell>
          <cell r="G3002">
            <v>-5</v>
          </cell>
          <cell r="H3002">
            <v>0</v>
          </cell>
          <cell r="I3002">
            <v>0</v>
          </cell>
        </row>
        <row r="3003">
          <cell r="A3003" t="str">
            <v>1300|422002</v>
          </cell>
          <cell r="B3003" t="str">
            <v>1300</v>
          </cell>
          <cell r="C3003">
            <v>422002</v>
          </cell>
          <cell r="D3003">
            <v>41426</v>
          </cell>
          <cell r="E3003">
            <v>0</v>
          </cell>
          <cell r="F3003">
            <v>0</v>
          </cell>
          <cell r="G3003">
            <v>170550</v>
          </cell>
          <cell r="H3003">
            <v>0</v>
          </cell>
          <cell r="I3003">
            <v>0</v>
          </cell>
        </row>
        <row r="3004">
          <cell r="A3004" t="str">
            <v>1400|439203</v>
          </cell>
          <cell r="B3004" t="str">
            <v>1400</v>
          </cell>
          <cell r="C3004">
            <v>439203</v>
          </cell>
          <cell r="D3004">
            <v>41426</v>
          </cell>
          <cell r="E3004">
            <v>0</v>
          </cell>
          <cell r="F3004">
            <v>0</v>
          </cell>
          <cell r="G3004">
            <v>796000</v>
          </cell>
          <cell r="H3004">
            <v>0</v>
          </cell>
          <cell r="I3004">
            <v>0</v>
          </cell>
        </row>
        <row r="3005">
          <cell r="A3005" t="str">
            <v>1500|455000</v>
          </cell>
          <cell r="B3005" t="str">
            <v>1500</v>
          </cell>
          <cell r="C3005">
            <v>455000</v>
          </cell>
          <cell r="D3005">
            <v>41426</v>
          </cell>
          <cell r="E3005">
            <v>0</v>
          </cell>
          <cell r="F3005">
            <v>0</v>
          </cell>
          <cell r="G3005">
            <v>32665058</v>
          </cell>
          <cell r="H3005">
            <v>0</v>
          </cell>
          <cell r="I3005">
            <v>31950000</v>
          </cell>
        </row>
        <row r="3006">
          <cell r="A3006" t="str">
            <v>1700|459005</v>
          </cell>
          <cell r="B3006" t="str">
            <v>1700</v>
          </cell>
          <cell r="C3006">
            <v>459005</v>
          </cell>
          <cell r="D3006">
            <v>41426</v>
          </cell>
          <cell r="E3006">
            <v>0</v>
          </cell>
          <cell r="F3006">
            <v>0</v>
          </cell>
          <cell r="G3006">
            <v>121313</v>
          </cell>
          <cell r="H3006">
            <v>0</v>
          </cell>
          <cell r="I3006">
            <v>0</v>
          </cell>
        </row>
        <row r="3007">
          <cell r="A3007" t="str">
            <v>1700|465001</v>
          </cell>
          <cell r="B3007" t="str">
            <v>1700</v>
          </cell>
          <cell r="C3007">
            <v>465001</v>
          </cell>
          <cell r="D3007">
            <v>41426</v>
          </cell>
          <cell r="E3007">
            <v>0</v>
          </cell>
          <cell r="F3007">
            <v>0</v>
          </cell>
          <cell r="G3007">
            <v>102380730</v>
          </cell>
          <cell r="H3007">
            <v>0</v>
          </cell>
          <cell r="I3007">
            <v>0</v>
          </cell>
        </row>
        <row r="3008">
          <cell r="A3008" t="str">
            <v>1700|422003</v>
          </cell>
          <cell r="B3008" t="str">
            <v>1700</v>
          </cell>
          <cell r="C3008">
            <v>422003</v>
          </cell>
          <cell r="D3008">
            <v>41426</v>
          </cell>
          <cell r="E3008">
            <v>0</v>
          </cell>
          <cell r="F3008">
            <v>0</v>
          </cell>
          <cell r="G3008">
            <v>452100</v>
          </cell>
          <cell r="H3008">
            <v>0</v>
          </cell>
          <cell r="I3008">
            <v>0</v>
          </cell>
        </row>
        <row r="3009">
          <cell r="A3009" t="str">
            <v>2100|431001</v>
          </cell>
          <cell r="B3009" t="str">
            <v>2100</v>
          </cell>
          <cell r="C3009">
            <v>431001</v>
          </cell>
          <cell r="D3009">
            <v>41426</v>
          </cell>
          <cell r="E3009">
            <v>0</v>
          </cell>
          <cell r="F3009">
            <v>0</v>
          </cell>
          <cell r="G3009">
            <v>200160</v>
          </cell>
          <cell r="H3009">
            <v>0</v>
          </cell>
          <cell r="I3009">
            <v>0</v>
          </cell>
        </row>
        <row r="3010">
          <cell r="A3010" t="str">
            <v>2220|422002</v>
          </cell>
          <cell r="B3010" t="str">
            <v>2220</v>
          </cell>
          <cell r="C3010">
            <v>422002</v>
          </cell>
          <cell r="D3010">
            <v>41426</v>
          </cell>
          <cell r="E3010">
            <v>0</v>
          </cell>
          <cell r="F3010">
            <v>0</v>
          </cell>
          <cell r="G3010">
            <v>71250</v>
          </cell>
          <cell r="H3010">
            <v>0</v>
          </cell>
          <cell r="I3010">
            <v>0</v>
          </cell>
        </row>
        <row r="3011">
          <cell r="A3011" t="str">
            <v>2230|476223</v>
          </cell>
          <cell r="B3011" t="str">
            <v>2230</v>
          </cell>
          <cell r="C3011">
            <v>476223</v>
          </cell>
          <cell r="D3011">
            <v>41426</v>
          </cell>
          <cell r="E3011">
            <v>0</v>
          </cell>
          <cell r="F3011">
            <v>0</v>
          </cell>
          <cell r="G3011">
            <v>839436029</v>
          </cell>
          <cell r="H3011">
            <v>0</v>
          </cell>
          <cell r="I3011">
            <v>107660597</v>
          </cell>
        </row>
        <row r="3012">
          <cell r="A3012" t="str">
            <v>2260|476223</v>
          </cell>
          <cell r="B3012" t="str">
            <v>2260</v>
          </cell>
          <cell r="C3012">
            <v>476223</v>
          </cell>
          <cell r="D3012">
            <v>41426</v>
          </cell>
          <cell r="E3012">
            <v>0</v>
          </cell>
          <cell r="F3012">
            <v>0</v>
          </cell>
          <cell r="G3012">
            <v>419415232</v>
          </cell>
          <cell r="H3012">
            <v>0</v>
          </cell>
          <cell r="I3012">
            <v>51904235</v>
          </cell>
        </row>
        <row r="3013">
          <cell r="A3013" t="str">
            <v>2300|451000</v>
          </cell>
          <cell r="B3013" t="str">
            <v>2300</v>
          </cell>
          <cell r="C3013">
            <v>451000</v>
          </cell>
          <cell r="D3013">
            <v>41426</v>
          </cell>
          <cell r="E3013">
            <v>0</v>
          </cell>
          <cell r="F3013">
            <v>0</v>
          </cell>
          <cell r="G3013">
            <v>1260000</v>
          </cell>
          <cell r="H3013">
            <v>0</v>
          </cell>
          <cell r="I3013">
            <v>0</v>
          </cell>
        </row>
        <row r="3014">
          <cell r="A3014" t="str">
            <v>2500|422003</v>
          </cell>
          <cell r="B3014" t="str">
            <v>2500</v>
          </cell>
          <cell r="C3014">
            <v>422003</v>
          </cell>
          <cell r="D3014">
            <v>41426</v>
          </cell>
          <cell r="E3014">
            <v>0</v>
          </cell>
          <cell r="F3014">
            <v>0</v>
          </cell>
          <cell r="G3014">
            <v>92700</v>
          </cell>
          <cell r="H3014">
            <v>0</v>
          </cell>
          <cell r="I3014">
            <v>0</v>
          </cell>
        </row>
        <row r="3015">
          <cell r="A3015" t="str">
            <v>3450|422002</v>
          </cell>
          <cell r="B3015" t="str">
            <v>3450</v>
          </cell>
          <cell r="C3015">
            <v>422002</v>
          </cell>
          <cell r="D3015">
            <v>41426</v>
          </cell>
          <cell r="E3015">
            <v>0</v>
          </cell>
          <cell r="F3015">
            <v>0</v>
          </cell>
          <cell r="G3015">
            <v>37050</v>
          </cell>
          <cell r="H3015">
            <v>0</v>
          </cell>
          <cell r="I3015">
            <v>0</v>
          </cell>
        </row>
        <row r="3016">
          <cell r="A3016" t="str">
            <v>5520|455002</v>
          </cell>
          <cell r="B3016" t="str">
            <v>5520</v>
          </cell>
          <cell r="C3016">
            <v>455002</v>
          </cell>
          <cell r="D3016">
            <v>41426</v>
          </cell>
          <cell r="E3016">
            <v>82000000</v>
          </cell>
          <cell r="F3016">
            <v>41000000</v>
          </cell>
          <cell r="G3016">
            <v>81807950</v>
          </cell>
          <cell r="H3016">
            <v>6833333</v>
          </cell>
          <cell r="I3016">
            <v>0</v>
          </cell>
        </row>
        <row r="3017">
          <cell r="A3017" t="str">
            <v>5520|439101</v>
          </cell>
          <cell r="B3017" t="str">
            <v>5520</v>
          </cell>
          <cell r="C3017">
            <v>439101</v>
          </cell>
          <cell r="D3017">
            <v>41426</v>
          </cell>
          <cell r="E3017">
            <v>0</v>
          </cell>
          <cell r="F3017">
            <v>0</v>
          </cell>
          <cell r="G3017">
            <v>1000000</v>
          </cell>
          <cell r="H3017">
            <v>0</v>
          </cell>
          <cell r="I3017">
            <v>0</v>
          </cell>
        </row>
        <row r="3018">
          <cell r="A3018" t="str">
            <v>6110|405251</v>
          </cell>
          <cell r="B3018" t="str">
            <v>6110</v>
          </cell>
          <cell r="C3018">
            <v>405251</v>
          </cell>
          <cell r="D3018">
            <v>41426</v>
          </cell>
          <cell r="E3018">
            <v>0</v>
          </cell>
          <cell r="F3018">
            <v>0</v>
          </cell>
          <cell r="G3018">
            <v>365018</v>
          </cell>
          <cell r="H3018">
            <v>0</v>
          </cell>
          <cell r="I3018">
            <v>0</v>
          </cell>
        </row>
        <row r="3019">
          <cell r="A3019" t="str">
            <v>6310|449060</v>
          </cell>
          <cell r="B3019" t="str">
            <v>6310</v>
          </cell>
          <cell r="C3019">
            <v>449060</v>
          </cell>
          <cell r="D3019">
            <v>41426</v>
          </cell>
          <cell r="E3019">
            <v>0</v>
          </cell>
          <cell r="F3019">
            <v>0</v>
          </cell>
          <cell r="G3019">
            <v>22494</v>
          </cell>
          <cell r="H3019">
            <v>0</v>
          </cell>
          <cell r="I3019">
            <v>0</v>
          </cell>
        </row>
        <row r="3020">
          <cell r="A3020" t="str">
            <v>6310|211100</v>
          </cell>
          <cell r="B3020" t="str">
            <v>6310</v>
          </cell>
          <cell r="C3020">
            <v>211100</v>
          </cell>
          <cell r="D3020">
            <v>41426</v>
          </cell>
          <cell r="E3020">
            <v>0</v>
          </cell>
          <cell r="F3020">
            <v>0</v>
          </cell>
          <cell r="G3020">
            <v>0</v>
          </cell>
          <cell r="H3020">
            <v>0</v>
          </cell>
          <cell r="I3020">
            <v>0</v>
          </cell>
        </row>
        <row r="3021">
          <cell r="A3021" t="str">
            <v>6326|455000</v>
          </cell>
          <cell r="B3021" t="str">
            <v>6326</v>
          </cell>
          <cell r="C3021">
            <v>455000</v>
          </cell>
          <cell r="D3021">
            <v>41426</v>
          </cell>
          <cell r="E3021">
            <v>0</v>
          </cell>
          <cell r="F3021">
            <v>0</v>
          </cell>
          <cell r="G3021">
            <v>1091508</v>
          </cell>
          <cell r="H3021">
            <v>0</v>
          </cell>
          <cell r="I3021">
            <v>0</v>
          </cell>
        </row>
        <row r="3022">
          <cell r="A3022" t="str">
            <v>6326|422000</v>
          </cell>
          <cell r="B3022" t="str">
            <v>6326</v>
          </cell>
          <cell r="C3022">
            <v>422000</v>
          </cell>
          <cell r="D3022">
            <v>41426</v>
          </cell>
          <cell r="E3022">
            <v>0</v>
          </cell>
          <cell r="F3022">
            <v>0</v>
          </cell>
          <cell r="G3022">
            <v>907550</v>
          </cell>
          <cell r="H3022">
            <v>0</v>
          </cell>
          <cell r="I3022">
            <v>0</v>
          </cell>
        </row>
        <row r="3023">
          <cell r="A3023" t="str">
            <v>6326|440000</v>
          </cell>
          <cell r="B3023" t="str">
            <v>6326</v>
          </cell>
          <cell r="C3023">
            <v>440000</v>
          </cell>
          <cell r="D3023">
            <v>41426</v>
          </cell>
          <cell r="E3023">
            <v>0</v>
          </cell>
          <cell r="F3023">
            <v>0</v>
          </cell>
          <cell r="G3023">
            <v>41418009</v>
          </cell>
          <cell r="H3023">
            <v>0</v>
          </cell>
          <cell r="I3023">
            <v>5459751</v>
          </cell>
        </row>
        <row r="3024">
          <cell r="A3024" t="str">
            <v>6421|448001</v>
          </cell>
          <cell r="B3024" t="str">
            <v>6421</v>
          </cell>
          <cell r="C3024">
            <v>448001</v>
          </cell>
          <cell r="D3024">
            <v>41426</v>
          </cell>
          <cell r="E3024">
            <v>0</v>
          </cell>
          <cell r="F3024">
            <v>0</v>
          </cell>
          <cell r="G3024">
            <v>3490800</v>
          </cell>
          <cell r="H3024">
            <v>0</v>
          </cell>
          <cell r="I3024">
            <v>1346700</v>
          </cell>
        </row>
        <row r="3025">
          <cell r="A3025" t="str">
            <v>6721|449060</v>
          </cell>
          <cell r="B3025" t="str">
            <v>6721</v>
          </cell>
          <cell r="C3025">
            <v>449060</v>
          </cell>
          <cell r="D3025">
            <v>41426</v>
          </cell>
          <cell r="E3025">
            <v>0</v>
          </cell>
          <cell r="F3025">
            <v>0</v>
          </cell>
          <cell r="G3025">
            <v>697311</v>
          </cell>
          <cell r="H3025">
            <v>0</v>
          </cell>
          <cell r="I3025">
            <v>0</v>
          </cell>
        </row>
        <row r="3026">
          <cell r="A3026" t="str">
            <v>0100|475001</v>
          </cell>
          <cell r="B3026" t="str">
            <v>0100</v>
          </cell>
          <cell r="C3026">
            <v>475001</v>
          </cell>
          <cell r="D3026">
            <v>41426</v>
          </cell>
          <cell r="E3026">
            <v>688498</v>
          </cell>
          <cell r="F3026">
            <v>344249</v>
          </cell>
          <cell r="G3026">
            <v>0</v>
          </cell>
          <cell r="H3026">
            <v>57375</v>
          </cell>
          <cell r="I3026">
            <v>0</v>
          </cell>
        </row>
        <row r="3027">
          <cell r="A3027" t="str">
            <v>0100|475005</v>
          </cell>
          <cell r="B3027" t="str">
            <v>0100</v>
          </cell>
          <cell r="C3027">
            <v>475005</v>
          </cell>
          <cell r="D3027">
            <v>41426</v>
          </cell>
          <cell r="E3027">
            <v>21000</v>
          </cell>
          <cell r="F3027">
            <v>10500</v>
          </cell>
          <cell r="G3027">
            <v>0</v>
          </cell>
          <cell r="H3027">
            <v>1750</v>
          </cell>
          <cell r="I3027">
            <v>0</v>
          </cell>
        </row>
        <row r="3028">
          <cell r="A3028" t="str">
            <v>0100|439006</v>
          </cell>
          <cell r="B3028" t="str">
            <v>0100</v>
          </cell>
          <cell r="C3028">
            <v>439006</v>
          </cell>
          <cell r="D3028">
            <v>41426</v>
          </cell>
          <cell r="E3028">
            <v>107671723</v>
          </cell>
          <cell r="F3028">
            <v>53835862</v>
          </cell>
          <cell r="G3028">
            <v>44973157</v>
          </cell>
          <cell r="H3028">
            <v>8972644</v>
          </cell>
          <cell r="I3028">
            <v>0</v>
          </cell>
        </row>
        <row r="3029">
          <cell r="A3029" t="str">
            <v>0100|446003</v>
          </cell>
          <cell r="B3029" t="str">
            <v>0100</v>
          </cell>
          <cell r="C3029">
            <v>446003</v>
          </cell>
          <cell r="D3029">
            <v>41426</v>
          </cell>
          <cell r="E3029">
            <v>8530000</v>
          </cell>
          <cell r="F3029">
            <v>4265000</v>
          </cell>
          <cell r="G3029">
            <v>150000</v>
          </cell>
          <cell r="H3029">
            <v>710833</v>
          </cell>
          <cell r="I3029">
            <v>50000</v>
          </cell>
        </row>
        <row r="3030">
          <cell r="A3030" t="str">
            <v>0200|475003</v>
          </cell>
          <cell r="B3030" t="str">
            <v>0200</v>
          </cell>
          <cell r="C3030">
            <v>475003</v>
          </cell>
          <cell r="D3030">
            <v>41426</v>
          </cell>
          <cell r="E3030">
            <v>1606839</v>
          </cell>
          <cell r="F3030">
            <v>803420</v>
          </cell>
          <cell r="G3030">
            <v>0</v>
          </cell>
          <cell r="H3030">
            <v>133904</v>
          </cell>
          <cell r="I3030">
            <v>0</v>
          </cell>
        </row>
        <row r="3031">
          <cell r="A3031" t="str">
            <v>0200|477500</v>
          </cell>
          <cell r="B3031" t="str">
            <v>0200</v>
          </cell>
          <cell r="C3031">
            <v>477500</v>
          </cell>
          <cell r="D3031">
            <v>41426</v>
          </cell>
          <cell r="E3031">
            <v>376380</v>
          </cell>
          <cell r="F3031">
            <v>188190</v>
          </cell>
          <cell r="G3031">
            <v>0</v>
          </cell>
          <cell r="H3031">
            <v>31365</v>
          </cell>
          <cell r="I3031">
            <v>0</v>
          </cell>
        </row>
        <row r="3032">
          <cell r="A3032" t="str">
            <v>0200|405252</v>
          </cell>
          <cell r="B3032" t="str">
            <v>0200</v>
          </cell>
          <cell r="C3032">
            <v>405252</v>
          </cell>
          <cell r="D3032">
            <v>41426</v>
          </cell>
          <cell r="E3032">
            <v>100000000</v>
          </cell>
          <cell r="F3032">
            <v>50000000</v>
          </cell>
          <cell r="G3032">
            <v>0</v>
          </cell>
          <cell r="H3032">
            <v>8333333</v>
          </cell>
          <cell r="I3032">
            <v>0</v>
          </cell>
        </row>
        <row r="3033">
          <cell r="A3033" t="str">
            <v>0230|451000</v>
          </cell>
          <cell r="B3033" t="str">
            <v>0230</v>
          </cell>
          <cell r="C3033">
            <v>451000</v>
          </cell>
          <cell r="D3033">
            <v>41426</v>
          </cell>
          <cell r="E3033">
            <v>8495500</v>
          </cell>
          <cell r="F3033">
            <v>4247750</v>
          </cell>
          <cell r="G3033">
            <v>0</v>
          </cell>
          <cell r="H3033">
            <v>707959</v>
          </cell>
          <cell r="I3033">
            <v>0</v>
          </cell>
        </row>
        <row r="3034">
          <cell r="A3034" t="str">
            <v>0230|476910</v>
          </cell>
          <cell r="B3034" t="str">
            <v>0230</v>
          </cell>
          <cell r="C3034">
            <v>476910</v>
          </cell>
          <cell r="D3034">
            <v>41426</v>
          </cell>
          <cell r="E3034">
            <v>308408</v>
          </cell>
          <cell r="F3034">
            <v>154204</v>
          </cell>
          <cell r="G3034">
            <v>3240000</v>
          </cell>
          <cell r="H3034">
            <v>25701</v>
          </cell>
          <cell r="I3034">
            <v>0</v>
          </cell>
        </row>
        <row r="3035">
          <cell r="A3035" t="str">
            <v>0230|435001</v>
          </cell>
          <cell r="B3035" t="str">
            <v>0230</v>
          </cell>
          <cell r="C3035">
            <v>435001</v>
          </cell>
          <cell r="D3035">
            <v>41426</v>
          </cell>
          <cell r="E3035">
            <v>5824830</v>
          </cell>
          <cell r="F3035">
            <v>2912415</v>
          </cell>
          <cell r="G3035">
            <v>5531000</v>
          </cell>
          <cell r="H3035">
            <v>485402</v>
          </cell>
          <cell r="I3035">
            <v>0</v>
          </cell>
        </row>
        <row r="3036">
          <cell r="A3036" t="str">
            <v>0230|448001</v>
          </cell>
          <cell r="B3036" t="str">
            <v>0230</v>
          </cell>
          <cell r="C3036">
            <v>448001</v>
          </cell>
          <cell r="D3036">
            <v>41426</v>
          </cell>
          <cell r="E3036">
            <v>5967791</v>
          </cell>
          <cell r="F3036">
            <v>2983896</v>
          </cell>
          <cell r="G3036">
            <v>1726100</v>
          </cell>
          <cell r="H3036">
            <v>497316</v>
          </cell>
          <cell r="I3036">
            <v>0</v>
          </cell>
        </row>
        <row r="3037">
          <cell r="A3037" t="str">
            <v>0230|470101</v>
          </cell>
          <cell r="B3037" t="str">
            <v>0230</v>
          </cell>
          <cell r="C3037">
            <v>470101</v>
          </cell>
          <cell r="D3037">
            <v>41426</v>
          </cell>
          <cell r="E3037">
            <v>126600</v>
          </cell>
          <cell r="F3037">
            <v>63300</v>
          </cell>
          <cell r="G3037">
            <v>0</v>
          </cell>
          <cell r="H3037">
            <v>10550</v>
          </cell>
          <cell r="I3037">
            <v>0</v>
          </cell>
        </row>
        <row r="3038">
          <cell r="A3038" t="str">
            <v>0260|477800</v>
          </cell>
          <cell r="B3038" t="str">
            <v>0260</v>
          </cell>
          <cell r="C3038">
            <v>477800</v>
          </cell>
          <cell r="D3038">
            <v>41426</v>
          </cell>
          <cell r="E3038">
            <v>220000000</v>
          </cell>
          <cell r="F3038">
            <v>110000000</v>
          </cell>
          <cell r="G3038">
            <v>0</v>
          </cell>
          <cell r="H3038">
            <v>18333333</v>
          </cell>
          <cell r="I3038">
            <v>0</v>
          </cell>
        </row>
        <row r="3039">
          <cell r="A3039" t="str">
            <v>0260|405251</v>
          </cell>
          <cell r="B3039" t="str">
            <v>0260</v>
          </cell>
          <cell r="C3039">
            <v>405251</v>
          </cell>
          <cell r="D3039">
            <v>41426</v>
          </cell>
          <cell r="E3039">
            <v>5000000</v>
          </cell>
          <cell r="F3039">
            <v>2500000</v>
          </cell>
          <cell r="G3039">
            <v>0</v>
          </cell>
          <cell r="H3039">
            <v>416667</v>
          </cell>
          <cell r="I3039">
            <v>0</v>
          </cell>
        </row>
        <row r="3040">
          <cell r="A3040" t="str">
            <v>0260|405254</v>
          </cell>
          <cell r="B3040" t="str">
            <v>0260</v>
          </cell>
          <cell r="C3040">
            <v>405254</v>
          </cell>
          <cell r="D3040">
            <v>41426</v>
          </cell>
          <cell r="E3040">
            <v>7000000</v>
          </cell>
          <cell r="F3040">
            <v>3500000</v>
          </cell>
          <cell r="G3040">
            <v>0</v>
          </cell>
          <cell r="H3040">
            <v>583333</v>
          </cell>
          <cell r="I3040">
            <v>0</v>
          </cell>
        </row>
        <row r="3041">
          <cell r="A3041" t="str">
            <v>0260|476223</v>
          </cell>
          <cell r="B3041" t="str">
            <v>0260</v>
          </cell>
          <cell r="C3041">
            <v>476223</v>
          </cell>
          <cell r="D3041">
            <v>41426</v>
          </cell>
          <cell r="E3041">
            <v>25000000</v>
          </cell>
          <cell r="F3041">
            <v>12500000</v>
          </cell>
          <cell r="G3041">
            <v>0</v>
          </cell>
          <cell r="H3041">
            <v>2083333</v>
          </cell>
          <cell r="I3041">
            <v>0</v>
          </cell>
        </row>
        <row r="3042">
          <cell r="A3042" t="str">
            <v>0260|422000</v>
          </cell>
          <cell r="B3042" t="str">
            <v>0260</v>
          </cell>
          <cell r="C3042">
            <v>422000</v>
          </cell>
          <cell r="D3042">
            <v>41426</v>
          </cell>
          <cell r="E3042">
            <v>138510</v>
          </cell>
          <cell r="F3042">
            <v>69255</v>
          </cell>
          <cell r="G3042">
            <v>0</v>
          </cell>
          <cell r="H3042">
            <v>11542</v>
          </cell>
          <cell r="I3042">
            <v>0</v>
          </cell>
        </row>
        <row r="3043">
          <cell r="A3043" t="str">
            <v>0310|449040</v>
          </cell>
          <cell r="B3043" t="str">
            <v>0310</v>
          </cell>
          <cell r="C3043">
            <v>449040</v>
          </cell>
          <cell r="D3043">
            <v>41426</v>
          </cell>
          <cell r="E3043">
            <v>2857300</v>
          </cell>
          <cell r="F3043">
            <v>1428650</v>
          </cell>
          <cell r="G3043">
            <v>0</v>
          </cell>
          <cell r="H3043">
            <v>238108</v>
          </cell>
          <cell r="I3043">
            <v>0</v>
          </cell>
        </row>
        <row r="3044">
          <cell r="A3044" t="str">
            <v>0310|431001</v>
          </cell>
          <cell r="B3044" t="str">
            <v>0310</v>
          </cell>
          <cell r="C3044">
            <v>431001</v>
          </cell>
          <cell r="D3044">
            <v>41426</v>
          </cell>
          <cell r="E3044">
            <v>2000000</v>
          </cell>
          <cell r="F3044">
            <v>1000000</v>
          </cell>
          <cell r="G3044">
            <v>0</v>
          </cell>
          <cell r="H3044">
            <v>166667</v>
          </cell>
          <cell r="I3044">
            <v>0</v>
          </cell>
        </row>
        <row r="3045">
          <cell r="A3045" t="str">
            <v>0310|406000</v>
          </cell>
          <cell r="B3045" t="str">
            <v>0310</v>
          </cell>
          <cell r="C3045">
            <v>406000</v>
          </cell>
          <cell r="D3045">
            <v>41426</v>
          </cell>
          <cell r="E3045">
            <v>100000000</v>
          </cell>
          <cell r="F3045">
            <v>50000000</v>
          </cell>
          <cell r="G3045">
            <v>0</v>
          </cell>
          <cell r="H3045">
            <v>8333333</v>
          </cell>
          <cell r="I3045">
            <v>0</v>
          </cell>
        </row>
        <row r="3046">
          <cell r="A3046" t="str">
            <v>0340|449040</v>
          </cell>
          <cell r="B3046" t="str">
            <v>0340</v>
          </cell>
          <cell r="C3046">
            <v>449040</v>
          </cell>
          <cell r="D3046">
            <v>41426</v>
          </cell>
          <cell r="E3046">
            <v>758916</v>
          </cell>
          <cell r="F3046">
            <v>379458</v>
          </cell>
          <cell r="G3046">
            <v>0</v>
          </cell>
          <cell r="H3046">
            <v>63243</v>
          </cell>
          <cell r="I3046">
            <v>0</v>
          </cell>
        </row>
        <row r="3047">
          <cell r="A3047" t="str">
            <v>0340|455000</v>
          </cell>
          <cell r="B3047" t="str">
            <v>0340</v>
          </cell>
          <cell r="C3047">
            <v>455000</v>
          </cell>
          <cell r="D3047">
            <v>41426</v>
          </cell>
          <cell r="E3047">
            <v>1100000</v>
          </cell>
          <cell r="F3047">
            <v>550000</v>
          </cell>
          <cell r="G3047">
            <v>9229000</v>
          </cell>
          <cell r="H3047">
            <v>91667</v>
          </cell>
          <cell r="I3047">
            <v>9159000</v>
          </cell>
        </row>
        <row r="3048">
          <cell r="A3048" t="str">
            <v>0360|431000</v>
          </cell>
          <cell r="B3048" t="str">
            <v>0360</v>
          </cell>
          <cell r="C3048">
            <v>431000</v>
          </cell>
          <cell r="D3048">
            <v>41426</v>
          </cell>
          <cell r="E3048">
            <v>7000000</v>
          </cell>
          <cell r="F3048">
            <v>3500000</v>
          </cell>
          <cell r="G3048">
            <v>0</v>
          </cell>
          <cell r="H3048">
            <v>583333</v>
          </cell>
          <cell r="I3048">
            <v>0</v>
          </cell>
        </row>
        <row r="3049">
          <cell r="A3049" t="str">
            <v>0370|449040</v>
          </cell>
          <cell r="B3049" t="str">
            <v>0370</v>
          </cell>
          <cell r="C3049">
            <v>449040</v>
          </cell>
          <cell r="D3049">
            <v>41426</v>
          </cell>
          <cell r="E3049">
            <v>3298757</v>
          </cell>
          <cell r="F3049">
            <v>1649379</v>
          </cell>
          <cell r="G3049">
            <v>174000</v>
          </cell>
          <cell r="H3049">
            <v>274897</v>
          </cell>
          <cell r="I3049">
            <v>0</v>
          </cell>
        </row>
        <row r="3050">
          <cell r="A3050" t="str">
            <v>0370|405251</v>
          </cell>
          <cell r="B3050" t="str">
            <v>0370</v>
          </cell>
          <cell r="C3050">
            <v>405251</v>
          </cell>
          <cell r="D3050">
            <v>41426</v>
          </cell>
          <cell r="E3050">
            <v>3000000</v>
          </cell>
          <cell r="F3050">
            <v>1500000</v>
          </cell>
          <cell r="G3050">
            <v>0</v>
          </cell>
          <cell r="H3050">
            <v>250000</v>
          </cell>
          <cell r="I3050">
            <v>0</v>
          </cell>
        </row>
        <row r="3051">
          <cell r="A3051" t="str">
            <v>0370|476223</v>
          </cell>
          <cell r="B3051" t="str">
            <v>0370</v>
          </cell>
          <cell r="C3051">
            <v>476223</v>
          </cell>
          <cell r="D3051">
            <v>41426</v>
          </cell>
          <cell r="E3051">
            <v>99000000</v>
          </cell>
          <cell r="F3051">
            <v>49500000</v>
          </cell>
          <cell r="G3051">
            <v>43886490</v>
          </cell>
          <cell r="H3051">
            <v>8249998</v>
          </cell>
          <cell r="I3051">
            <v>8177298</v>
          </cell>
        </row>
        <row r="3052">
          <cell r="A3052" t="str">
            <v>0370|451001</v>
          </cell>
          <cell r="B3052" t="str">
            <v>0370</v>
          </cell>
          <cell r="C3052">
            <v>451001</v>
          </cell>
          <cell r="D3052">
            <v>41426</v>
          </cell>
          <cell r="E3052">
            <v>350000000</v>
          </cell>
          <cell r="F3052">
            <v>175000000</v>
          </cell>
          <cell r="G3052">
            <v>222225805</v>
          </cell>
          <cell r="H3052">
            <v>29166667</v>
          </cell>
          <cell r="I3052">
            <v>220975805</v>
          </cell>
        </row>
        <row r="3053">
          <cell r="A3053" t="str">
            <v>0370|446001</v>
          </cell>
          <cell r="B3053" t="str">
            <v>0370</v>
          </cell>
          <cell r="C3053">
            <v>446001</v>
          </cell>
          <cell r="D3053">
            <v>41426</v>
          </cell>
          <cell r="E3053">
            <v>16860000</v>
          </cell>
          <cell r="F3053">
            <v>8430000</v>
          </cell>
          <cell r="G3053">
            <v>0</v>
          </cell>
          <cell r="H3053">
            <v>1405000</v>
          </cell>
          <cell r="I3053">
            <v>0</v>
          </cell>
        </row>
        <row r="3054">
          <cell r="A3054" t="str">
            <v>0380|405251</v>
          </cell>
          <cell r="B3054" t="str">
            <v>0380</v>
          </cell>
          <cell r="C3054">
            <v>405251</v>
          </cell>
          <cell r="D3054">
            <v>41426</v>
          </cell>
          <cell r="E3054">
            <v>12000000</v>
          </cell>
          <cell r="F3054">
            <v>6000000</v>
          </cell>
          <cell r="G3054">
            <v>10333951</v>
          </cell>
          <cell r="H3054">
            <v>1000000</v>
          </cell>
          <cell r="I3054">
            <v>-584342</v>
          </cell>
        </row>
        <row r="3055">
          <cell r="A3055" t="str">
            <v>0380|451001</v>
          </cell>
          <cell r="B3055" t="str">
            <v>0380</v>
          </cell>
          <cell r="C3055">
            <v>451001</v>
          </cell>
          <cell r="D3055">
            <v>41426</v>
          </cell>
          <cell r="E3055">
            <v>20000000</v>
          </cell>
          <cell r="F3055">
            <v>10000000</v>
          </cell>
          <cell r="G3055">
            <v>22928250</v>
          </cell>
          <cell r="H3055">
            <v>1666667</v>
          </cell>
          <cell r="I3055">
            <v>0</v>
          </cell>
        </row>
        <row r="3056">
          <cell r="A3056" t="str">
            <v>0510|476201</v>
          </cell>
          <cell r="B3056" t="str">
            <v>0510</v>
          </cell>
          <cell r="C3056">
            <v>476201</v>
          </cell>
          <cell r="D3056">
            <v>41426</v>
          </cell>
          <cell r="E3056">
            <v>11672893</v>
          </cell>
          <cell r="F3056">
            <v>5836447</v>
          </cell>
          <cell r="G3056">
            <v>0</v>
          </cell>
          <cell r="H3056">
            <v>972742</v>
          </cell>
          <cell r="I3056">
            <v>0</v>
          </cell>
        </row>
        <row r="3057">
          <cell r="A3057" t="str">
            <v>0510|422002</v>
          </cell>
          <cell r="B3057" t="str">
            <v>0510</v>
          </cell>
          <cell r="C3057">
            <v>422002</v>
          </cell>
          <cell r="D3057">
            <v>41426</v>
          </cell>
          <cell r="E3057">
            <v>80550</v>
          </cell>
          <cell r="F3057">
            <v>40275</v>
          </cell>
          <cell r="G3057">
            <v>0</v>
          </cell>
          <cell r="H3057">
            <v>6712</v>
          </cell>
          <cell r="I3057">
            <v>0</v>
          </cell>
        </row>
        <row r="3058">
          <cell r="A3058" t="str">
            <v>0520|476910</v>
          </cell>
          <cell r="B3058" t="str">
            <v>0520</v>
          </cell>
          <cell r="C3058">
            <v>476910</v>
          </cell>
          <cell r="D3058">
            <v>41426</v>
          </cell>
          <cell r="E3058">
            <v>37983</v>
          </cell>
          <cell r="F3058">
            <v>18992</v>
          </cell>
          <cell r="G3058">
            <v>0</v>
          </cell>
          <cell r="H3058">
            <v>3166</v>
          </cell>
          <cell r="I3058">
            <v>0</v>
          </cell>
        </row>
        <row r="3059">
          <cell r="A3059" t="str">
            <v>0520|422002</v>
          </cell>
          <cell r="B3059" t="str">
            <v>0520</v>
          </cell>
          <cell r="C3059">
            <v>422002</v>
          </cell>
          <cell r="D3059">
            <v>41426</v>
          </cell>
          <cell r="E3059">
            <v>474390</v>
          </cell>
          <cell r="F3059">
            <v>237195</v>
          </cell>
          <cell r="G3059">
            <v>0</v>
          </cell>
          <cell r="H3059">
            <v>39532</v>
          </cell>
          <cell r="I3059">
            <v>0</v>
          </cell>
        </row>
        <row r="3060">
          <cell r="A3060" t="str">
            <v>0530|475003</v>
          </cell>
          <cell r="B3060" t="str">
            <v>0530</v>
          </cell>
          <cell r="C3060">
            <v>475003</v>
          </cell>
          <cell r="D3060">
            <v>41426</v>
          </cell>
          <cell r="E3060">
            <v>4449284</v>
          </cell>
          <cell r="F3060">
            <v>2224642</v>
          </cell>
          <cell r="G3060">
            <v>1650000</v>
          </cell>
          <cell r="H3060">
            <v>370774</v>
          </cell>
          <cell r="I3060">
            <v>150000</v>
          </cell>
        </row>
        <row r="3061">
          <cell r="A3061" t="str">
            <v>0530|433003</v>
          </cell>
          <cell r="B3061" t="str">
            <v>0530</v>
          </cell>
          <cell r="C3061">
            <v>433003</v>
          </cell>
          <cell r="D3061">
            <v>41426</v>
          </cell>
          <cell r="E3061">
            <v>23680304</v>
          </cell>
          <cell r="F3061">
            <v>11840152</v>
          </cell>
          <cell r="G3061">
            <v>0</v>
          </cell>
          <cell r="H3061">
            <v>1973359</v>
          </cell>
          <cell r="I3061">
            <v>0</v>
          </cell>
        </row>
        <row r="3062">
          <cell r="A3062" t="str">
            <v>1100|475005</v>
          </cell>
          <cell r="B3062" t="str">
            <v>1100</v>
          </cell>
          <cell r="C3062">
            <v>475005</v>
          </cell>
          <cell r="D3062">
            <v>41426</v>
          </cell>
          <cell r="E3062">
            <v>3230575</v>
          </cell>
          <cell r="F3062">
            <v>1615288</v>
          </cell>
          <cell r="G3062">
            <v>0</v>
          </cell>
          <cell r="H3062">
            <v>269215</v>
          </cell>
          <cell r="I3062">
            <v>0</v>
          </cell>
        </row>
        <row r="3063">
          <cell r="A3063" t="str">
            <v>1100|459005</v>
          </cell>
          <cell r="B3063" t="str">
            <v>1100</v>
          </cell>
          <cell r="C3063">
            <v>459005</v>
          </cell>
          <cell r="D3063">
            <v>41426</v>
          </cell>
          <cell r="E3063">
            <v>2986689</v>
          </cell>
          <cell r="F3063">
            <v>1493345</v>
          </cell>
          <cell r="G3063">
            <v>0</v>
          </cell>
          <cell r="H3063">
            <v>248891</v>
          </cell>
          <cell r="I3063">
            <v>0</v>
          </cell>
        </row>
        <row r="3064">
          <cell r="A3064" t="str">
            <v>1100|449011</v>
          </cell>
          <cell r="B3064" t="str">
            <v>1100</v>
          </cell>
          <cell r="C3064">
            <v>449011</v>
          </cell>
          <cell r="D3064">
            <v>41426</v>
          </cell>
          <cell r="E3064">
            <v>75000000</v>
          </cell>
          <cell r="F3064">
            <v>37500000</v>
          </cell>
          <cell r="G3064">
            <v>-313878600</v>
          </cell>
          <cell r="H3064">
            <v>6250000</v>
          </cell>
          <cell r="I3064">
            <v>-313878600</v>
          </cell>
        </row>
        <row r="3065">
          <cell r="A3065" t="str">
            <v>1100|449012</v>
          </cell>
          <cell r="B3065" t="str">
            <v>1100</v>
          </cell>
          <cell r="C3065">
            <v>449012</v>
          </cell>
          <cell r="D3065">
            <v>41426</v>
          </cell>
          <cell r="E3065">
            <v>100000000</v>
          </cell>
          <cell r="F3065">
            <v>50000000</v>
          </cell>
          <cell r="G3065">
            <v>52530001</v>
          </cell>
          <cell r="H3065">
            <v>8333333</v>
          </cell>
          <cell r="I3065">
            <v>2550001</v>
          </cell>
        </row>
        <row r="3066">
          <cell r="A3066" t="str">
            <v>1110|474100</v>
          </cell>
          <cell r="B3066" t="str">
            <v>1110</v>
          </cell>
          <cell r="C3066">
            <v>474100</v>
          </cell>
          <cell r="D3066">
            <v>41426</v>
          </cell>
          <cell r="E3066">
            <v>112097</v>
          </cell>
          <cell r="F3066">
            <v>56049</v>
          </cell>
          <cell r="G3066">
            <v>0</v>
          </cell>
          <cell r="H3066">
            <v>9342</v>
          </cell>
          <cell r="I3066">
            <v>0</v>
          </cell>
        </row>
        <row r="3067">
          <cell r="A3067" t="str">
            <v>1200|451000</v>
          </cell>
          <cell r="B3067" t="str">
            <v>1200</v>
          </cell>
          <cell r="C3067">
            <v>451000</v>
          </cell>
          <cell r="D3067">
            <v>41426</v>
          </cell>
          <cell r="E3067">
            <v>434201</v>
          </cell>
          <cell r="F3067">
            <v>217101</v>
          </cell>
          <cell r="G3067">
            <v>0</v>
          </cell>
          <cell r="H3067">
            <v>36184</v>
          </cell>
          <cell r="I3067">
            <v>0</v>
          </cell>
        </row>
        <row r="3068">
          <cell r="A3068" t="str">
            <v>1200|400040</v>
          </cell>
          <cell r="B3068" t="str">
            <v>1200</v>
          </cell>
          <cell r="C3068">
            <v>400040</v>
          </cell>
          <cell r="D3068">
            <v>41426</v>
          </cell>
          <cell r="E3068">
            <v>1000000</v>
          </cell>
          <cell r="F3068">
            <v>500000</v>
          </cell>
          <cell r="G3068">
            <v>0</v>
          </cell>
          <cell r="H3068">
            <v>83333</v>
          </cell>
          <cell r="I3068">
            <v>0</v>
          </cell>
        </row>
        <row r="3069">
          <cell r="A3069" t="str">
            <v>1210|466000</v>
          </cell>
          <cell r="B3069" t="str">
            <v>1210</v>
          </cell>
          <cell r="C3069">
            <v>466000</v>
          </cell>
          <cell r="D3069">
            <v>41426</v>
          </cell>
          <cell r="E3069">
            <v>277783706</v>
          </cell>
          <cell r="F3069">
            <v>138891853</v>
          </cell>
          <cell r="G3069">
            <v>0</v>
          </cell>
          <cell r="H3069">
            <v>23148642</v>
          </cell>
          <cell r="I3069">
            <v>0</v>
          </cell>
        </row>
        <row r="3070">
          <cell r="A3070" t="str">
            <v>1210|466002</v>
          </cell>
          <cell r="B3070" t="str">
            <v>1210</v>
          </cell>
          <cell r="C3070">
            <v>466002</v>
          </cell>
          <cell r="D3070">
            <v>41426</v>
          </cell>
          <cell r="E3070">
            <v>1500000</v>
          </cell>
          <cell r="F3070">
            <v>750000</v>
          </cell>
          <cell r="G3070">
            <v>0</v>
          </cell>
          <cell r="H3070">
            <v>125000</v>
          </cell>
          <cell r="I3070">
            <v>0</v>
          </cell>
        </row>
        <row r="3071">
          <cell r="A3071" t="str">
            <v>1210|466003</v>
          </cell>
          <cell r="B3071" t="str">
            <v>1210</v>
          </cell>
          <cell r="C3071">
            <v>466003</v>
          </cell>
          <cell r="D3071">
            <v>41426</v>
          </cell>
          <cell r="E3071">
            <v>290000000</v>
          </cell>
          <cell r="F3071">
            <v>145000000</v>
          </cell>
          <cell r="G3071">
            <v>40871561</v>
          </cell>
          <cell r="H3071">
            <v>24166667</v>
          </cell>
          <cell r="I3071">
            <v>0</v>
          </cell>
        </row>
        <row r="3072">
          <cell r="A3072" t="str">
            <v>1300|475002</v>
          </cell>
          <cell r="B3072" t="str">
            <v>1300</v>
          </cell>
          <cell r="C3072">
            <v>475002</v>
          </cell>
          <cell r="D3072">
            <v>41426</v>
          </cell>
          <cell r="E3072">
            <v>10028</v>
          </cell>
          <cell r="F3072">
            <v>5014</v>
          </cell>
          <cell r="G3072">
            <v>0</v>
          </cell>
          <cell r="H3072">
            <v>836</v>
          </cell>
          <cell r="I3072">
            <v>0</v>
          </cell>
        </row>
        <row r="3073">
          <cell r="A3073" t="str">
            <v>1300|434013</v>
          </cell>
          <cell r="B3073" t="str">
            <v>1300</v>
          </cell>
          <cell r="C3073">
            <v>434013</v>
          </cell>
          <cell r="D3073">
            <v>41426</v>
          </cell>
          <cell r="E3073">
            <v>28017619</v>
          </cell>
          <cell r="F3073">
            <v>14008810</v>
          </cell>
          <cell r="G3073">
            <v>0</v>
          </cell>
          <cell r="H3073">
            <v>2334802</v>
          </cell>
          <cell r="I3073">
            <v>0</v>
          </cell>
        </row>
        <row r="3074">
          <cell r="A3074" t="str">
            <v>1400|475002</v>
          </cell>
          <cell r="B3074" t="str">
            <v>1400</v>
          </cell>
          <cell r="C3074">
            <v>475002</v>
          </cell>
          <cell r="D3074">
            <v>41426</v>
          </cell>
          <cell r="E3074">
            <v>355518</v>
          </cell>
          <cell r="F3074">
            <v>177759</v>
          </cell>
          <cell r="G3074">
            <v>0</v>
          </cell>
          <cell r="H3074">
            <v>29626</v>
          </cell>
          <cell r="I3074">
            <v>0</v>
          </cell>
        </row>
        <row r="3075">
          <cell r="A3075" t="str">
            <v>1510|475002</v>
          </cell>
          <cell r="B3075" t="str">
            <v>1510</v>
          </cell>
          <cell r="C3075">
            <v>475002</v>
          </cell>
          <cell r="D3075">
            <v>41426</v>
          </cell>
          <cell r="E3075">
            <v>310730</v>
          </cell>
          <cell r="F3075">
            <v>155365</v>
          </cell>
          <cell r="G3075">
            <v>0</v>
          </cell>
          <cell r="H3075">
            <v>25894</v>
          </cell>
          <cell r="I3075">
            <v>0</v>
          </cell>
        </row>
        <row r="3076">
          <cell r="A3076" t="str">
            <v>1550|475002</v>
          </cell>
          <cell r="B3076" t="str">
            <v>1550</v>
          </cell>
          <cell r="C3076">
            <v>475002</v>
          </cell>
          <cell r="D3076">
            <v>41426</v>
          </cell>
          <cell r="E3076">
            <v>456509</v>
          </cell>
          <cell r="F3076">
            <v>228255</v>
          </cell>
          <cell r="G3076">
            <v>0</v>
          </cell>
          <cell r="H3076">
            <v>38043</v>
          </cell>
          <cell r="I3076">
            <v>0</v>
          </cell>
        </row>
        <row r="3077">
          <cell r="A3077" t="str">
            <v>1600|431002</v>
          </cell>
          <cell r="B3077" t="str">
            <v>1600</v>
          </cell>
          <cell r="C3077">
            <v>431002</v>
          </cell>
          <cell r="D3077">
            <v>41426</v>
          </cell>
          <cell r="E3077">
            <v>1295479</v>
          </cell>
          <cell r="F3077">
            <v>647740</v>
          </cell>
          <cell r="G3077">
            <v>825000</v>
          </cell>
          <cell r="H3077">
            <v>107957</v>
          </cell>
          <cell r="I3077">
            <v>0</v>
          </cell>
        </row>
        <row r="3078">
          <cell r="A3078" t="str">
            <v>1600|476220</v>
          </cell>
          <cell r="B3078" t="str">
            <v>1600</v>
          </cell>
          <cell r="C3078">
            <v>476220</v>
          </cell>
          <cell r="D3078">
            <v>41426</v>
          </cell>
          <cell r="E3078">
            <v>17240</v>
          </cell>
          <cell r="F3078">
            <v>8620</v>
          </cell>
          <cell r="G3078">
            <v>0</v>
          </cell>
          <cell r="H3078">
            <v>1437</v>
          </cell>
          <cell r="I3078">
            <v>0</v>
          </cell>
        </row>
        <row r="3079">
          <cell r="A3079" t="str">
            <v>1600|476910</v>
          </cell>
          <cell r="B3079" t="str">
            <v>1600</v>
          </cell>
          <cell r="C3079">
            <v>476910</v>
          </cell>
          <cell r="D3079">
            <v>41426</v>
          </cell>
          <cell r="E3079">
            <v>467563</v>
          </cell>
          <cell r="F3079">
            <v>233782</v>
          </cell>
          <cell r="G3079">
            <v>0</v>
          </cell>
          <cell r="H3079">
            <v>38964</v>
          </cell>
          <cell r="I3079">
            <v>0</v>
          </cell>
        </row>
        <row r="3080">
          <cell r="A3080" t="str">
            <v>1600|477500</v>
          </cell>
          <cell r="B3080" t="str">
            <v>1600</v>
          </cell>
          <cell r="C3080">
            <v>477500</v>
          </cell>
          <cell r="D3080">
            <v>41426</v>
          </cell>
          <cell r="E3080">
            <v>899156</v>
          </cell>
          <cell r="F3080">
            <v>449578</v>
          </cell>
          <cell r="G3080">
            <v>0</v>
          </cell>
          <cell r="H3080">
            <v>74930</v>
          </cell>
          <cell r="I3080">
            <v>0</v>
          </cell>
        </row>
        <row r="3081">
          <cell r="A3081" t="str">
            <v>1610|474100</v>
          </cell>
          <cell r="B3081" t="str">
            <v>1610</v>
          </cell>
          <cell r="C3081">
            <v>474100</v>
          </cell>
          <cell r="D3081">
            <v>41426</v>
          </cell>
          <cell r="E3081">
            <v>20000000</v>
          </cell>
          <cell r="F3081">
            <v>10000000</v>
          </cell>
          <cell r="G3081">
            <v>7007913</v>
          </cell>
          <cell r="H3081">
            <v>1666667</v>
          </cell>
          <cell r="I3081">
            <v>7007913</v>
          </cell>
        </row>
        <row r="3082">
          <cell r="A3082" t="str">
            <v>1610|477500</v>
          </cell>
          <cell r="B3082" t="str">
            <v>1610</v>
          </cell>
          <cell r="C3082">
            <v>477500</v>
          </cell>
          <cell r="D3082">
            <v>41426</v>
          </cell>
          <cell r="E3082">
            <v>1547294</v>
          </cell>
          <cell r="F3082">
            <v>773647</v>
          </cell>
          <cell r="G3082">
            <v>0</v>
          </cell>
          <cell r="H3082">
            <v>128941</v>
          </cell>
          <cell r="I3082">
            <v>0</v>
          </cell>
        </row>
        <row r="3083">
          <cell r="A3083" t="str">
            <v>1700|476220</v>
          </cell>
          <cell r="B3083" t="str">
            <v>1700</v>
          </cell>
          <cell r="C3083">
            <v>476220</v>
          </cell>
          <cell r="D3083">
            <v>41426</v>
          </cell>
          <cell r="E3083">
            <v>995372</v>
          </cell>
          <cell r="F3083">
            <v>497686</v>
          </cell>
          <cell r="G3083">
            <v>0</v>
          </cell>
          <cell r="H3083">
            <v>82948</v>
          </cell>
          <cell r="I3083">
            <v>0</v>
          </cell>
        </row>
        <row r="3084">
          <cell r="A3084" t="str">
            <v>1700|470102</v>
          </cell>
          <cell r="B3084" t="str">
            <v>1700</v>
          </cell>
          <cell r="C3084">
            <v>470102</v>
          </cell>
          <cell r="D3084">
            <v>41426</v>
          </cell>
          <cell r="E3084">
            <v>411797</v>
          </cell>
          <cell r="F3084">
            <v>205899</v>
          </cell>
          <cell r="G3084">
            <v>0</v>
          </cell>
          <cell r="H3084">
            <v>34317</v>
          </cell>
          <cell r="I3084">
            <v>0</v>
          </cell>
        </row>
        <row r="3085">
          <cell r="A3085" t="str">
            <v>2100|474101</v>
          </cell>
          <cell r="B3085" t="str">
            <v>2100</v>
          </cell>
          <cell r="C3085">
            <v>474101</v>
          </cell>
          <cell r="D3085">
            <v>41426</v>
          </cell>
          <cell r="E3085">
            <v>846365</v>
          </cell>
          <cell r="F3085">
            <v>423183</v>
          </cell>
          <cell r="G3085">
            <v>1500000</v>
          </cell>
          <cell r="H3085">
            <v>70531</v>
          </cell>
          <cell r="I3085">
            <v>0</v>
          </cell>
        </row>
        <row r="3086">
          <cell r="A3086" t="str">
            <v>2100|405200</v>
          </cell>
          <cell r="B3086" t="str">
            <v>2100</v>
          </cell>
          <cell r="C3086">
            <v>405200</v>
          </cell>
          <cell r="D3086">
            <v>41426</v>
          </cell>
          <cell r="E3086">
            <v>3000000</v>
          </cell>
          <cell r="F3086">
            <v>1500000</v>
          </cell>
          <cell r="G3086">
            <v>2780500</v>
          </cell>
          <cell r="H3086">
            <v>250000</v>
          </cell>
          <cell r="I3086">
            <v>0</v>
          </cell>
        </row>
        <row r="3087">
          <cell r="A3087" t="str">
            <v>2100|420002</v>
          </cell>
          <cell r="B3087" t="str">
            <v>2100</v>
          </cell>
          <cell r="C3087">
            <v>420002</v>
          </cell>
          <cell r="D3087">
            <v>41426</v>
          </cell>
          <cell r="E3087">
            <v>79764732</v>
          </cell>
          <cell r="F3087">
            <v>39882366</v>
          </cell>
          <cell r="G3087">
            <v>0</v>
          </cell>
          <cell r="H3087">
            <v>6647061</v>
          </cell>
          <cell r="I3087">
            <v>0</v>
          </cell>
        </row>
        <row r="3088">
          <cell r="A3088" t="str">
            <v>2100|435002</v>
          </cell>
          <cell r="B3088" t="str">
            <v>2100</v>
          </cell>
          <cell r="C3088">
            <v>435002</v>
          </cell>
          <cell r="D3088">
            <v>41426</v>
          </cell>
          <cell r="E3088">
            <v>13626475</v>
          </cell>
          <cell r="F3088">
            <v>6813238</v>
          </cell>
          <cell r="G3088">
            <v>0</v>
          </cell>
          <cell r="H3088">
            <v>1135540</v>
          </cell>
          <cell r="I3088">
            <v>0</v>
          </cell>
        </row>
        <row r="3089">
          <cell r="A3089" t="str">
            <v>2100|439008</v>
          </cell>
          <cell r="B3089" t="str">
            <v>2100</v>
          </cell>
          <cell r="C3089">
            <v>439008</v>
          </cell>
          <cell r="D3089">
            <v>41426</v>
          </cell>
          <cell r="E3089">
            <v>16422063</v>
          </cell>
          <cell r="F3089">
            <v>8211032</v>
          </cell>
          <cell r="G3089">
            <v>0</v>
          </cell>
          <cell r="H3089">
            <v>1368506</v>
          </cell>
          <cell r="I3089">
            <v>0</v>
          </cell>
        </row>
        <row r="3090">
          <cell r="A3090" t="str">
            <v>2100|440002</v>
          </cell>
          <cell r="B3090" t="str">
            <v>2100</v>
          </cell>
          <cell r="C3090">
            <v>440002</v>
          </cell>
          <cell r="D3090">
            <v>41426</v>
          </cell>
          <cell r="E3090">
            <v>6647061</v>
          </cell>
          <cell r="F3090">
            <v>3323531</v>
          </cell>
          <cell r="G3090">
            <v>0</v>
          </cell>
          <cell r="H3090">
            <v>553922</v>
          </cell>
          <cell r="I3090">
            <v>0</v>
          </cell>
        </row>
        <row r="3091">
          <cell r="A3091" t="str">
            <v>2100|446002</v>
          </cell>
          <cell r="B3091" t="str">
            <v>2100</v>
          </cell>
          <cell r="C3091">
            <v>446002</v>
          </cell>
          <cell r="D3091">
            <v>41426</v>
          </cell>
          <cell r="E3091">
            <v>3323530</v>
          </cell>
          <cell r="F3091">
            <v>1661765</v>
          </cell>
          <cell r="G3091">
            <v>0</v>
          </cell>
          <cell r="H3091">
            <v>276961</v>
          </cell>
          <cell r="I3091">
            <v>0</v>
          </cell>
        </row>
        <row r="3092">
          <cell r="A3092" t="str">
            <v>2100|447002</v>
          </cell>
          <cell r="B3092" t="str">
            <v>2100</v>
          </cell>
          <cell r="C3092">
            <v>447002</v>
          </cell>
          <cell r="D3092">
            <v>41426</v>
          </cell>
          <cell r="E3092">
            <v>1252306</v>
          </cell>
          <cell r="F3092">
            <v>626153</v>
          </cell>
          <cell r="G3092">
            <v>0</v>
          </cell>
          <cell r="H3092">
            <v>104359</v>
          </cell>
          <cell r="I3092">
            <v>0</v>
          </cell>
        </row>
        <row r="3093">
          <cell r="A3093" t="str">
            <v>2100|447012</v>
          </cell>
          <cell r="B3093" t="str">
            <v>2100</v>
          </cell>
          <cell r="C3093">
            <v>447012</v>
          </cell>
          <cell r="D3093">
            <v>41426</v>
          </cell>
          <cell r="E3093">
            <v>2951295</v>
          </cell>
          <cell r="F3093">
            <v>1475648</v>
          </cell>
          <cell r="G3093">
            <v>0</v>
          </cell>
          <cell r="H3093">
            <v>245942</v>
          </cell>
          <cell r="I3093">
            <v>0</v>
          </cell>
        </row>
        <row r="3094">
          <cell r="A3094" t="str">
            <v>2100|447022</v>
          </cell>
          <cell r="B3094" t="str">
            <v>2100</v>
          </cell>
          <cell r="C3094">
            <v>447022</v>
          </cell>
          <cell r="D3094">
            <v>41426</v>
          </cell>
          <cell r="E3094">
            <v>125231</v>
          </cell>
          <cell r="F3094">
            <v>62616</v>
          </cell>
          <cell r="G3094">
            <v>0</v>
          </cell>
          <cell r="H3094">
            <v>10436</v>
          </cell>
          <cell r="I3094">
            <v>0</v>
          </cell>
        </row>
        <row r="3095">
          <cell r="A3095" t="str">
            <v>2100|449022</v>
          </cell>
          <cell r="B3095" t="str">
            <v>2100</v>
          </cell>
          <cell r="C3095">
            <v>449022</v>
          </cell>
          <cell r="D3095">
            <v>41426</v>
          </cell>
          <cell r="E3095">
            <v>3960000</v>
          </cell>
          <cell r="F3095">
            <v>1980000</v>
          </cell>
          <cell r="G3095">
            <v>0</v>
          </cell>
          <cell r="H3095">
            <v>330000</v>
          </cell>
          <cell r="I3095">
            <v>0</v>
          </cell>
        </row>
        <row r="3096">
          <cell r="A3096" t="str">
            <v>2200|452000</v>
          </cell>
          <cell r="B3096" t="str">
            <v>2200</v>
          </cell>
          <cell r="C3096">
            <v>452000</v>
          </cell>
          <cell r="D3096">
            <v>41426</v>
          </cell>
          <cell r="E3096">
            <v>436000000</v>
          </cell>
          <cell r="F3096">
            <v>218000000</v>
          </cell>
          <cell r="G3096">
            <v>0</v>
          </cell>
          <cell r="H3096">
            <v>36333333</v>
          </cell>
          <cell r="I3096">
            <v>0</v>
          </cell>
        </row>
        <row r="3097">
          <cell r="A3097" t="str">
            <v>2200|455001</v>
          </cell>
          <cell r="B3097" t="str">
            <v>2200</v>
          </cell>
          <cell r="C3097">
            <v>455001</v>
          </cell>
          <cell r="D3097">
            <v>41426</v>
          </cell>
          <cell r="E3097">
            <v>15000000</v>
          </cell>
          <cell r="F3097">
            <v>7500000</v>
          </cell>
          <cell r="G3097">
            <v>0</v>
          </cell>
          <cell r="H3097">
            <v>1250000</v>
          </cell>
          <cell r="I3097">
            <v>0</v>
          </cell>
        </row>
        <row r="3098">
          <cell r="A3098" t="str">
            <v>2200|477900</v>
          </cell>
          <cell r="B3098" t="str">
            <v>2200</v>
          </cell>
          <cell r="C3098">
            <v>477900</v>
          </cell>
          <cell r="D3098">
            <v>41426</v>
          </cell>
          <cell r="E3098">
            <v>96500000</v>
          </cell>
          <cell r="F3098">
            <v>48250000</v>
          </cell>
          <cell r="G3098">
            <v>0</v>
          </cell>
          <cell r="H3098">
            <v>8041667</v>
          </cell>
          <cell r="I3098">
            <v>0</v>
          </cell>
        </row>
        <row r="3099">
          <cell r="A3099" t="str">
            <v>2200|451001</v>
          </cell>
          <cell r="B3099" t="str">
            <v>2200</v>
          </cell>
          <cell r="C3099">
            <v>451001</v>
          </cell>
          <cell r="D3099">
            <v>41426</v>
          </cell>
          <cell r="E3099">
            <v>50000000</v>
          </cell>
          <cell r="F3099">
            <v>25000000</v>
          </cell>
          <cell r="G3099">
            <v>0</v>
          </cell>
          <cell r="H3099">
            <v>4166667</v>
          </cell>
          <cell r="I3099">
            <v>0</v>
          </cell>
        </row>
        <row r="3100">
          <cell r="A3100" t="str">
            <v>2210|431002</v>
          </cell>
          <cell r="B3100" t="str">
            <v>2210</v>
          </cell>
          <cell r="C3100">
            <v>431002</v>
          </cell>
          <cell r="D3100">
            <v>41426</v>
          </cell>
          <cell r="E3100">
            <v>377901</v>
          </cell>
          <cell r="F3100">
            <v>188951</v>
          </cell>
          <cell r="G3100">
            <v>0</v>
          </cell>
          <cell r="H3100">
            <v>31492</v>
          </cell>
          <cell r="I3100">
            <v>0</v>
          </cell>
        </row>
        <row r="3101">
          <cell r="A3101" t="str">
            <v>2210|451001</v>
          </cell>
          <cell r="B3101" t="str">
            <v>2210</v>
          </cell>
          <cell r="C3101">
            <v>451001</v>
          </cell>
          <cell r="D3101">
            <v>41426</v>
          </cell>
          <cell r="E3101">
            <v>10000000</v>
          </cell>
          <cell r="F3101">
            <v>5000000</v>
          </cell>
          <cell r="G3101">
            <v>0</v>
          </cell>
          <cell r="H3101">
            <v>833333</v>
          </cell>
          <cell r="I3101">
            <v>0</v>
          </cell>
        </row>
        <row r="3102">
          <cell r="A3102" t="str">
            <v>2210|430010</v>
          </cell>
          <cell r="B3102" t="str">
            <v>2210</v>
          </cell>
          <cell r="C3102">
            <v>430010</v>
          </cell>
          <cell r="D3102">
            <v>41426</v>
          </cell>
          <cell r="E3102">
            <v>96532500</v>
          </cell>
          <cell r="F3102">
            <v>48266250</v>
          </cell>
          <cell r="G3102">
            <v>0</v>
          </cell>
          <cell r="H3102">
            <v>8044375</v>
          </cell>
          <cell r="I3102">
            <v>0</v>
          </cell>
        </row>
        <row r="3103">
          <cell r="A3103" t="str">
            <v>2220|475002</v>
          </cell>
          <cell r="B3103" t="str">
            <v>2220</v>
          </cell>
          <cell r="C3103">
            <v>475002</v>
          </cell>
          <cell r="D3103">
            <v>41426</v>
          </cell>
          <cell r="E3103">
            <v>779261</v>
          </cell>
          <cell r="F3103">
            <v>389631</v>
          </cell>
          <cell r="G3103">
            <v>1168127</v>
          </cell>
          <cell r="H3103">
            <v>64939</v>
          </cell>
          <cell r="I3103">
            <v>194688</v>
          </cell>
        </row>
        <row r="3104">
          <cell r="A3104" t="str">
            <v>2230|475002</v>
          </cell>
          <cell r="B3104" t="str">
            <v>2230</v>
          </cell>
          <cell r="C3104">
            <v>475002</v>
          </cell>
          <cell r="D3104">
            <v>41426</v>
          </cell>
          <cell r="E3104">
            <v>47635</v>
          </cell>
          <cell r="F3104">
            <v>23818</v>
          </cell>
          <cell r="G3104">
            <v>0</v>
          </cell>
          <cell r="H3104">
            <v>3970</v>
          </cell>
          <cell r="I3104">
            <v>0</v>
          </cell>
        </row>
        <row r="3105">
          <cell r="A3105" t="str">
            <v>2230|451001</v>
          </cell>
          <cell r="B3105" t="str">
            <v>2230</v>
          </cell>
          <cell r="C3105">
            <v>451001</v>
          </cell>
          <cell r="D3105">
            <v>41426</v>
          </cell>
          <cell r="E3105">
            <v>35000000</v>
          </cell>
          <cell r="F3105">
            <v>17500000</v>
          </cell>
          <cell r="G3105">
            <v>0</v>
          </cell>
          <cell r="H3105">
            <v>2916667</v>
          </cell>
          <cell r="I3105">
            <v>0</v>
          </cell>
        </row>
        <row r="3106">
          <cell r="A3106" t="str">
            <v>2240|405200</v>
          </cell>
          <cell r="B3106" t="str">
            <v>2240</v>
          </cell>
          <cell r="C3106">
            <v>405200</v>
          </cell>
          <cell r="D3106">
            <v>41426</v>
          </cell>
          <cell r="E3106">
            <v>9800000</v>
          </cell>
          <cell r="F3106">
            <v>4900000</v>
          </cell>
          <cell r="G3106">
            <v>0</v>
          </cell>
          <cell r="H3106">
            <v>816667</v>
          </cell>
          <cell r="I3106">
            <v>0</v>
          </cell>
        </row>
        <row r="3107">
          <cell r="A3107" t="str">
            <v>2260|416302</v>
          </cell>
          <cell r="B3107" t="str">
            <v>2260</v>
          </cell>
          <cell r="C3107">
            <v>416302</v>
          </cell>
          <cell r="D3107">
            <v>41426</v>
          </cell>
          <cell r="E3107">
            <v>12000000</v>
          </cell>
          <cell r="F3107">
            <v>6000000</v>
          </cell>
          <cell r="G3107">
            <v>0</v>
          </cell>
          <cell r="H3107">
            <v>1000000</v>
          </cell>
          <cell r="I3107">
            <v>0</v>
          </cell>
        </row>
        <row r="3108">
          <cell r="A3108" t="str">
            <v>2260|451001</v>
          </cell>
          <cell r="B3108" t="str">
            <v>2260</v>
          </cell>
          <cell r="C3108">
            <v>451001</v>
          </cell>
          <cell r="D3108">
            <v>41426</v>
          </cell>
          <cell r="E3108">
            <v>50000000</v>
          </cell>
          <cell r="F3108">
            <v>25000000</v>
          </cell>
          <cell r="G3108">
            <v>0</v>
          </cell>
          <cell r="H3108">
            <v>4166667</v>
          </cell>
          <cell r="I3108">
            <v>0</v>
          </cell>
        </row>
        <row r="3109">
          <cell r="A3109" t="str">
            <v>2270|474100</v>
          </cell>
          <cell r="B3109" t="str">
            <v>2270</v>
          </cell>
          <cell r="C3109">
            <v>474100</v>
          </cell>
          <cell r="D3109">
            <v>41426</v>
          </cell>
          <cell r="E3109">
            <v>3267659</v>
          </cell>
          <cell r="F3109">
            <v>1633830</v>
          </cell>
          <cell r="G3109">
            <v>0</v>
          </cell>
          <cell r="H3109">
            <v>272305</v>
          </cell>
          <cell r="I3109">
            <v>0</v>
          </cell>
        </row>
        <row r="3110">
          <cell r="A3110" t="str">
            <v>2270|400040</v>
          </cell>
          <cell r="B3110" t="str">
            <v>2270</v>
          </cell>
          <cell r="C3110">
            <v>400040</v>
          </cell>
          <cell r="D3110">
            <v>41426</v>
          </cell>
          <cell r="E3110">
            <v>3000000</v>
          </cell>
          <cell r="F3110">
            <v>1500000</v>
          </cell>
          <cell r="G3110">
            <v>0</v>
          </cell>
          <cell r="H3110">
            <v>250000</v>
          </cell>
          <cell r="I3110">
            <v>0</v>
          </cell>
        </row>
        <row r="3111">
          <cell r="A3111" t="str">
            <v>2270|439100</v>
          </cell>
          <cell r="B3111" t="str">
            <v>2270</v>
          </cell>
          <cell r="C3111">
            <v>439100</v>
          </cell>
          <cell r="D3111">
            <v>41426</v>
          </cell>
          <cell r="E3111">
            <v>10000000</v>
          </cell>
          <cell r="F3111">
            <v>5000000</v>
          </cell>
          <cell r="G3111">
            <v>0</v>
          </cell>
          <cell r="H3111">
            <v>833333</v>
          </cell>
          <cell r="I3111">
            <v>0</v>
          </cell>
        </row>
        <row r="3112">
          <cell r="A3112" t="str">
            <v>2270|439101</v>
          </cell>
          <cell r="B3112" t="str">
            <v>2270</v>
          </cell>
          <cell r="C3112">
            <v>439101</v>
          </cell>
          <cell r="D3112">
            <v>41426</v>
          </cell>
          <cell r="E3112">
            <v>10000000</v>
          </cell>
          <cell r="F3112">
            <v>5000000</v>
          </cell>
          <cell r="G3112">
            <v>0</v>
          </cell>
          <cell r="H3112">
            <v>833333</v>
          </cell>
          <cell r="I3112">
            <v>0</v>
          </cell>
        </row>
        <row r="3113">
          <cell r="A3113" t="str">
            <v>2300|476900</v>
          </cell>
          <cell r="B3113" t="str">
            <v>2300</v>
          </cell>
          <cell r="C3113">
            <v>476900</v>
          </cell>
          <cell r="D3113">
            <v>41426</v>
          </cell>
          <cell r="E3113">
            <v>128182</v>
          </cell>
          <cell r="F3113">
            <v>64091</v>
          </cell>
          <cell r="G3113">
            <v>0</v>
          </cell>
          <cell r="H3113">
            <v>10682</v>
          </cell>
          <cell r="I3113">
            <v>0</v>
          </cell>
        </row>
        <row r="3114">
          <cell r="A3114" t="str">
            <v>2500|449040</v>
          </cell>
          <cell r="B3114" t="str">
            <v>2500</v>
          </cell>
          <cell r="C3114">
            <v>449040</v>
          </cell>
          <cell r="D3114">
            <v>41426</v>
          </cell>
          <cell r="E3114">
            <v>4325676</v>
          </cell>
          <cell r="F3114">
            <v>2162838</v>
          </cell>
          <cell r="G3114">
            <v>0</v>
          </cell>
          <cell r="H3114">
            <v>360473</v>
          </cell>
          <cell r="I3114">
            <v>0</v>
          </cell>
        </row>
        <row r="3115">
          <cell r="A3115" t="str">
            <v>2500|246000</v>
          </cell>
          <cell r="B3115" t="str">
            <v>2500</v>
          </cell>
          <cell r="C3115">
            <v>246000</v>
          </cell>
          <cell r="D3115">
            <v>41426</v>
          </cell>
          <cell r="E3115">
            <v>7000000</v>
          </cell>
          <cell r="F3115">
            <v>3500000</v>
          </cell>
          <cell r="G3115">
            <v>0</v>
          </cell>
          <cell r="H3115">
            <v>583333</v>
          </cell>
          <cell r="I3115">
            <v>0</v>
          </cell>
        </row>
        <row r="3116">
          <cell r="A3116" t="str">
            <v>3100|475006</v>
          </cell>
          <cell r="B3116" t="str">
            <v>3100</v>
          </cell>
          <cell r="C3116">
            <v>475006</v>
          </cell>
          <cell r="D3116">
            <v>41426</v>
          </cell>
          <cell r="E3116">
            <v>15909410</v>
          </cell>
          <cell r="F3116">
            <v>7954705</v>
          </cell>
          <cell r="G3116">
            <v>5598464</v>
          </cell>
          <cell r="H3116">
            <v>1325784</v>
          </cell>
          <cell r="I3116">
            <v>933078</v>
          </cell>
        </row>
        <row r="3117">
          <cell r="A3117" t="str">
            <v>3200|459000</v>
          </cell>
          <cell r="B3117" t="str">
            <v>3200</v>
          </cell>
          <cell r="C3117">
            <v>459000</v>
          </cell>
          <cell r="D3117">
            <v>41426</v>
          </cell>
          <cell r="E3117">
            <v>1636796</v>
          </cell>
          <cell r="F3117">
            <v>818398</v>
          </cell>
          <cell r="G3117">
            <v>955000</v>
          </cell>
          <cell r="H3117">
            <v>136400</v>
          </cell>
          <cell r="I3117">
            <v>0</v>
          </cell>
        </row>
        <row r="3118">
          <cell r="A3118" t="str">
            <v>3200|475002</v>
          </cell>
          <cell r="B3118" t="str">
            <v>3200</v>
          </cell>
          <cell r="C3118">
            <v>475002</v>
          </cell>
          <cell r="D3118">
            <v>41426</v>
          </cell>
          <cell r="E3118">
            <v>2033692</v>
          </cell>
          <cell r="F3118">
            <v>1016846</v>
          </cell>
          <cell r="G3118">
            <v>58229364</v>
          </cell>
          <cell r="H3118">
            <v>169474</v>
          </cell>
          <cell r="I3118">
            <v>4905629</v>
          </cell>
        </row>
        <row r="3119">
          <cell r="A3119" t="str">
            <v>3210|475002</v>
          </cell>
          <cell r="B3119" t="str">
            <v>3210</v>
          </cell>
          <cell r="C3119">
            <v>475002</v>
          </cell>
          <cell r="D3119">
            <v>41426</v>
          </cell>
          <cell r="E3119">
            <v>763849</v>
          </cell>
          <cell r="F3119">
            <v>381925</v>
          </cell>
          <cell r="G3119">
            <v>772127</v>
          </cell>
          <cell r="H3119">
            <v>63655</v>
          </cell>
          <cell r="I3119">
            <v>128688</v>
          </cell>
        </row>
        <row r="3120">
          <cell r="A3120" t="str">
            <v>3210|422000</v>
          </cell>
          <cell r="B3120" t="str">
            <v>3210</v>
          </cell>
          <cell r="C3120">
            <v>422000</v>
          </cell>
          <cell r="D3120">
            <v>41426</v>
          </cell>
          <cell r="E3120">
            <v>158760</v>
          </cell>
          <cell r="F3120">
            <v>79380</v>
          </cell>
          <cell r="G3120">
            <v>0</v>
          </cell>
          <cell r="H3120">
            <v>13230</v>
          </cell>
          <cell r="I3120">
            <v>0</v>
          </cell>
        </row>
        <row r="3121">
          <cell r="A3121" t="str">
            <v>3210|439200</v>
          </cell>
          <cell r="B3121" t="str">
            <v>3210</v>
          </cell>
          <cell r="C3121">
            <v>439200</v>
          </cell>
          <cell r="D3121">
            <v>41426</v>
          </cell>
          <cell r="E3121">
            <v>100000</v>
          </cell>
          <cell r="F3121">
            <v>50000</v>
          </cell>
          <cell r="G3121">
            <v>0</v>
          </cell>
          <cell r="H3121">
            <v>8333</v>
          </cell>
          <cell r="I3121">
            <v>0</v>
          </cell>
        </row>
        <row r="3122">
          <cell r="A3122" t="str">
            <v>3210|211104</v>
          </cell>
          <cell r="B3122" t="str">
            <v>3210</v>
          </cell>
          <cell r="C3122">
            <v>211104</v>
          </cell>
          <cell r="D3122">
            <v>41426</v>
          </cell>
          <cell r="E3122">
            <v>1471224379</v>
          </cell>
          <cell r="F3122">
            <v>735612190</v>
          </cell>
          <cell r="G3122">
            <v>0</v>
          </cell>
          <cell r="H3122">
            <v>122602032</v>
          </cell>
          <cell r="I3122">
            <v>0</v>
          </cell>
        </row>
        <row r="3123">
          <cell r="A3123" t="str">
            <v>3220|473000</v>
          </cell>
          <cell r="B3123" t="str">
            <v>3220</v>
          </cell>
          <cell r="C3123">
            <v>473000</v>
          </cell>
          <cell r="D3123">
            <v>41426</v>
          </cell>
          <cell r="E3123">
            <v>23929</v>
          </cell>
          <cell r="F3123">
            <v>11965</v>
          </cell>
          <cell r="G3123">
            <v>0</v>
          </cell>
          <cell r="H3123">
            <v>1995</v>
          </cell>
          <cell r="I3123">
            <v>0</v>
          </cell>
        </row>
        <row r="3124">
          <cell r="A3124" t="str">
            <v>3220|476000</v>
          </cell>
          <cell r="B3124" t="str">
            <v>3220</v>
          </cell>
          <cell r="C3124">
            <v>476000</v>
          </cell>
          <cell r="D3124">
            <v>41426</v>
          </cell>
          <cell r="E3124">
            <v>1405147</v>
          </cell>
          <cell r="F3124">
            <v>702574</v>
          </cell>
          <cell r="G3124">
            <v>0</v>
          </cell>
          <cell r="H3124">
            <v>117096</v>
          </cell>
          <cell r="I3124">
            <v>0</v>
          </cell>
        </row>
        <row r="3125">
          <cell r="A3125" t="str">
            <v>3220|476900</v>
          </cell>
          <cell r="B3125" t="str">
            <v>3220</v>
          </cell>
          <cell r="C3125">
            <v>476900</v>
          </cell>
          <cell r="D3125">
            <v>41426</v>
          </cell>
          <cell r="E3125">
            <v>4204296</v>
          </cell>
          <cell r="F3125">
            <v>2102148</v>
          </cell>
          <cell r="G3125">
            <v>1658285</v>
          </cell>
          <cell r="H3125">
            <v>350358</v>
          </cell>
          <cell r="I3125">
            <v>1658285</v>
          </cell>
        </row>
        <row r="3126">
          <cell r="A3126" t="str">
            <v>3300|431002</v>
          </cell>
          <cell r="B3126" t="str">
            <v>3300</v>
          </cell>
          <cell r="C3126">
            <v>431002</v>
          </cell>
          <cell r="D3126">
            <v>41426</v>
          </cell>
          <cell r="E3126">
            <v>557115</v>
          </cell>
          <cell r="F3126">
            <v>278558</v>
          </cell>
          <cell r="G3126">
            <v>5500265</v>
          </cell>
          <cell r="H3126">
            <v>46427</v>
          </cell>
          <cell r="I3126">
            <v>5500265</v>
          </cell>
        </row>
        <row r="3127">
          <cell r="A3127" t="str">
            <v>3320|449061</v>
          </cell>
          <cell r="B3127" t="str">
            <v>3320</v>
          </cell>
          <cell r="C3127">
            <v>449061</v>
          </cell>
          <cell r="D3127">
            <v>41426</v>
          </cell>
          <cell r="E3127">
            <v>272546</v>
          </cell>
          <cell r="F3127">
            <v>136273</v>
          </cell>
          <cell r="G3127">
            <v>576000</v>
          </cell>
          <cell r="H3127">
            <v>22712</v>
          </cell>
          <cell r="I3127">
            <v>576000</v>
          </cell>
        </row>
        <row r="3128">
          <cell r="A3128" t="str">
            <v>3320|475003</v>
          </cell>
          <cell r="B3128" t="str">
            <v>3320</v>
          </cell>
          <cell r="C3128">
            <v>475003</v>
          </cell>
          <cell r="D3128">
            <v>41426</v>
          </cell>
          <cell r="E3128">
            <v>191861</v>
          </cell>
          <cell r="F3128">
            <v>95931</v>
          </cell>
          <cell r="G3128">
            <v>0</v>
          </cell>
          <cell r="H3128">
            <v>15989</v>
          </cell>
          <cell r="I3128">
            <v>0</v>
          </cell>
        </row>
        <row r="3129">
          <cell r="A3129" t="str">
            <v>3400|475005</v>
          </cell>
          <cell r="B3129" t="str">
            <v>3400</v>
          </cell>
          <cell r="C3129">
            <v>475005</v>
          </cell>
          <cell r="D3129">
            <v>41426</v>
          </cell>
          <cell r="E3129">
            <v>2593675</v>
          </cell>
          <cell r="F3129">
            <v>1296838</v>
          </cell>
          <cell r="G3129">
            <v>2865826</v>
          </cell>
          <cell r="H3129">
            <v>216140</v>
          </cell>
          <cell r="I3129">
            <v>0</v>
          </cell>
        </row>
        <row r="3130">
          <cell r="A3130" t="str">
            <v>3400|477500</v>
          </cell>
          <cell r="B3130" t="str">
            <v>3400</v>
          </cell>
          <cell r="C3130">
            <v>477500</v>
          </cell>
          <cell r="D3130">
            <v>41426</v>
          </cell>
          <cell r="E3130">
            <v>140001</v>
          </cell>
          <cell r="F3130">
            <v>70001</v>
          </cell>
          <cell r="G3130">
            <v>0</v>
          </cell>
          <cell r="H3130">
            <v>11667</v>
          </cell>
          <cell r="I3130">
            <v>0</v>
          </cell>
        </row>
        <row r="3131">
          <cell r="A3131" t="str">
            <v>3410|476910</v>
          </cell>
          <cell r="B3131" t="str">
            <v>3410</v>
          </cell>
          <cell r="C3131">
            <v>476910</v>
          </cell>
          <cell r="D3131">
            <v>41426</v>
          </cell>
          <cell r="E3131">
            <v>1217401</v>
          </cell>
          <cell r="F3131">
            <v>608701</v>
          </cell>
          <cell r="G3131">
            <v>0</v>
          </cell>
          <cell r="H3131">
            <v>101451</v>
          </cell>
          <cell r="I3131">
            <v>0</v>
          </cell>
        </row>
        <row r="3132">
          <cell r="A3132" t="str">
            <v>3410|459003</v>
          </cell>
          <cell r="B3132" t="str">
            <v>3410</v>
          </cell>
          <cell r="C3132">
            <v>459003</v>
          </cell>
          <cell r="D3132">
            <v>41426</v>
          </cell>
          <cell r="E3132">
            <v>25018395</v>
          </cell>
          <cell r="F3132">
            <v>12509198</v>
          </cell>
          <cell r="G3132">
            <v>0</v>
          </cell>
          <cell r="H3132">
            <v>2084867</v>
          </cell>
          <cell r="I3132">
            <v>0</v>
          </cell>
        </row>
        <row r="3133">
          <cell r="A3133" t="str">
            <v>3420|476900</v>
          </cell>
          <cell r="B3133" t="str">
            <v>3420</v>
          </cell>
          <cell r="C3133">
            <v>476900</v>
          </cell>
          <cell r="D3133">
            <v>41426</v>
          </cell>
          <cell r="E3133">
            <v>3821029</v>
          </cell>
          <cell r="F3133">
            <v>1910515</v>
          </cell>
          <cell r="G3133">
            <v>2976765</v>
          </cell>
          <cell r="H3133">
            <v>318420</v>
          </cell>
          <cell r="I3133">
            <v>953715</v>
          </cell>
        </row>
        <row r="3134">
          <cell r="A3134" t="str">
            <v>3420|459003</v>
          </cell>
          <cell r="B3134" t="str">
            <v>3420</v>
          </cell>
          <cell r="C3134">
            <v>459003</v>
          </cell>
          <cell r="D3134">
            <v>41426</v>
          </cell>
          <cell r="E3134">
            <v>8339503</v>
          </cell>
          <cell r="F3134">
            <v>4169752</v>
          </cell>
          <cell r="G3134">
            <v>0</v>
          </cell>
          <cell r="H3134">
            <v>694959</v>
          </cell>
          <cell r="I3134">
            <v>0</v>
          </cell>
        </row>
        <row r="3135">
          <cell r="A3135" t="str">
            <v>3430|476900</v>
          </cell>
          <cell r="B3135" t="str">
            <v>3430</v>
          </cell>
          <cell r="C3135">
            <v>476900</v>
          </cell>
          <cell r="D3135">
            <v>41426</v>
          </cell>
          <cell r="E3135">
            <v>5000000</v>
          </cell>
          <cell r="F3135">
            <v>2500000</v>
          </cell>
          <cell r="G3135">
            <v>4496188</v>
          </cell>
          <cell r="H3135">
            <v>416667</v>
          </cell>
          <cell r="I3135">
            <v>0</v>
          </cell>
        </row>
        <row r="3136">
          <cell r="A3136" t="str">
            <v>3430|459003</v>
          </cell>
          <cell r="B3136" t="str">
            <v>3430</v>
          </cell>
          <cell r="C3136">
            <v>459003</v>
          </cell>
          <cell r="D3136">
            <v>41426</v>
          </cell>
          <cell r="E3136">
            <v>1000000</v>
          </cell>
          <cell r="F3136">
            <v>500000</v>
          </cell>
          <cell r="G3136">
            <v>0</v>
          </cell>
          <cell r="H3136">
            <v>83333</v>
          </cell>
          <cell r="I3136">
            <v>0</v>
          </cell>
        </row>
        <row r="3137">
          <cell r="A3137" t="str">
            <v>3430|449034</v>
          </cell>
          <cell r="B3137" t="str">
            <v>3430</v>
          </cell>
          <cell r="C3137">
            <v>449034</v>
          </cell>
          <cell r="D3137">
            <v>41426</v>
          </cell>
          <cell r="E3137">
            <v>24200000</v>
          </cell>
          <cell r="F3137">
            <v>12100000</v>
          </cell>
          <cell r="G3137">
            <v>0</v>
          </cell>
          <cell r="H3137">
            <v>2016667</v>
          </cell>
          <cell r="I3137">
            <v>0</v>
          </cell>
        </row>
        <row r="3138">
          <cell r="A3138" t="str">
            <v>3430|470102</v>
          </cell>
          <cell r="B3138" t="str">
            <v>3430</v>
          </cell>
          <cell r="C3138">
            <v>470102</v>
          </cell>
          <cell r="D3138">
            <v>41426</v>
          </cell>
          <cell r="E3138">
            <v>1698249</v>
          </cell>
          <cell r="F3138">
            <v>849125</v>
          </cell>
          <cell r="G3138">
            <v>0</v>
          </cell>
          <cell r="H3138">
            <v>141521</v>
          </cell>
          <cell r="I3138">
            <v>0</v>
          </cell>
        </row>
        <row r="3139">
          <cell r="A3139" t="str">
            <v>3440|459005</v>
          </cell>
          <cell r="B3139" t="str">
            <v>3440</v>
          </cell>
          <cell r="C3139">
            <v>459005</v>
          </cell>
          <cell r="D3139">
            <v>41426</v>
          </cell>
          <cell r="E3139">
            <v>11506996</v>
          </cell>
          <cell r="F3139">
            <v>5753498</v>
          </cell>
          <cell r="G3139">
            <v>0</v>
          </cell>
          <cell r="H3139">
            <v>958916</v>
          </cell>
          <cell r="I3139">
            <v>0</v>
          </cell>
        </row>
        <row r="3140">
          <cell r="A3140" t="str">
            <v>3440|459003</v>
          </cell>
          <cell r="B3140" t="str">
            <v>3440</v>
          </cell>
          <cell r="C3140">
            <v>459003</v>
          </cell>
          <cell r="D3140">
            <v>41426</v>
          </cell>
          <cell r="E3140">
            <v>35649183</v>
          </cell>
          <cell r="F3140">
            <v>17824592</v>
          </cell>
          <cell r="G3140">
            <v>0</v>
          </cell>
          <cell r="H3140">
            <v>2970766</v>
          </cell>
          <cell r="I3140">
            <v>0</v>
          </cell>
        </row>
        <row r="3141">
          <cell r="A3141" t="str">
            <v>3450|431002</v>
          </cell>
          <cell r="B3141" t="str">
            <v>3450</v>
          </cell>
          <cell r="C3141">
            <v>431002</v>
          </cell>
          <cell r="D3141">
            <v>41426</v>
          </cell>
          <cell r="E3141">
            <v>25464</v>
          </cell>
          <cell r="F3141">
            <v>12732</v>
          </cell>
          <cell r="G3141">
            <v>0</v>
          </cell>
          <cell r="H3141">
            <v>2122</v>
          </cell>
          <cell r="I3141">
            <v>0</v>
          </cell>
        </row>
        <row r="3142">
          <cell r="A3142" t="str">
            <v>3450|405200</v>
          </cell>
          <cell r="B3142" t="str">
            <v>3450</v>
          </cell>
          <cell r="C3142">
            <v>405200</v>
          </cell>
          <cell r="D3142">
            <v>41426</v>
          </cell>
          <cell r="E3142">
            <v>227030</v>
          </cell>
          <cell r="F3142">
            <v>113515</v>
          </cell>
          <cell r="G3142">
            <v>2035000</v>
          </cell>
          <cell r="H3142">
            <v>18919</v>
          </cell>
          <cell r="I3142">
            <v>0</v>
          </cell>
        </row>
        <row r="3143">
          <cell r="A3143" t="str">
            <v>3460|459003</v>
          </cell>
          <cell r="B3143" t="str">
            <v>3460</v>
          </cell>
          <cell r="C3143">
            <v>459003</v>
          </cell>
          <cell r="D3143">
            <v>41426</v>
          </cell>
          <cell r="E3143">
            <v>5730000</v>
          </cell>
          <cell r="F3143">
            <v>2865000</v>
          </cell>
          <cell r="G3143">
            <v>0</v>
          </cell>
          <cell r="H3143">
            <v>477500</v>
          </cell>
          <cell r="I3143">
            <v>0</v>
          </cell>
        </row>
        <row r="3144">
          <cell r="A3144" t="str">
            <v>3470|475000</v>
          </cell>
          <cell r="B3144" t="str">
            <v>3470</v>
          </cell>
          <cell r="C3144">
            <v>475000</v>
          </cell>
          <cell r="D3144">
            <v>41426</v>
          </cell>
          <cell r="E3144">
            <v>47998137</v>
          </cell>
          <cell r="F3144">
            <v>23999069</v>
          </cell>
          <cell r="G3144">
            <v>0</v>
          </cell>
          <cell r="H3144">
            <v>3999845</v>
          </cell>
          <cell r="I3144">
            <v>0</v>
          </cell>
        </row>
        <row r="3145">
          <cell r="A3145" t="str">
            <v>3480|477860</v>
          </cell>
          <cell r="B3145" t="str">
            <v>3480</v>
          </cell>
          <cell r="C3145">
            <v>477860</v>
          </cell>
          <cell r="D3145">
            <v>41426</v>
          </cell>
          <cell r="E3145">
            <v>116253306</v>
          </cell>
          <cell r="F3145">
            <v>58126653</v>
          </cell>
          <cell r="G3145">
            <v>0</v>
          </cell>
          <cell r="H3145">
            <v>9687775</v>
          </cell>
          <cell r="I3145">
            <v>0</v>
          </cell>
        </row>
        <row r="3146">
          <cell r="A3146" t="str">
            <v>3490|431001</v>
          </cell>
          <cell r="B3146" t="str">
            <v>3490</v>
          </cell>
          <cell r="C3146">
            <v>431001</v>
          </cell>
          <cell r="D3146">
            <v>41426</v>
          </cell>
          <cell r="E3146">
            <v>3000000</v>
          </cell>
          <cell r="F3146">
            <v>1500000</v>
          </cell>
          <cell r="G3146">
            <v>0</v>
          </cell>
          <cell r="H3146">
            <v>250000</v>
          </cell>
          <cell r="I3146">
            <v>0</v>
          </cell>
        </row>
        <row r="3147">
          <cell r="A3147" t="str">
            <v>3490|211100</v>
          </cell>
          <cell r="B3147" t="str">
            <v>3490</v>
          </cell>
          <cell r="C3147">
            <v>211100</v>
          </cell>
          <cell r="D3147">
            <v>41426</v>
          </cell>
          <cell r="E3147">
            <v>1913327</v>
          </cell>
          <cell r="F3147">
            <v>956664</v>
          </cell>
          <cell r="G3147">
            <v>0</v>
          </cell>
          <cell r="H3147">
            <v>159444</v>
          </cell>
          <cell r="I3147">
            <v>0</v>
          </cell>
        </row>
        <row r="3148">
          <cell r="A3148" t="str">
            <v>3500|476000</v>
          </cell>
          <cell r="B3148" t="str">
            <v>3500</v>
          </cell>
          <cell r="C3148">
            <v>476000</v>
          </cell>
          <cell r="D3148">
            <v>41426</v>
          </cell>
          <cell r="E3148">
            <v>746665</v>
          </cell>
          <cell r="F3148">
            <v>373333</v>
          </cell>
          <cell r="G3148">
            <v>0</v>
          </cell>
          <cell r="H3148">
            <v>62223</v>
          </cell>
          <cell r="I3148">
            <v>0</v>
          </cell>
        </row>
        <row r="3149">
          <cell r="A3149" t="str">
            <v>3600|475003</v>
          </cell>
          <cell r="B3149" t="str">
            <v>3600</v>
          </cell>
          <cell r="C3149">
            <v>475003</v>
          </cell>
          <cell r="D3149">
            <v>41426</v>
          </cell>
          <cell r="E3149">
            <v>2734163</v>
          </cell>
          <cell r="F3149">
            <v>1367082</v>
          </cell>
          <cell r="G3149">
            <v>1294750</v>
          </cell>
          <cell r="H3149">
            <v>227847</v>
          </cell>
          <cell r="I3149">
            <v>794750</v>
          </cell>
        </row>
        <row r="3150">
          <cell r="A3150" t="str">
            <v>3600|476220</v>
          </cell>
          <cell r="B3150" t="str">
            <v>3600</v>
          </cell>
          <cell r="C3150">
            <v>476220</v>
          </cell>
          <cell r="D3150">
            <v>41426</v>
          </cell>
          <cell r="E3150">
            <v>1691272</v>
          </cell>
          <cell r="F3150">
            <v>845636</v>
          </cell>
          <cell r="G3150">
            <v>0</v>
          </cell>
          <cell r="H3150">
            <v>140939</v>
          </cell>
          <cell r="I3150">
            <v>0</v>
          </cell>
        </row>
        <row r="3151">
          <cell r="A3151" t="str">
            <v>3600|470102</v>
          </cell>
          <cell r="B3151" t="str">
            <v>3600</v>
          </cell>
          <cell r="C3151">
            <v>470102</v>
          </cell>
          <cell r="D3151">
            <v>41426</v>
          </cell>
          <cell r="E3151">
            <v>1757931</v>
          </cell>
          <cell r="F3151">
            <v>878966</v>
          </cell>
          <cell r="G3151">
            <v>0</v>
          </cell>
          <cell r="H3151">
            <v>146495</v>
          </cell>
          <cell r="I3151">
            <v>0</v>
          </cell>
        </row>
        <row r="3152">
          <cell r="A3152" t="str">
            <v>5100|476220</v>
          </cell>
          <cell r="B3152" t="str">
            <v>5100</v>
          </cell>
          <cell r="C3152">
            <v>476220</v>
          </cell>
          <cell r="D3152">
            <v>41426</v>
          </cell>
          <cell r="E3152">
            <v>762583</v>
          </cell>
          <cell r="F3152">
            <v>381292</v>
          </cell>
          <cell r="G3152">
            <v>28484246</v>
          </cell>
          <cell r="H3152">
            <v>63549</v>
          </cell>
          <cell r="I3152">
            <v>15990205</v>
          </cell>
        </row>
        <row r="3153">
          <cell r="A3153" t="str">
            <v>5100|431001</v>
          </cell>
          <cell r="B3153" t="str">
            <v>5100</v>
          </cell>
          <cell r="C3153">
            <v>431001</v>
          </cell>
          <cell r="D3153">
            <v>41426</v>
          </cell>
          <cell r="E3153">
            <v>600000</v>
          </cell>
          <cell r="F3153">
            <v>300000</v>
          </cell>
          <cell r="G3153">
            <v>0</v>
          </cell>
          <cell r="H3153">
            <v>50000</v>
          </cell>
          <cell r="I3153">
            <v>0</v>
          </cell>
        </row>
        <row r="3154">
          <cell r="A3154" t="str">
            <v>5100|449004</v>
          </cell>
          <cell r="B3154" t="str">
            <v>5100</v>
          </cell>
          <cell r="C3154">
            <v>449004</v>
          </cell>
          <cell r="D3154">
            <v>41426</v>
          </cell>
          <cell r="E3154">
            <v>80100000</v>
          </cell>
          <cell r="F3154">
            <v>40050000</v>
          </cell>
          <cell r="G3154">
            <v>0</v>
          </cell>
          <cell r="H3154">
            <v>6675000</v>
          </cell>
          <cell r="I3154">
            <v>0</v>
          </cell>
        </row>
        <row r="3155">
          <cell r="A3155" t="str">
            <v>5200|459000</v>
          </cell>
          <cell r="B3155" t="str">
            <v>5200</v>
          </cell>
          <cell r="C3155">
            <v>459000</v>
          </cell>
          <cell r="D3155">
            <v>41426</v>
          </cell>
          <cell r="E3155">
            <v>650441</v>
          </cell>
          <cell r="F3155">
            <v>325221</v>
          </cell>
          <cell r="G3155">
            <v>0</v>
          </cell>
          <cell r="H3155">
            <v>54204</v>
          </cell>
          <cell r="I3155">
            <v>0</v>
          </cell>
        </row>
        <row r="3156">
          <cell r="A3156" t="str">
            <v>5200|474100</v>
          </cell>
          <cell r="B3156" t="str">
            <v>5200</v>
          </cell>
          <cell r="C3156">
            <v>474100</v>
          </cell>
          <cell r="D3156">
            <v>41426</v>
          </cell>
          <cell r="E3156">
            <v>16816620</v>
          </cell>
          <cell r="F3156">
            <v>8408310</v>
          </cell>
          <cell r="G3156">
            <v>-750000</v>
          </cell>
          <cell r="H3156">
            <v>1401385</v>
          </cell>
          <cell r="I3156">
            <v>-750000</v>
          </cell>
        </row>
        <row r="3157">
          <cell r="A3157" t="str">
            <v>5200|475002</v>
          </cell>
          <cell r="B3157" t="str">
            <v>5200</v>
          </cell>
          <cell r="C3157">
            <v>475002</v>
          </cell>
          <cell r="D3157">
            <v>41426</v>
          </cell>
          <cell r="E3157">
            <v>99389</v>
          </cell>
          <cell r="F3157">
            <v>49695</v>
          </cell>
          <cell r="G3157">
            <v>164601</v>
          </cell>
          <cell r="H3157">
            <v>8283</v>
          </cell>
          <cell r="I3157">
            <v>27432</v>
          </cell>
        </row>
        <row r="3158">
          <cell r="A3158" t="str">
            <v>5200|422002</v>
          </cell>
          <cell r="B3158" t="str">
            <v>5200</v>
          </cell>
          <cell r="C3158">
            <v>422002</v>
          </cell>
          <cell r="D3158">
            <v>41426</v>
          </cell>
          <cell r="E3158">
            <v>174690</v>
          </cell>
          <cell r="F3158">
            <v>87345</v>
          </cell>
          <cell r="G3158">
            <v>0</v>
          </cell>
          <cell r="H3158">
            <v>14557</v>
          </cell>
          <cell r="I3158">
            <v>0</v>
          </cell>
        </row>
        <row r="3159">
          <cell r="A3159" t="str">
            <v>5400|449040</v>
          </cell>
          <cell r="B3159" t="str">
            <v>5400</v>
          </cell>
          <cell r="C3159">
            <v>449040</v>
          </cell>
          <cell r="D3159">
            <v>41426</v>
          </cell>
          <cell r="E3159">
            <v>758916</v>
          </cell>
          <cell r="F3159">
            <v>379458</v>
          </cell>
          <cell r="G3159">
            <v>0</v>
          </cell>
          <cell r="H3159">
            <v>63243</v>
          </cell>
          <cell r="I3159">
            <v>0</v>
          </cell>
        </row>
        <row r="3160">
          <cell r="A3160" t="str">
            <v>5400|405200</v>
          </cell>
          <cell r="B3160" t="str">
            <v>5400</v>
          </cell>
          <cell r="C3160">
            <v>405200</v>
          </cell>
          <cell r="D3160">
            <v>41426</v>
          </cell>
          <cell r="E3160">
            <v>50000000</v>
          </cell>
          <cell r="F3160">
            <v>25000000</v>
          </cell>
          <cell r="G3160">
            <v>183510375</v>
          </cell>
          <cell r="H3160">
            <v>4166667</v>
          </cell>
          <cell r="I3160">
            <v>159374820</v>
          </cell>
        </row>
        <row r="3161">
          <cell r="A3161" t="str">
            <v>5500|475005</v>
          </cell>
          <cell r="B3161" t="str">
            <v>5500</v>
          </cell>
          <cell r="C3161">
            <v>475005</v>
          </cell>
          <cell r="D3161">
            <v>41426</v>
          </cell>
          <cell r="E3161">
            <v>1952102</v>
          </cell>
          <cell r="F3161">
            <v>976051</v>
          </cell>
          <cell r="G3161">
            <v>0</v>
          </cell>
          <cell r="H3161">
            <v>162675</v>
          </cell>
          <cell r="I3161">
            <v>0</v>
          </cell>
        </row>
        <row r="3162">
          <cell r="A3162" t="str">
            <v>5520|406000</v>
          </cell>
          <cell r="B3162" t="str">
            <v>5520</v>
          </cell>
          <cell r="C3162">
            <v>406000</v>
          </cell>
          <cell r="D3162">
            <v>41426</v>
          </cell>
          <cell r="E3162">
            <v>17000000</v>
          </cell>
          <cell r="F3162">
            <v>8500000</v>
          </cell>
          <cell r="G3162">
            <v>0</v>
          </cell>
          <cell r="H3162">
            <v>1416667</v>
          </cell>
          <cell r="I3162">
            <v>0</v>
          </cell>
        </row>
        <row r="3163">
          <cell r="A3163" t="str">
            <v>5520|451001</v>
          </cell>
          <cell r="B3163" t="str">
            <v>5520</v>
          </cell>
          <cell r="C3163">
            <v>451001</v>
          </cell>
          <cell r="D3163">
            <v>41426</v>
          </cell>
          <cell r="E3163">
            <v>38000000</v>
          </cell>
          <cell r="F3163">
            <v>19000000</v>
          </cell>
          <cell r="G3163">
            <v>0</v>
          </cell>
          <cell r="H3163">
            <v>3166667</v>
          </cell>
          <cell r="I3163">
            <v>0</v>
          </cell>
        </row>
        <row r="3164">
          <cell r="A3164" t="str">
            <v>5700|449060</v>
          </cell>
          <cell r="B3164" t="str">
            <v>5700</v>
          </cell>
          <cell r="C3164">
            <v>449060</v>
          </cell>
          <cell r="D3164">
            <v>41426</v>
          </cell>
          <cell r="E3164">
            <v>500000</v>
          </cell>
          <cell r="F3164">
            <v>250000</v>
          </cell>
          <cell r="G3164">
            <v>0</v>
          </cell>
          <cell r="H3164">
            <v>41667</v>
          </cell>
          <cell r="I3164">
            <v>0</v>
          </cell>
        </row>
        <row r="3165">
          <cell r="A3165" t="str">
            <v>5700|446001</v>
          </cell>
          <cell r="B3165" t="str">
            <v>5700</v>
          </cell>
          <cell r="C3165">
            <v>446001</v>
          </cell>
          <cell r="D3165">
            <v>41426</v>
          </cell>
          <cell r="E3165">
            <v>8530000</v>
          </cell>
          <cell r="F3165">
            <v>4265000</v>
          </cell>
          <cell r="G3165">
            <v>0</v>
          </cell>
          <cell r="H3165">
            <v>710833</v>
          </cell>
          <cell r="I3165">
            <v>0</v>
          </cell>
        </row>
        <row r="3166">
          <cell r="A3166" t="str">
            <v>6000|475005</v>
          </cell>
          <cell r="B3166" t="str">
            <v>6000</v>
          </cell>
          <cell r="C3166">
            <v>475005</v>
          </cell>
          <cell r="D3166">
            <v>41426</v>
          </cell>
          <cell r="E3166">
            <v>329787</v>
          </cell>
          <cell r="F3166">
            <v>164894</v>
          </cell>
          <cell r="G3166">
            <v>0</v>
          </cell>
          <cell r="H3166">
            <v>27483</v>
          </cell>
          <cell r="I3166">
            <v>0</v>
          </cell>
        </row>
        <row r="3167">
          <cell r="A3167" t="str">
            <v>6000|431001</v>
          </cell>
          <cell r="B3167" t="str">
            <v>6000</v>
          </cell>
          <cell r="C3167">
            <v>431001</v>
          </cell>
          <cell r="D3167">
            <v>41426</v>
          </cell>
          <cell r="E3167">
            <v>1000000</v>
          </cell>
          <cell r="F3167">
            <v>500000</v>
          </cell>
          <cell r="G3167">
            <v>0</v>
          </cell>
          <cell r="H3167">
            <v>83333</v>
          </cell>
          <cell r="I3167">
            <v>0</v>
          </cell>
        </row>
        <row r="3168">
          <cell r="A3168" t="str">
            <v>6000|455000</v>
          </cell>
          <cell r="B3168" t="str">
            <v>6000</v>
          </cell>
          <cell r="C3168">
            <v>455000</v>
          </cell>
          <cell r="D3168">
            <v>41426</v>
          </cell>
          <cell r="E3168">
            <v>1000000</v>
          </cell>
          <cell r="F3168">
            <v>500000</v>
          </cell>
          <cell r="G3168">
            <v>0</v>
          </cell>
          <cell r="H3168">
            <v>83333</v>
          </cell>
          <cell r="I3168">
            <v>0</v>
          </cell>
        </row>
        <row r="3169">
          <cell r="A3169" t="str">
            <v>6000|405251</v>
          </cell>
          <cell r="B3169" t="str">
            <v>6000</v>
          </cell>
          <cell r="C3169">
            <v>405251</v>
          </cell>
          <cell r="D3169">
            <v>41426</v>
          </cell>
          <cell r="E3169">
            <v>1000000</v>
          </cell>
          <cell r="F3169">
            <v>500000</v>
          </cell>
          <cell r="G3169">
            <v>0</v>
          </cell>
          <cell r="H3169">
            <v>83333</v>
          </cell>
          <cell r="I3169">
            <v>0</v>
          </cell>
        </row>
        <row r="3170">
          <cell r="A3170" t="str">
            <v>6110|455001</v>
          </cell>
          <cell r="B3170" t="str">
            <v>6110</v>
          </cell>
          <cell r="C3170">
            <v>455001</v>
          </cell>
          <cell r="D3170">
            <v>41426</v>
          </cell>
          <cell r="E3170">
            <v>4600000</v>
          </cell>
          <cell r="F3170">
            <v>2300000</v>
          </cell>
          <cell r="G3170">
            <v>0</v>
          </cell>
          <cell r="H3170">
            <v>383333</v>
          </cell>
          <cell r="I3170">
            <v>0</v>
          </cell>
        </row>
        <row r="3171">
          <cell r="A3171" t="str">
            <v>6126|431002</v>
          </cell>
          <cell r="B3171" t="str">
            <v>6126</v>
          </cell>
          <cell r="C3171">
            <v>431002</v>
          </cell>
          <cell r="D3171">
            <v>41426</v>
          </cell>
          <cell r="E3171">
            <v>243829</v>
          </cell>
          <cell r="F3171">
            <v>121915</v>
          </cell>
          <cell r="G3171">
            <v>0</v>
          </cell>
          <cell r="H3171">
            <v>20320</v>
          </cell>
          <cell r="I3171">
            <v>0</v>
          </cell>
        </row>
        <row r="3172">
          <cell r="A3172" t="str">
            <v>6126|449032</v>
          </cell>
          <cell r="B3172" t="str">
            <v>6126</v>
          </cell>
          <cell r="C3172">
            <v>449032</v>
          </cell>
          <cell r="D3172">
            <v>41426</v>
          </cell>
          <cell r="E3172">
            <v>183096</v>
          </cell>
          <cell r="F3172">
            <v>91548</v>
          </cell>
          <cell r="G3172">
            <v>0</v>
          </cell>
          <cell r="H3172">
            <v>15258</v>
          </cell>
          <cell r="I3172">
            <v>0</v>
          </cell>
        </row>
        <row r="3173">
          <cell r="A3173" t="str">
            <v>6310|431002</v>
          </cell>
          <cell r="B3173" t="str">
            <v>6310</v>
          </cell>
          <cell r="C3173">
            <v>431002</v>
          </cell>
          <cell r="D3173">
            <v>41426</v>
          </cell>
          <cell r="E3173">
            <v>315046</v>
          </cell>
          <cell r="F3173">
            <v>157523</v>
          </cell>
          <cell r="G3173">
            <v>0</v>
          </cell>
          <cell r="H3173">
            <v>26254</v>
          </cell>
          <cell r="I3173">
            <v>0</v>
          </cell>
        </row>
        <row r="3174">
          <cell r="A3174" t="str">
            <v>6310|449040</v>
          </cell>
          <cell r="B3174" t="str">
            <v>6310</v>
          </cell>
          <cell r="C3174">
            <v>449040</v>
          </cell>
          <cell r="D3174">
            <v>41426</v>
          </cell>
          <cell r="E3174">
            <v>1777888</v>
          </cell>
          <cell r="F3174">
            <v>888944</v>
          </cell>
          <cell r="G3174">
            <v>0</v>
          </cell>
          <cell r="H3174">
            <v>148157</v>
          </cell>
          <cell r="I3174">
            <v>0</v>
          </cell>
        </row>
        <row r="3175">
          <cell r="A3175" t="str">
            <v>6310|459000</v>
          </cell>
          <cell r="B3175" t="str">
            <v>6310</v>
          </cell>
          <cell r="C3175">
            <v>459000</v>
          </cell>
          <cell r="D3175">
            <v>41426</v>
          </cell>
          <cell r="E3175">
            <v>1300881</v>
          </cell>
          <cell r="F3175">
            <v>650441</v>
          </cell>
          <cell r="G3175">
            <v>425000</v>
          </cell>
          <cell r="H3175">
            <v>108407</v>
          </cell>
          <cell r="I3175">
            <v>0</v>
          </cell>
        </row>
        <row r="3176">
          <cell r="A3176" t="str">
            <v>6310|405252</v>
          </cell>
          <cell r="B3176" t="str">
            <v>6310</v>
          </cell>
          <cell r="C3176">
            <v>405252</v>
          </cell>
          <cell r="D3176">
            <v>41426</v>
          </cell>
          <cell r="E3176">
            <v>416000000</v>
          </cell>
          <cell r="F3176">
            <v>208000000</v>
          </cell>
          <cell r="G3176">
            <v>0</v>
          </cell>
          <cell r="H3176">
            <v>34666667</v>
          </cell>
          <cell r="I3176">
            <v>0</v>
          </cell>
        </row>
        <row r="3177">
          <cell r="A3177" t="str">
            <v>6310|406000</v>
          </cell>
          <cell r="B3177" t="str">
            <v>6310</v>
          </cell>
          <cell r="C3177">
            <v>406000</v>
          </cell>
          <cell r="D3177">
            <v>41426</v>
          </cell>
          <cell r="E3177">
            <v>266000000</v>
          </cell>
          <cell r="F3177">
            <v>133000000</v>
          </cell>
          <cell r="G3177">
            <v>0</v>
          </cell>
          <cell r="H3177">
            <v>22166667</v>
          </cell>
          <cell r="I3177">
            <v>0</v>
          </cell>
        </row>
        <row r="3178">
          <cell r="A3178" t="str">
            <v>6310|451001</v>
          </cell>
          <cell r="B3178" t="str">
            <v>6310</v>
          </cell>
          <cell r="C3178">
            <v>451001</v>
          </cell>
          <cell r="D3178">
            <v>41426</v>
          </cell>
          <cell r="E3178">
            <v>350000000</v>
          </cell>
          <cell r="F3178">
            <v>175000000</v>
          </cell>
          <cell r="G3178">
            <v>201754400</v>
          </cell>
          <cell r="H3178">
            <v>29166667</v>
          </cell>
          <cell r="I3178">
            <v>201754400</v>
          </cell>
        </row>
        <row r="3179">
          <cell r="A3179" t="str">
            <v>6322|431002</v>
          </cell>
          <cell r="B3179" t="str">
            <v>6322</v>
          </cell>
          <cell r="C3179">
            <v>431002</v>
          </cell>
          <cell r="D3179">
            <v>41426</v>
          </cell>
          <cell r="E3179">
            <v>299819</v>
          </cell>
          <cell r="F3179">
            <v>149910</v>
          </cell>
          <cell r="G3179">
            <v>0</v>
          </cell>
          <cell r="H3179">
            <v>24985</v>
          </cell>
          <cell r="I3179">
            <v>0</v>
          </cell>
        </row>
        <row r="3180">
          <cell r="A3180" t="str">
            <v>6322|405200</v>
          </cell>
          <cell r="B3180" t="str">
            <v>6322</v>
          </cell>
          <cell r="C3180">
            <v>405200</v>
          </cell>
          <cell r="D3180">
            <v>41426</v>
          </cell>
          <cell r="E3180">
            <v>35000000</v>
          </cell>
          <cell r="F3180">
            <v>17500000</v>
          </cell>
          <cell r="G3180">
            <v>13556491</v>
          </cell>
          <cell r="H3180">
            <v>2916667</v>
          </cell>
          <cell r="I3180">
            <v>3469846</v>
          </cell>
        </row>
        <row r="3181">
          <cell r="A3181" t="str">
            <v>6325|211104</v>
          </cell>
          <cell r="B3181" t="str">
            <v>6325</v>
          </cell>
          <cell r="C3181">
            <v>211104</v>
          </cell>
          <cell r="D3181">
            <v>41426</v>
          </cell>
          <cell r="E3181">
            <v>488025000</v>
          </cell>
          <cell r="F3181">
            <v>244012500</v>
          </cell>
          <cell r="G3181">
            <v>0</v>
          </cell>
          <cell r="H3181">
            <v>40668750</v>
          </cell>
          <cell r="I3181">
            <v>0</v>
          </cell>
        </row>
        <row r="3182">
          <cell r="A3182" t="str">
            <v>6326|470102</v>
          </cell>
          <cell r="B3182" t="str">
            <v>6326</v>
          </cell>
          <cell r="C3182">
            <v>470102</v>
          </cell>
          <cell r="D3182">
            <v>41426</v>
          </cell>
          <cell r="E3182">
            <v>1016779</v>
          </cell>
          <cell r="F3182">
            <v>508390</v>
          </cell>
          <cell r="G3182">
            <v>0</v>
          </cell>
          <cell r="H3182">
            <v>84732</v>
          </cell>
          <cell r="I3182">
            <v>0</v>
          </cell>
        </row>
        <row r="3183">
          <cell r="A3183" t="str">
            <v>6326|470101</v>
          </cell>
          <cell r="B3183" t="str">
            <v>6326</v>
          </cell>
          <cell r="C3183">
            <v>470101</v>
          </cell>
          <cell r="D3183">
            <v>41426</v>
          </cell>
          <cell r="E3183">
            <v>859795</v>
          </cell>
          <cell r="F3183">
            <v>429898</v>
          </cell>
          <cell r="G3183">
            <v>0</v>
          </cell>
          <cell r="H3183">
            <v>71650</v>
          </cell>
          <cell r="I3183">
            <v>0</v>
          </cell>
        </row>
        <row r="3184">
          <cell r="A3184" t="str">
            <v>6410|406000</v>
          </cell>
          <cell r="B3184" t="str">
            <v>6410</v>
          </cell>
          <cell r="C3184">
            <v>406000</v>
          </cell>
          <cell r="D3184">
            <v>41426</v>
          </cell>
          <cell r="E3184">
            <v>134000000</v>
          </cell>
          <cell r="F3184">
            <v>67000000</v>
          </cell>
          <cell r="G3184">
            <v>0</v>
          </cell>
          <cell r="H3184">
            <v>11166667</v>
          </cell>
          <cell r="I3184">
            <v>0</v>
          </cell>
        </row>
        <row r="3185">
          <cell r="A3185" t="str">
            <v>6410|451001</v>
          </cell>
          <cell r="B3185" t="str">
            <v>6410</v>
          </cell>
          <cell r="C3185">
            <v>451001</v>
          </cell>
          <cell r="D3185">
            <v>41426</v>
          </cell>
          <cell r="E3185">
            <v>400000000</v>
          </cell>
          <cell r="F3185">
            <v>200000000</v>
          </cell>
          <cell r="G3185">
            <v>168384800</v>
          </cell>
          <cell r="H3185">
            <v>33333333</v>
          </cell>
          <cell r="I3185">
            <v>168384800</v>
          </cell>
        </row>
        <row r="3186">
          <cell r="A3186" t="str">
            <v>6421|476223</v>
          </cell>
          <cell r="B3186" t="str">
            <v>6421</v>
          </cell>
          <cell r="C3186">
            <v>476223</v>
          </cell>
          <cell r="D3186">
            <v>41426</v>
          </cell>
          <cell r="E3186">
            <v>10000000</v>
          </cell>
          <cell r="F3186">
            <v>5000000</v>
          </cell>
          <cell r="G3186">
            <v>40886490</v>
          </cell>
          <cell r="H3186">
            <v>833333</v>
          </cell>
          <cell r="I3186">
            <v>8177298</v>
          </cell>
        </row>
        <row r="3187">
          <cell r="A3187" t="str">
            <v>H140|475003</v>
          </cell>
          <cell r="B3187" t="str">
            <v>H140</v>
          </cell>
          <cell r="C3187">
            <v>475003</v>
          </cell>
          <cell r="D3187">
            <v>41426</v>
          </cell>
          <cell r="E3187">
            <v>2075235</v>
          </cell>
          <cell r="F3187">
            <v>1037618</v>
          </cell>
          <cell r="G3187">
            <v>0</v>
          </cell>
          <cell r="H3187">
            <v>172937</v>
          </cell>
          <cell r="I3187">
            <v>0</v>
          </cell>
        </row>
        <row r="3188">
          <cell r="A3188" t="str">
            <v>H140|476220</v>
          </cell>
          <cell r="B3188" t="str">
            <v>H140</v>
          </cell>
          <cell r="C3188">
            <v>476220</v>
          </cell>
          <cell r="D3188">
            <v>41426</v>
          </cell>
          <cell r="E3188">
            <v>2024970</v>
          </cell>
          <cell r="F3188">
            <v>1012485</v>
          </cell>
          <cell r="G3188">
            <v>0</v>
          </cell>
          <cell r="H3188">
            <v>168747</v>
          </cell>
          <cell r="I3188">
            <v>0</v>
          </cell>
        </row>
        <row r="3189">
          <cell r="A3189" t="str">
            <v>H160|476900</v>
          </cell>
          <cell r="B3189" t="str">
            <v>H160</v>
          </cell>
          <cell r="C3189">
            <v>476900</v>
          </cell>
          <cell r="D3189">
            <v>41426</v>
          </cell>
          <cell r="E3189">
            <v>2989632</v>
          </cell>
          <cell r="F3189">
            <v>1494816</v>
          </cell>
          <cell r="G3189">
            <v>0</v>
          </cell>
          <cell r="H3189">
            <v>249136</v>
          </cell>
          <cell r="I3189">
            <v>0</v>
          </cell>
        </row>
        <row r="3190">
          <cell r="A3190" t="str">
            <v>H160|449035</v>
          </cell>
          <cell r="B3190" t="str">
            <v>H160</v>
          </cell>
          <cell r="C3190">
            <v>449035</v>
          </cell>
          <cell r="D3190">
            <v>41426</v>
          </cell>
          <cell r="E3190">
            <v>24660478</v>
          </cell>
          <cell r="F3190">
            <v>12330239</v>
          </cell>
          <cell r="G3190">
            <v>0</v>
          </cell>
          <cell r="H3190">
            <v>2055040</v>
          </cell>
          <cell r="I3190">
            <v>0</v>
          </cell>
        </row>
        <row r="3191">
          <cell r="A3191" t="str">
            <v>H160|211100</v>
          </cell>
          <cell r="B3191" t="str">
            <v>H160</v>
          </cell>
          <cell r="C3191">
            <v>211100</v>
          </cell>
          <cell r="D3191">
            <v>41426</v>
          </cell>
          <cell r="E3191">
            <v>103381969</v>
          </cell>
          <cell r="F3191">
            <v>51690985</v>
          </cell>
          <cell r="G3191">
            <v>0</v>
          </cell>
          <cell r="H3191">
            <v>8615165</v>
          </cell>
          <cell r="I3191">
            <v>0</v>
          </cell>
        </row>
        <row r="3192">
          <cell r="A3192" t="str">
            <v>0260|405252</v>
          </cell>
          <cell r="B3192" t="str">
            <v>0260</v>
          </cell>
          <cell r="C3192">
            <v>405252</v>
          </cell>
          <cell r="D3192">
            <v>41426</v>
          </cell>
          <cell r="E3192">
            <v>15000000</v>
          </cell>
          <cell r="F3192">
            <v>7500000</v>
          </cell>
          <cell r="G3192">
            <v>165033039</v>
          </cell>
          <cell r="H3192">
            <v>1250000</v>
          </cell>
          <cell r="I3192">
            <v>1244851</v>
          </cell>
        </row>
        <row r="3193">
          <cell r="A3193" t="str">
            <v>1210|465000</v>
          </cell>
          <cell r="B3193" t="str">
            <v>1210</v>
          </cell>
          <cell r="C3193">
            <v>465000</v>
          </cell>
          <cell r="D3193">
            <v>41426</v>
          </cell>
          <cell r="E3193">
            <v>225000000</v>
          </cell>
          <cell r="F3193">
            <v>112500000</v>
          </cell>
          <cell r="G3193">
            <v>129493348</v>
          </cell>
          <cell r="H3193">
            <v>18750000</v>
          </cell>
          <cell r="I3193">
            <v>-171288572</v>
          </cell>
        </row>
        <row r="3194">
          <cell r="A3194" t="str">
            <v>1600|422002</v>
          </cell>
          <cell r="B3194" t="str">
            <v>1600</v>
          </cell>
          <cell r="C3194">
            <v>422002</v>
          </cell>
          <cell r="D3194">
            <v>41426</v>
          </cell>
          <cell r="E3194">
            <v>634770</v>
          </cell>
          <cell r="F3194">
            <v>317385</v>
          </cell>
          <cell r="G3194">
            <v>394350</v>
          </cell>
          <cell r="H3194">
            <v>52897</v>
          </cell>
          <cell r="I3194">
            <v>0</v>
          </cell>
        </row>
        <row r="3195">
          <cell r="A3195" t="str">
            <v>1610|422003</v>
          </cell>
          <cell r="B3195" t="str">
            <v>1610</v>
          </cell>
          <cell r="C3195">
            <v>422003</v>
          </cell>
          <cell r="D3195">
            <v>41426</v>
          </cell>
          <cell r="E3195">
            <v>158760</v>
          </cell>
          <cell r="F3195">
            <v>79380</v>
          </cell>
          <cell r="G3195">
            <v>188500</v>
          </cell>
          <cell r="H3195">
            <v>13230</v>
          </cell>
          <cell r="I3195">
            <v>0</v>
          </cell>
        </row>
        <row r="3196">
          <cell r="A3196" t="str">
            <v>2200|448000</v>
          </cell>
          <cell r="B3196" t="str">
            <v>2200</v>
          </cell>
          <cell r="C3196">
            <v>448000</v>
          </cell>
          <cell r="D3196">
            <v>41426</v>
          </cell>
          <cell r="E3196">
            <v>2219896700</v>
          </cell>
          <cell r="F3196">
            <v>1109948350</v>
          </cell>
          <cell r="G3196">
            <v>661611478</v>
          </cell>
          <cell r="H3196">
            <v>184991392</v>
          </cell>
          <cell r="I3196">
            <v>110268580</v>
          </cell>
        </row>
        <row r="3197">
          <cell r="A3197" t="str">
            <v>2200|448001</v>
          </cell>
          <cell r="B3197" t="str">
            <v>2200</v>
          </cell>
          <cell r="C3197">
            <v>448001</v>
          </cell>
          <cell r="D3197">
            <v>41426</v>
          </cell>
          <cell r="E3197">
            <v>795024400</v>
          </cell>
          <cell r="F3197">
            <v>397512200</v>
          </cell>
          <cell r="G3197">
            <v>197222762</v>
          </cell>
          <cell r="H3197">
            <v>66252033</v>
          </cell>
          <cell r="I3197">
            <v>32870460</v>
          </cell>
        </row>
        <row r="3198">
          <cell r="A3198" t="str">
            <v>2270|422003</v>
          </cell>
          <cell r="B3198" t="str">
            <v>2270</v>
          </cell>
          <cell r="C3198">
            <v>422003</v>
          </cell>
          <cell r="D3198">
            <v>41426</v>
          </cell>
          <cell r="E3198">
            <v>803250</v>
          </cell>
          <cell r="F3198">
            <v>401625</v>
          </cell>
          <cell r="G3198">
            <v>476700</v>
          </cell>
          <cell r="H3198">
            <v>66937</v>
          </cell>
          <cell r="I3198">
            <v>0</v>
          </cell>
        </row>
        <row r="3199">
          <cell r="A3199" t="str">
            <v>2500|474100</v>
          </cell>
          <cell r="B3199" t="str">
            <v>2500</v>
          </cell>
          <cell r="C3199">
            <v>474100</v>
          </cell>
          <cell r="D3199">
            <v>41426</v>
          </cell>
          <cell r="E3199">
            <v>2166300</v>
          </cell>
          <cell r="F3199">
            <v>1083150</v>
          </cell>
          <cell r="G3199">
            <v>-1938476</v>
          </cell>
          <cell r="H3199">
            <v>180525</v>
          </cell>
          <cell r="I3199">
            <v>0</v>
          </cell>
        </row>
        <row r="3200">
          <cell r="A3200" t="str">
            <v>2500|422002</v>
          </cell>
          <cell r="B3200" t="str">
            <v>2500</v>
          </cell>
          <cell r="C3200">
            <v>422002</v>
          </cell>
          <cell r="D3200">
            <v>41426</v>
          </cell>
          <cell r="E3200">
            <v>117990</v>
          </cell>
          <cell r="F3200">
            <v>58995</v>
          </cell>
          <cell r="G3200">
            <v>312900</v>
          </cell>
          <cell r="H3200">
            <v>9832</v>
          </cell>
          <cell r="I3200">
            <v>0</v>
          </cell>
        </row>
        <row r="3201">
          <cell r="A3201" t="str">
            <v>3210|406000</v>
          </cell>
          <cell r="B3201" t="str">
            <v>3210</v>
          </cell>
          <cell r="C3201">
            <v>406000</v>
          </cell>
          <cell r="D3201">
            <v>41426</v>
          </cell>
          <cell r="E3201">
            <v>778000000</v>
          </cell>
          <cell r="F3201">
            <v>389000000</v>
          </cell>
          <cell r="G3201">
            <v>472485400</v>
          </cell>
          <cell r="H3201">
            <v>64833334</v>
          </cell>
          <cell r="I3201">
            <v>254530400</v>
          </cell>
        </row>
        <row r="3202">
          <cell r="A3202" t="str">
            <v>3490|422002</v>
          </cell>
          <cell r="B3202" t="str">
            <v>3490</v>
          </cell>
          <cell r="C3202">
            <v>422002</v>
          </cell>
          <cell r="D3202">
            <v>41426</v>
          </cell>
          <cell r="E3202">
            <v>515430</v>
          </cell>
          <cell r="F3202">
            <v>257715</v>
          </cell>
          <cell r="G3202">
            <v>39400</v>
          </cell>
          <cell r="H3202">
            <v>42952</v>
          </cell>
          <cell r="I3202">
            <v>0</v>
          </cell>
        </row>
        <row r="3203">
          <cell r="A3203" t="str">
            <v>5200|422003</v>
          </cell>
          <cell r="B3203" t="str">
            <v>5200</v>
          </cell>
          <cell r="C3203">
            <v>422003</v>
          </cell>
          <cell r="D3203">
            <v>41426</v>
          </cell>
          <cell r="E3203">
            <v>506160</v>
          </cell>
          <cell r="F3203">
            <v>253080</v>
          </cell>
          <cell r="G3203">
            <v>185550</v>
          </cell>
          <cell r="H3203">
            <v>42180</v>
          </cell>
          <cell r="I3203">
            <v>0</v>
          </cell>
        </row>
        <row r="3204">
          <cell r="A3204" t="str">
            <v>2270|474101</v>
          </cell>
          <cell r="B3204" t="str">
            <v>2270</v>
          </cell>
          <cell r="C3204">
            <v>474101</v>
          </cell>
          <cell r="D3204">
            <v>41426</v>
          </cell>
          <cell r="E3204">
            <v>3000000</v>
          </cell>
          <cell r="F3204">
            <v>3000000</v>
          </cell>
          <cell r="G3204">
            <v>1869817</v>
          </cell>
          <cell r="H3204">
            <v>3000000</v>
          </cell>
          <cell r="I3204">
            <v>0</v>
          </cell>
        </row>
        <row r="3205">
          <cell r="A3205" t="str">
            <v>6110|459005</v>
          </cell>
          <cell r="B3205" t="str">
            <v>6110</v>
          </cell>
          <cell r="C3205">
            <v>459005</v>
          </cell>
          <cell r="D3205">
            <v>41426</v>
          </cell>
          <cell r="E3205">
            <v>1000000</v>
          </cell>
          <cell r="F3205">
            <v>1000000</v>
          </cell>
          <cell r="G3205">
            <v>1000000</v>
          </cell>
          <cell r="H3205">
            <v>1000000</v>
          </cell>
          <cell r="I3205">
            <v>0</v>
          </cell>
        </row>
        <row r="3206">
          <cell r="A3206" t="str">
            <v>0100|431001</v>
          </cell>
          <cell r="B3206" t="str">
            <v>0100</v>
          </cell>
          <cell r="C3206">
            <v>431001</v>
          </cell>
          <cell r="D3206">
            <v>41426</v>
          </cell>
          <cell r="E3206">
            <v>0</v>
          </cell>
          <cell r="F3206">
            <v>0</v>
          </cell>
          <cell r="G3206">
            <v>556000</v>
          </cell>
          <cell r="H3206">
            <v>0</v>
          </cell>
          <cell r="I3206">
            <v>0</v>
          </cell>
        </row>
        <row r="3207">
          <cell r="A3207" t="str">
            <v>0200|439203</v>
          </cell>
          <cell r="B3207" t="str">
            <v>0200</v>
          </cell>
          <cell r="C3207">
            <v>439203</v>
          </cell>
          <cell r="D3207">
            <v>41426</v>
          </cell>
          <cell r="E3207">
            <v>0</v>
          </cell>
          <cell r="F3207">
            <v>0</v>
          </cell>
          <cell r="G3207">
            <v>75000</v>
          </cell>
          <cell r="H3207">
            <v>0</v>
          </cell>
          <cell r="I3207">
            <v>0</v>
          </cell>
        </row>
        <row r="3208">
          <cell r="A3208" t="str">
            <v>0310|448002</v>
          </cell>
          <cell r="B3208" t="str">
            <v>0310</v>
          </cell>
          <cell r="C3208">
            <v>448002</v>
          </cell>
          <cell r="D3208">
            <v>41426</v>
          </cell>
          <cell r="E3208">
            <v>0</v>
          </cell>
          <cell r="F3208">
            <v>0</v>
          </cell>
          <cell r="G3208">
            <v>536300</v>
          </cell>
          <cell r="H3208">
            <v>0</v>
          </cell>
          <cell r="I3208">
            <v>156300</v>
          </cell>
        </row>
        <row r="3209">
          <cell r="A3209" t="str">
            <v>0310|211100</v>
          </cell>
          <cell r="B3209" t="str">
            <v>0310</v>
          </cell>
          <cell r="C3209">
            <v>211100</v>
          </cell>
          <cell r="D3209">
            <v>41426</v>
          </cell>
          <cell r="E3209">
            <v>0</v>
          </cell>
          <cell r="F3209">
            <v>0</v>
          </cell>
          <cell r="G3209">
            <v>0</v>
          </cell>
          <cell r="H3209">
            <v>0</v>
          </cell>
          <cell r="I3209">
            <v>0</v>
          </cell>
        </row>
        <row r="3210">
          <cell r="A3210" t="str">
            <v>0340|477310</v>
          </cell>
          <cell r="B3210" t="str">
            <v>0340</v>
          </cell>
          <cell r="C3210">
            <v>477310</v>
          </cell>
          <cell r="D3210">
            <v>41426</v>
          </cell>
          <cell r="E3210">
            <v>0</v>
          </cell>
          <cell r="F3210">
            <v>0</v>
          </cell>
          <cell r="G3210">
            <v>346000</v>
          </cell>
          <cell r="H3210">
            <v>0</v>
          </cell>
          <cell r="I3210">
            <v>0</v>
          </cell>
        </row>
        <row r="3211">
          <cell r="A3211" t="str">
            <v>0370|455002</v>
          </cell>
          <cell r="B3211" t="str">
            <v>0370</v>
          </cell>
          <cell r="C3211">
            <v>455002</v>
          </cell>
          <cell r="D3211">
            <v>41426</v>
          </cell>
          <cell r="E3211">
            <v>0</v>
          </cell>
          <cell r="F3211">
            <v>0</v>
          </cell>
          <cell r="G3211">
            <v>957611</v>
          </cell>
          <cell r="H3211">
            <v>0</v>
          </cell>
          <cell r="I3211">
            <v>0</v>
          </cell>
        </row>
        <row r="3212">
          <cell r="A3212" t="str">
            <v>0370|211100</v>
          </cell>
          <cell r="B3212" t="str">
            <v>0370</v>
          </cell>
          <cell r="C3212">
            <v>211100</v>
          </cell>
          <cell r="D3212">
            <v>41426</v>
          </cell>
          <cell r="E3212">
            <v>0</v>
          </cell>
          <cell r="F3212">
            <v>0</v>
          </cell>
          <cell r="G3212">
            <v>0</v>
          </cell>
          <cell r="H3212">
            <v>0</v>
          </cell>
          <cell r="I3212">
            <v>0</v>
          </cell>
        </row>
        <row r="3213">
          <cell r="A3213" t="str">
            <v>0380|455002</v>
          </cell>
          <cell r="B3213" t="str">
            <v>0380</v>
          </cell>
          <cell r="C3213">
            <v>455002</v>
          </cell>
          <cell r="D3213">
            <v>41426</v>
          </cell>
          <cell r="E3213">
            <v>0</v>
          </cell>
          <cell r="F3213">
            <v>0</v>
          </cell>
          <cell r="G3213">
            <v>456473</v>
          </cell>
          <cell r="H3213">
            <v>0</v>
          </cell>
          <cell r="I3213">
            <v>0</v>
          </cell>
        </row>
        <row r="3214">
          <cell r="A3214" t="str">
            <v>0380|439100</v>
          </cell>
          <cell r="B3214" t="str">
            <v>0380</v>
          </cell>
          <cell r="C3214">
            <v>439100</v>
          </cell>
          <cell r="D3214">
            <v>41426</v>
          </cell>
          <cell r="E3214">
            <v>0</v>
          </cell>
          <cell r="F3214">
            <v>0</v>
          </cell>
          <cell r="G3214">
            <v>2000000</v>
          </cell>
          <cell r="H3214">
            <v>0</v>
          </cell>
          <cell r="I3214">
            <v>0</v>
          </cell>
        </row>
        <row r="3215">
          <cell r="A3215" t="str">
            <v>0510|405200</v>
          </cell>
          <cell r="B3215" t="str">
            <v>0510</v>
          </cell>
          <cell r="C3215">
            <v>405200</v>
          </cell>
          <cell r="D3215">
            <v>41426</v>
          </cell>
          <cell r="E3215">
            <v>0</v>
          </cell>
          <cell r="F3215">
            <v>0</v>
          </cell>
          <cell r="G3215">
            <v>2677500</v>
          </cell>
          <cell r="H3215">
            <v>0</v>
          </cell>
          <cell r="I3215">
            <v>0</v>
          </cell>
        </row>
        <row r="3216">
          <cell r="A3216" t="str">
            <v>0520|446003</v>
          </cell>
          <cell r="B3216" t="str">
            <v>0520</v>
          </cell>
          <cell r="C3216">
            <v>446003</v>
          </cell>
          <cell r="D3216">
            <v>41426</v>
          </cell>
          <cell r="E3216">
            <v>0</v>
          </cell>
          <cell r="F3216">
            <v>0</v>
          </cell>
          <cell r="G3216">
            <v>200000</v>
          </cell>
          <cell r="H3216">
            <v>0</v>
          </cell>
          <cell r="I3216">
            <v>50000</v>
          </cell>
        </row>
        <row r="3217">
          <cell r="A3217" t="str">
            <v>0530|473000</v>
          </cell>
          <cell r="B3217" t="str">
            <v>0530</v>
          </cell>
          <cell r="C3217">
            <v>473000</v>
          </cell>
          <cell r="D3217">
            <v>41426</v>
          </cell>
          <cell r="E3217">
            <v>0</v>
          </cell>
          <cell r="F3217">
            <v>0</v>
          </cell>
          <cell r="G3217">
            <v>6000</v>
          </cell>
          <cell r="H3217">
            <v>0</v>
          </cell>
          <cell r="I3217">
            <v>0</v>
          </cell>
        </row>
        <row r="3218">
          <cell r="A3218" t="str">
            <v>1110|466002</v>
          </cell>
          <cell r="B3218" t="str">
            <v>1110</v>
          </cell>
          <cell r="C3218">
            <v>466002</v>
          </cell>
          <cell r="D3218">
            <v>41426</v>
          </cell>
          <cell r="E3218">
            <v>0</v>
          </cell>
          <cell r="F3218">
            <v>0</v>
          </cell>
          <cell r="G3218">
            <v>634536</v>
          </cell>
          <cell r="H3218">
            <v>0</v>
          </cell>
          <cell r="I3218">
            <v>0</v>
          </cell>
        </row>
        <row r="3219">
          <cell r="A3219" t="str">
            <v>1200|405200</v>
          </cell>
          <cell r="B3219" t="str">
            <v>1200</v>
          </cell>
          <cell r="C3219">
            <v>405200</v>
          </cell>
          <cell r="D3219">
            <v>41426</v>
          </cell>
          <cell r="E3219">
            <v>0</v>
          </cell>
          <cell r="F3219">
            <v>0</v>
          </cell>
          <cell r="G3219">
            <v>2390000</v>
          </cell>
          <cell r="H3219">
            <v>0</v>
          </cell>
          <cell r="I3219">
            <v>0</v>
          </cell>
        </row>
        <row r="3220">
          <cell r="A3220" t="str">
            <v>1510|405200</v>
          </cell>
          <cell r="B3220" t="str">
            <v>1510</v>
          </cell>
          <cell r="C3220">
            <v>405200</v>
          </cell>
          <cell r="D3220">
            <v>41426</v>
          </cell>
          <cell r="E3220">
            <v>0</v>
          </cell>
          <cell r="F3220">
            <v>0</v>
          </cell>
          <cell r="G3220">
            <v>2035000</v>
          </cell>
          <cell r="H3220">
            <v>0</v>
          </cell>
          <cell r="I3220">
            <v>0</v>
          </cell>
        </row>
        <row r="3221">
          <cell r="A3221" t="str">
            <v>1600|439203</v>
          </cell>
          <cell r="B3221" t="str">
            <v>1600</v>
          </cell>
          <cell r="C3221">
            <v>439203</v>
          </cell>
          <cell r="D3221">
            <v>41426</v>
          </cell>
          <cell r="E3221">
            <v>0</v>
          </cell>
          <cell r="F3221">
            <v>0</v>
          </cell>
          <cell r="G3221">
            <v>75000</v>
          </cell>
          <cell r="H3221">
            <v>0</v>
          </cell>
          <cell r="I3221">
            <v>0</v>
          </cell>
        </row>
        <row r="3222">
          <cell r="A3222" t="str">
            <v>1610|439203</v>
          </cell>
          <cell r="B3222" t="str">
            <v>1610</v>
          </cell>
          <cell r="C3222">
            <v>439203</v>
          </cell>
          <cell r="D3222">
            <v>41426</v>
          </cell>
          <cell r="E3222">
            <v>0</v>
          </cell>
          <cell r="F3222">
            <v>0</v>
          </cell>
          <cell r="G3222">
            <v>350000</v>
          </cell>
          <cell r="H3222">
            <v>0</v>
          </cell>
          <cell r="I3222">
            <v>0</v>
          </cell>
        </row>
        <row r="3223">
          <cell r="A3223" t="str">
            <v>1700|405200</v>
          </cell>
          <cell r="B3223" t="str">
            <v>1700</v>
          </cell>
          <cell r="C3223">
            <v>405200</v>
          </cell>
          <cell r="D3223">
            <v>41426</v>
          </cell>
          <cell r="E3223">
            <v>0</v>
          </cell>
          <cell r="F3223">
            <v>0</v>
          </cell>
          <cell r="G3223">
            <v>2390000</v>
          </cell>
          <cell r="H3223">
            <v>0</v>
          </cell>
          <cell r="I3223">
            <v>0</v>
          </cell>
        </row>
        <row r="3224">
          <cell r="A3224" t="str">
            <v>2210|400040</v>
          </cell>
          <cell r="B3224" t="str">
            <v>2210</v>
          </cell>
          <cell r="C3224">
            <v>400040</v>
          </cell>
          <cell r="D3224">
            <v>41426</v>
          </cell>
          <cell r="E3224">
            <v>0</v>
          </cell>
          <cell r="F3224">
            <v>0</v>
          </cell>
          <cell r="G3224">
            <v>427120</v>
          </cell>
          <cell r="H3224">
            <v>0</v>
          </cell>
          <cell r="I3224">
            <v>0</v>
          </cell>
        </row>
        <row r="3225">
          <cell r="A3225" t="str">
            <v>2240|476223</v>
          </cell>
          <cell r="B3225" t="str">
            <v>2240</v>
          </cell>
          <cell r="C3225">
            <v>476223</v>
          </cell>
          <cell r="D3225">
            <v>41426</v>
          </cell>
          <cell r="E3225">
            <v>0</v>
          </cell>
          <cell r="F3225">
            <v>0</v>
          </cell>
          <cell r="G3225">
            <v>111213816</v>
          </cell>
          <cell r="H3225">
            <v>0</v>
          </cell>
          <cell r="I3225">
            <v>1388947</v>
          </cell>
        </row>
        <row r="3226">
          <cell r="A3226" t="str">
            <v>3100|477310</v>
          </cell>
          <cell r="B3226" t="str">
            <v>3100</v>
          </cell>
          <cell r="C3226">
            <v>477310</v>
          </cell>
          <cell r="D3226">
            <v>41426</v>
          </cell>
          <cell r="E3226">
            <v>0</v>
          </cell>
          <cell r="F3226">
            <v>0</v>
          </cell>
          <cell r="G3226">
            <v>6717608</v>
          </cell>
          <cell r="H3226">
            <v>0</v>
          </cell>
          <cell r="I3226">
            <v>0</v>
          </cell>
        </row>
        <row r="3227">
          <cell r="A3227" t="str">
            <v>3100|405200</v>
          </cell>
          <cell r="B3227" t="str">
            <v>3100</v>
          </cell>
          <cell r="C3227">
            <v>405200</v>
          </cell>
          <cell r="D3227">
            <v>41426</v>
          </cell>
          <cell r="E3227">
            <v>0</v>
          </cell>
          <cell r="F3227">
            <v>0</v>
          </cell>
          <cell r="G3227">
            <v>2780500</v>
          </cell>
          <cell r="H3227">
            <v>0</v>
          </cell>
          <cell r="I3227">
            <v>0</v>
          </cell>
        </row>
        <row r="3228">
          <cell r="A3228" t="str">
            <v>3100|420002</v>
          </cell>
          <cell r="B3228" t="str">
            <v>3100</v>
          </cell>
          <cell r="C3228">
            <v>420002</v>
          </cell>
          <cell r="D3228">
            <v>41426</v>
          </cell>
          <cell r="E3228">
            <v>0</v>
          </cell>
          <cell r="F3228">
            <v>0</v>
          </cell>
          <cell r="G3228">
            <v>30000000</v>
          </cell>
          <cell r="H3228">
            <v>0</v>
          </cell>
          <cell r="I3228">
            <v>7500000</v>
          </cell>
        </row>
        <row r="3229">
          <cell r="A3229" t="str">
            <v>3100|439008</v>
          </cell>
          <cell r="B3229" t="str">
            <v>3100</v>
          </cell>
          <cell r="C3229">
            <v>439008</v>
          </cell>
          <cell r="D3229">
            <v>41426</v>
          </cell>
          <cell r="E3229">
            <v>0</v>
          </cell>
          <cell r="F3229">
            <v>0</v>
          </cell>
          <cell r="G3229">
            <v>7944945</v>
          </cell>
          <cell r="H3229">
            <v>0</v>
          </cell>
          <cell r="I3229">
            <v>1598254</v>
          </cell>
        </row>
        <row r="3230">
          <cell r="A3230" t="str">
            <v>3100|439202</v>
          </cell>
          <cell r="B3230" t="str">
            <v>3100</v>
          </cell>
          <cell r="C3230">
            <v>439202</v>
          </cell>
          <cell r="D3230">
            <v>41426</v>
          </cell>
          <cell r="E3230">
            <v>0</v>
          </cell>
          <cell r="F3230">
            <v>0</v>
          </cell>
          <cell r="G3230">
            <v>2125000</v>
          </cell>
          <cell r="H3230">
            <v>0</v>
          </cell>
          <cell r="I3230">
            <v>500000</v>
          </cell>
        </row>
        <row r="3231">
          <cell r="A3231" t="str">
            <v>3100|440002</v>
          </cell>
          <cell r="B3231" t="str">
            <v>3100</v>
          </cell>
          <cell r="C3231">
            <v>440002</v>
          </cell>
          <cell r="D3231">
            <v>41426</v>
          </cell>
          <cell r="E3231">
            <v>0</v>
          </cell>
          <cell r="F3231">
            <v>0</v>
          </cell>
          <cell r="G3231">
            <v>1865964</v>
          </cell>
          <cell r="H3231">
            <v>0</v>
          </cell>
          <cell r="I3231">
            <v>397619</v>
          </cell>
        </row>
        <row r="3232">
          <cell r="A3232" t="str">
            <v>3100|447002</v>
          </cell>
          <cell r="B3232" t="str">
            <v>3100</v>
          </cell>
          <cell r="C3232">
            <v>447002</v>
          </cell>
          <cell r="D3232">
            <v>41426</v>
          </cell>
          <cell r="E3232">
            <v>0</v>
          </cell>
          <cell r="F3232">
            <v>0</v>
          </cell>
          <cell r="G3232">
            <v>162000</v>
          </cell>
          <cell r="H3232">
            <v>0</v>
          </cell>
          <cell r="I3232">
            <v>40500</v>
          </cell>
        </row>
        <row r="3233">
          <cell r="A3233" t="str">
            <v>3100|447012</v>
          </cell>
          <cell r="B3233" t="str">
            <v>3100</v>
          </cell>
          <cell r="C3233">
            <v>447012</v>
          </cell>
          <cell r="D3233">
            <v>41426</v>
          </cell>
          <cell r="E3233">
            <v>0</v>
          </cell>
          <cell r="F3233">
            <v>0</v>
          </cell>
          <cell r="G3233">
            <v>1110000</v>
          </cell>
          <cell r="H3233">
            <v>0</v>
          </cell>
          <cell r="I3233">
            <v>277500</v>
          </cell>
        </row>
        <row r="3234">
          <cell r="A3234" t="str">
            <v>3100|447022</v>
          </cell>
          <cell r="B3234" t="str">
            <v>3100</v>
          </cell>
          <cell r="C3234">
            <v>447022</v>
          </cell>
          <cell r="D3234">
            <v>41426</v>
          </cell>
          <cell r="E3234">
            <v>0</v>
          </cell>
          <cell r="F3234">
            <v>0</v>
          </cell>
          <cell r="G3234">
            <v>26895</v>
          </cell>
          <cell r="H3234">
            <v>0</v>
          </cell>
          <cell r="I3234">
            <v>6720</v>
          </cell>
        </row>
        <row r="3235">
          <cell r="A3235" t="str">
            <v>3100|449022</v>
          </cell>
          <cell r="B3235" t="str">
            <v>3100</v>
          </cell>
          <cell r="C3235">
            <v>449022</v>
          </cell>
          <cell r="D3235">
            <v>41426</v>
          </cell>
          <cell r="E3235">
            <v>0</v>
          </cell>
          <cell r="F3235">
            <v>0</v>
          </cell>
          <cell r="G3235">
            <v>1445000</v>
          </cell>
          <cell r="H3235">
            <v>0</v>
          </cell>
          <cell r="I3235">
            <v>340000</v>
          </cell>
        </row>
        <row r="3236">
          <cell r="A3236" t="str">
            <v>3130|472000</v>
          </cell>
          <cell r="B3236" t="str">
            <v>3130</v>
          </cell>
          <cell r="C3236">
            <v>472000</v>
          </cell>
          <cell r="D3236">
            <v>41426</v>
          </cell>
          <cell r="E3236">
            <v>0</v>
          </cell>
          <cell r="F3236">
            <v>0</v>
          </cell>
          <cell r="G3236">
            <v>2079411</v>
          </cell>
          <cell r="H3236">
            <v>0</v>
          </cell>
          <cell r="I3236">
            <v>898990</v>
          </cell>
        </row>
        <row r="3237">
          <cell r="A3237" t="str">
            <v>3300|431001</v>
          </cell>
          <cell r="B3237" t="str">
            <v>3300</v>
          </cell>
          <cell r="C3237">
            <v>431001</v>
          </cell>
          <cell r="D3237">
            <v>41426</v>
          </cell>
          <cell r="E3237">
            <v>0</v>
          </cell>
          <cell r="F3237">
            <v>0</v>
          </cell>
          <cell r="G3237">
            <v>3866183</v>
          </cell>
          <cell r="H3237">
            <v>0</v>
          </cell>
          <cell r="I3237">
            <v>3599303</v>
          </cell>
        </row>
        <row r="3238">
          <cell r="A3238" t="str">
            <v>3320|431002</v>
          </cell>
          <cell r="B3238" t="str">
            <v>3320</v>
          </cell>
          <cell r="C3238">
            <v>431002</v>
          </cell>
          <cell r="D3238">
            <v>41426</v>
          </cell>
          <cell r="E3238">
            <v>0</v>
          </cell>
          <cell r="F3238">
            <v>0</v>
          </cell>
          <cell r="G3238">
            <v>-1543392</v>
          </cell>
          <cell r="H3238">
            <v>0</v>
          </cell>
          <cell r="I3238">
            <v>0</v>
          </cell>
        </row>
        <row r="3239">
          <cell r="A3239" t="str">
            <v>3320|431000</v>
          </cell>
          <cell r="B3239" t="str">
            <v>3320</v>
          </cell>
          <cell r="C3239">
            <v>431000</v>
          </cell>
          <cell r="D3239">
            <v>41426</v>
          </cell>
          <cell r="E3239">
            <v>0</v>
          </cell>
          <cell r="F3239">
            <v>0</v>
          </cell>
          <cell r="G3239">
            <v>-8628634</v>
          </cell>
          <cell r="H3239">
            <v>0</v>
          </cell>
          <cell r="I3239">
            <v>0</v>
          </cell>
        </row>
        <row r="3240">
          <cell r="A3240" t="str">
            <v>3320|449060</v>
          </cell>
          <cell r="B3240" t="str">
            <v>3320</v>
          </cell>
          <cell r="C3240">
            <v>449060</v>
          </cell>
          <cell r="D3240">
            <v>41426</v>
          </cell>
          <cell r="E3240">
            <v>0</v>
          </cell>
          <cell r="F3240">
            <v>0</v>
          </cell>
          <cell r="G3240">
            <v>-404179</v>
          </cell>
          <cell r="H3240">
            <v>0</v>
          </cell>
          <cell r="I3240">
            <v>0</v>
          </cell>
        </row>
        <row r="3241">
          <cell r="A3241" t="str">
            <v>3320|400040</v>
          </cell>
          <cell r="B3241" t="str">
            <v>3320</v>
          </cell>
          <cell r="C3241">
            <v>400040</v>
          </cell>
          <cell r="D3241">
            <v>41426</v>
          </cell>
          <cell r="E3241">
            <v>0</v>
          </cell>
          <cell r="F3241">
            <v>0</v>
          </cell>
          <cell r="G3241">
            <v>-792099</v>
          </cell>
          <cell r="H3241">
            <v>0</v>
          </cell>
          <cell r="I3241">
            <v>0</v>
          </cell>
        </row>
        <row r="3242">
          <cell r="A3242" t="str">
            <v>3410|449040</v>
          </cell>
          <cell r="B3242" t="str">
            <v>3410</v>
          </cell>
          <cell r="C3242">
            <v>449040</v>
          </cell>
          <cell r="D3242">
            <v>41426</v>
          </cell>
          <cell r="E3242">
            <v>0</v>
          </cell>
          <cell r="F3242">
            <v>0</v>
          </cell>
          <cell r="G3242">
            <v>10934000</v>
          </cell>
          <cell r="H3242">
            <v>0</v>
          </cell>
          <cell r="I3242">
            <v>2098000</v>
          </cell>
        </row>
        <row r="3243">
          <cell r="A3243" t="str">
            <v>3410|475002</v>
          </cell>
          <cell r="B3243" t="str">
            <v>3410</v>
          </cell>
          <cell r="C3243">
            <v>475002</v>
          </cell>
          <cell r="D3243">
            <v>41426</v>
          </cell>
          <cell r="E3243">
            <v>0</v>
          </cell>
          <cell r="F3243">
            <v>0</v>
          </cell>
          <cell r="G3243">
            <v>1149378</v>
          </cell>
          <cell r="H3243">
            <v>0</v>
          </cell>
          <cell r="I3243">
            <v>191563</v>
          </cell>
        </row>
        <row r="3244">
          <cell r="A3244" t="str">
            <v>3420|475000</v>
          </cell>
          <cell r="B3244" t="str">
            <v>3420</v>
          </cell>
          <cell r="C3244">
            <v>475000</v>
          </cell>
          <cell r="D3244">
            <v>41426</v>
          </cell>
          <cell r="E3244">
            <v>0</v>
          </cell>
          <cell r="F3244">
            <v>0</v>
          </cell>
          <cell r="G3244">
            <v>48282</v>
          </cell>
          <cell r="H3244">
            <v>0</v>
          </cell>
          <cell r="I3244">
            <v>0</v>
          </cell>
        </row>
        <row r="3245">
          <cell r="A3245" t="str">
            <v>3420|475002</v>
          </cell>
          <cell r="B3245" t="str">
            <v>3420</v>
          </cell>
          <cell r="C3245">
            <v>475002</v>
          </cell>
          <cell r="D3245">
            <v>41426</v>
          </cell>
          <cell r="E3245">
            <v>0</v>
          </cell>
          <cell r="F3245">
            <v>0</v>
          </cell>
          <cell r="G3245">
            <v>19641430</v>
          </cell>
          <cell r="H3245">
            <v>0</v>
          </cell>
          <cell r="I3245">
            <v>610469</v>
          </cell>
        </row>
        <row r="3246">
          <cell r="A3246" t="str">
            <v>3420|477300</v>
          </cell>
          <cell r="B3246" t="str">
            <v>3420</v>
          </cell>
          <cell r="C3246">
            <v>477300</v>
          </cell>
          <cell r="D3246">
            <v>41426</v>
          </cell>
          <cell r="E3246">
            <v>6736300</v>
          </cell>
          <cell r="F3246">
            <v>3368150</v>
          </cell>
          <cell r="G3246">
            <v>6736300</v>
          </cell>
          <cell r="H3246">
            <v>561358</v>
          </cell>
          <cell r="I3246">
            <v>3000000</v>
          </cell>
        </row>
        <row r="3247">
          <cell r="A3247" t="str">
            <v>3420|439102</v>
          </cell>
          <cell r="B3247" t="str">
            <v>3420</v>
          </cell>
          <cell r="C3247">
            <v>439102</v>
          </cell>
          <cell r="D3247">
            <v>41426</v>
          </cell>
          <cell r="E3247">
            <v>0</v>
          </cell>
          <cell r="F3247">
            <v>0</v>
          </cell>
          <cell r="G3247">
            <v>1000000</v>
          </cell>
          <cell r="H3247">
            <v>0</v>
          </cell>
          <cell r="I3247">
            <v>0</v>
          </cell>
        </row>
        <row r="3248">
          <cell r="A3248" t="str">
            <v>3430|439102</v>
          </cell>
          <cell r="B3248" t="str">
            <v>3430</v>
          </cell>
          <cell r="C3248">
            <v>439102</v>
          </cell>
          <cell r="D3248">
            <v>41426</v>
          </cell>
          <cell r="E3248">
            <v>0</v>
          </cell>
          <cell r="F3248">
            <v>0</v>
          </cell>
          <cell r="G3248">
            <v>2500000</v>
          </cell>
          <cell r="H3248">
            <v>0</v>
          </cell>
          <cell r="I3248">
            <v>0</v>
          </cell>
        </row>
        <row r="3249">
          <cell r="A3249" t="str">
            <v>3440|477450</v>
          </cell>
          <cell r="B3249" t="str">
            <v>3440</v>
          </cell>
          <cell r="C3249">
            <v>477450</v>
          </cell>
          <cell r="D3249">
            <v>41426</v>
          </cell>
          <cell r="E3249">
            <v>0</v>
          </cell>
          <cell r="F3249">
            <v>0</v>
          </cell>
          <cell r="G3249">
            <v>2501200</v>
          </cell>
          <cell r="H3249">
            <v>0</v>
          </cell>
          <cell r="I3249">
            <v>0</v>
          </cell>
        </row>
        <row r="3250">
          <cell r="A3250" t="str">
            <v>3440|439101</v>
          </cell>
          <cell r="B3250" t="str">
            <v>3440</v>
          </cell>
          <cell r="C3250">
            <v>439101</v>
          </cell>
          <cell r="D3250">
            <v>41426</v>
          </cell>
          <cell r="E3250">
            <v>0</v>
          </cell>
          <cell r="F3250">
            <v>0</v>
          </cell>
          <cell r="G3250">
            <v>2000000</v>
          </cell>
          <cell r="H3250">
            <v>0</v>
          </cell>
          <cell r="I3250">
            <v>0</v>
          </cell>
        </row>
        <row r="3251">
          <cell r="A3251" t="str">
            <v>3500|476900</v>
          </cell>
          <cell r="B3251" t="str">
            <v>3500</v>
          </cell>
          <cell r="C3251">
            <v>476900</v>
          </cell>
          <cell r="D3251">
            <v>41426</v>
          </cell>
          <cell r="E3251">
            <v>0</v>
          </cell>
          <cell r="F3251">
            <v>0</v>
          </cell>
          <cell r="G3251">
            <v>142300</v>
          </cell>
          <cell r="H3251">
            <v>0</v>
          </cell>
          <cell r="I3251">
            <v>0</v>
          </cell>
        </row>
        <row r="3252">
          <cell r="A3252" t="str">
            <v>3500|477310</v>
          </cell>
          <cell r="B3252" t="str">
            <v>3500</v>
          </cell>
          <cell r="C3252">
            <v>477310</v>
          </cell>
          <cell r="D3252">
            <v>41426</v>
          </cell>
          <cell r="E3252">
            <v>0</v>
          </cell>
          <cell r="F3252">
            <v>0</v>
          </cell>
          <cell r="G3252">
            <v>2140570</v>
          </cell>
          <cell r="H3252">
            <v>0</v>
          </cell>
          <cell r="I3252">
            <v>0</v>
          </cell>
        </row>
        <row r="3253">
          <cell r="A3253" t="str">
            <v>3600|475002</v>
          </cell>
          <cell r="B3253" t="str">
            <v>3600</v>
          </cell>
          <cell r="C3253">
            <v>475002</v>
          </cell>
          <cell r="D3253">
            <v>41426</v>
          </cell>
          <cell r="E3253">
            <v>0</v>
          </cell>
          <cell r="F3253">
            <v>0</v>
          </cell>
          <cell r="G3253">
            <v>2049378</v>
          </cell>
          <cell r="H3253">
            <v>0</v>
          </cell>
          <cell r="I3253">
            <v>341563</v>
          </cell>
        </row>
        <row r="3254">
          <cell r="A3254" t="str">
            <v>3600|405200</v>
          </cell>
          <cell r="B3254" t="str">
            <v>3600</v>
          </cell>
          <cell r="C3254">
            <v>405200</v>
          </cell>
          <cell r="D3254">
            <v>41426</v>
          </cell>
          <cell r="E3254">
            <v>0</v>
          </cell>
          <cell r="F3254">
            <v>0</v>
          </cell>
          <cell r="G3254">
            <v>2742000</v>
          </cell>
          <cell r="H3254">
            <v>0</v>
          </cell>
          <cell r="I3254">
            <v>0</v>
          </cell>
        </row>
        <row r="3255">
          <cell r="A3255" t="str">
            <v>3700|477310</v>
          </cell>
          <cell r="B3255" t="str">
            <v>3700</v>
          </cell>
          <cell r="C3255">
            <v>477310</v>
          </cell>
          <cell r="D3255">
            <v>41426</v>
          </cell>
          <cell r="E3255">
            <v>0</v>
          </cell>
          <cell r="F3255">
            <v>0</v>
          </cell>
          <cell r="G3255">
            <v>-5000000</v>
          </cell>
          <cell r="H3255">
            <v>0</v>
          </cell>
          <cell r="I3255">
            <v>-6185000</v>
          </cell>
        </row>
        <row r="3256">
          <cell r="A3256" t="str">
            <v>3700|406000</v>
          </cell>
          <cell r="B3256" t="str">
            <v>3700</v>
          </cell>
          <cell r="C3256">
            <v>406000</v>
          </cell>
          <cell r="D3256">
            <v>41426</v>
          </cell>
          <cell r="E3256">
            <v>0</v>
          </cell>
          <cell r="F3256">
            <v>0</v>
          </cell>
          <cell r="G3256">
            <v>0</v>
          </cell>
          <cell r="H3256">
            <v>0</v>
          </cell>
          <cell r="I3256">
            <v>-107403225</v>
          </cell>
        </row>
        <row r="3257">
          <cell r="A3257" t="str">
            <v>3700|439013</v>
          </cell>
          <cell r="B3257" t="str">
            <v>3700</v>
          </cell>
          <cell r="C3257">
            <v>439013</v>
          </cell>
          <cell r="D3257">
            <v>41426</v>
          </cell>
          <cell r="E3257">
            <v>0</v>
          </cell>
          <cell r="F3257">
            <v>0</v>
          </cell>
          <cell r="G3257">
            <v>0</v>
          </cell>
          <cell r="H3257">
            <v>0</v>
          </cell>
          <cell r="I3257">
            <v>-1529392029</v>
          </cell>
        </row>
        <row r="3258">
          <cell r="A3258" t="str">
            <v>3700|470102</v>
          </cell>
          <cell r="B3258" t="str">
            <v>3700</v>
          </cell>
          <cell r="C3258">
            <v>470102</v>
          </cell>
          <cell r="D3258">
            <v>41426</v>
          </cell>
          <cell r="E3258">
            <v>0</v>
          </cell>
          <cell r="F3258">
            <v>0</v>
          </cell>
          <cell r="G3258">
            <v>0</v>
          </cell>
          <cell r="H3258">
            <v>0</v>
          </cell>
          <cell r="I3258">
            <v>-187000</v>
          </cell>
        </row>
        <row r="3259">
          <cell r="A3259" t="str">
            <v>5500|451001</v>
          </cell>
          <cell r="B3259" t="str">
            <v>5500</v>
          </cell>
          <cell r="C3259">
            <v>451001</v>
          </cell>
          <cell r="D3259">
            <v>41426</v>
          </cell>
          <cell r="E3259">
            <v>11000000</v>
          </cell>
          <cell r="F3259">
            <v>5500000</v>
          </cell>
          <cell r="G3259">
            <v>10375000</v>
          </cell>
          <cell r="H3259">
            <v>916667</v>
          </cell>
          <cell r="I3259">
            <v>0</v>
          </cell>
        </row>
        <row r="3260">
          <cell r="A3260" t="str">
            <v>5520|476223</v>
          </cell>
          <cell r="B3260" t="str">
            <v>5520</v>
          </cell>
          <cell r="C3260">
            <v>476223</v>
          </cell>
          <cell r="D3260">
            <v>41426</v>
          </cell>
          <cell r="E3260">
            <v>10000000</v>
          </cell>
          <cell r="F3260">
            <v>5000000</v>
          </cell>
          <cell r="G3260">
            <v>11195656</v>
          </cell>
          <cell r="H3260">
            <v>833333</v>
          </cell>
          <cell r="I3260">
            <v>1509179</v>
          </cell>
        </row>
        <row r="3261">
          <cell r="A3261" t="str">
            <v>5700|476223</v>
          </cell>
          <cell r="B3261" t="str">
            <v>5700</v>
          </cell>
          <cell r="C3261">
            <v>476223</v>
          </cell>
          <cell r="D3261">
            <v>41426</v>
          </cell>
          <cell r="E3261">
            <v>0</v>
          </cell>
          <cell r="F3261">
            <v>0</v>
          </cell>
          <cell r="G3261">
            <v>-1586500</v>
          </cell>
          <cell r="H3261">
            <v>0</v>
          </cell>
          <cell r="I3261">
            <v>0</v>
          </cell>
        </row>
        <row r="3262">
          <cell r="A3262" t="str">
            <v>5700|211100</v>
          </cell>
          <cell r="B3262" t="str">
            <v>5700</v>
          </cell>
          <cell r="C3262">
            <v>211100</v>
          </cell>
          <cell r="D3262">
            <v>41426</v>
          </cell>
          <cell r="E3262">
            <v>0</v>
          </cell>
          <cell r="F3262">
            <v>0</v>
          </cell>
          <cell r="G3262">
            <v>0</v>
          </cell>
          <cell r="H3262">
            <v>0</v>
          </cell>
          <cell r="I3262">
            <v>0</v>
          </cell>
        </row>
        <row r="3263">
          <cell r="A3263" t="str">
            <v>6321|475006</v>
          </cell>
          <cell r="B3263" t="str">
            <v>6321</v>
          </cell>
          <cell r="C3263">
            <v>475006</v>
          </cell>
          <cell r="D3263">
            <v>41426</v>
          </cell>
          <cell r="E3263">
            <v>0</v>
          </cell>
          <cell r="F3263">
            <v>0</v>
          </cell>
          <cell r="G3263">
            <v>1138127</v>
          </cell>
          <cell r="H3263">
            <v>0</v>
          </cell>
          <cell r="I3263">
            <v>189688</v>
          </cell>
        </row>
        <row r="3264">
          <cell r="A3264" t="str">
            <v>6321|439100</v>
          </cell>
          <cell r="B3264" t="str">
            <v>6321</v>
          </cell>
          <cell r="C3264">
            <v>439100</v>
          </cell>
          <cell r="D3264">
            <v>41426</v>
          </cell>
          <cell r="E3264">
            <v>0</v>
          </cell>
          <cell r="F3264">
            <v>0</v>
          </cell>
          <cell r="G3264">
            <v>3000000</v>
          </cell>
          <cell r="H3264">
            <v>0</v>
          </cell>
          <cell r="I3264">
            <v>1000000</v>
          </cell>
        </row>
        <row r="3265">
          <cell r="A3265" t="str">
            <v>6322|476220</v>
          </cell>
          <cell r="B3265" t="str">
            <v>6322</v>
          </cell>
          <cell r="C3265">
            <v>476220</v>
          </cell>
          <cell r="D3265">
            <v>41426</v>
          </cell>
          <cell r="E3265">
            <v>0</v>
          </cell>
          <cell r="F3265">
            <v>0</v>
          </cell>
          <cell r="G3265">
            <v>146400</v>
          </cell>
          <cell r="H3265">
            <v>0</v>
          </cell>
          <cell r="I3265">
            <v>0</v>
          </cell>
        </row>
        <row r="3266">
          <cell r="A3266" t="str">
            <v>6421|405200</v>
          </cell>
          <cell r="B3266" t="str">
            <v>6421</v>
          </cell>
          <cell r="C3266">
            <v>405200</v>
          </cell>
          <cell r="D3266">
            <v>41426</v>
          </cell>
          <cell r="E3266">
            <v>0</v>
          </cell>
          <cell r="F3266">
            <v>0</v>
          </cell>
          <cell r="G3266">
            <v>5937500</v>
          </cell>
          <cell r="H3266">
            <v>0</v>
          </cell>
          <cell r="I3266">
            <v>0</v>
          </cell>
        </row>
        <row r="3267">
          <cell r="A3267" t="str">
            <v>2270|472000</v>
          </cell>
          <cell r="B3267" t="str">
            <v>2270</v>
          </cell>
          <cell r="C3267">
            <v>472000</v>
          </cell>
          <cell r="D3267">
            <v>41426</v>
          </cell>
          <cell r="E3267">
            <v>1500000</v>
          </cell>
          <cell r="F3267">
            <v>750000</v>
          </cell>
          <cell r="G3267">
            <v>0</v>
          </cell>
          <cell r="H3267">
            <v>125000</v>
          </cell>
          <cell r="I3267">
            <v>0</v>
          </cell>
        </row>
        <row r="3268">
          <cell r="A3268" t="str">
            <v>3300|477450</v>
          </cell>
          <cell r="B3268" t="str">
            <v>3300</v>
          </cell>
          <cell r="C3268">
            <v>477450</v>
          </cell>
          <cell r="D3268">
            <v>41426</v>
          </cell>
          <cell r="E3268">
            <v>1194624540</v>
          </cell>
          <cell r="F3268">
            <v>597312270</v>
          </cell>
          <cell r="G3268">
            <v>1306140606</v>
          </cell>
          <cell r="H3268">
            <v>99552045</v>
          </cell>
          <cell r="I3268">
            <v>-211472307</v>
          </cell>
        </row>
        <row r="3269">
          <cell r="A3269" t="str">
            <v>3600|449032</v>
          </cell>
          <cell r="B3269" t="str">
            <v>3600</v>
          </cell>
          <cell r="C3269">
            <v>449032</v>
          </cell>
          <cell r="D3269">
            <v>41426</v>
          </cell>
          <cell r="E3269">
            <v>500000</v>
          </cell>
          <cell r="F3269">
            <v>250000</v>
          </cell>
          <cell r="G3269">
            <v>250000</v>
          </cell>
          <cell r="H3269">
            <v>41667</v>
          </cell>
          <cell r="I3269">
            <v>0</v>
          </cell>
        </row>
        <row r="3270">
          <cell r="A3270" t="str">
            <v>5700|459007</v>
          </cell>
          <cell r="B3270" t="str">
            <v>5700</v>
          </cell>
          <cell r="C3270">
            <v>459007</v>
          </cell>
          <cell r="D3270">
            <v>41426</v>
          </cell>
          <cell r="E3270">
            <v>6000000</v>
          </cell>
          <cell r="F3270">
            <v>3000000</v>
          </cell>
          <cell r="G3270">
            <v>0</v>
          </cell>
          <cell r="H3270">
            <v>500000</v>
          </cell>
          <cell r="I3270">
            <v>0</v>
          </cell>
        </row>
        <row r="3271">
          <cell r="A3271" t="str">
            <v>3200|477001</v>
          </cell>
          <cell r="B3271" t="str">
            <v>3200</v>
          </cell>
          <cell r="C3271">
            <v>477001</v>
          </cell>
          <cell r="D3271">
            <v>41426</v>
          </cell>
          <cell r="E3271">
            <v>1622000000</v>
          </cell>
          <cell r="F3271">
            <v>811000000</v>
          </cell>
          <cell r="G3271">
            <v>772835000</v>
          </cell>
          <cell r="H3271">
            <v>135166667</v>
          </cell>
          <cell r="I3271">
            <v>0</v>
          </cell>
        </row>
        <row r="3272">
          <cell r="A3272" t="str">
            <v>3300|449036</v>
          </cell>
          <cell r="B3272" t="str">
            <v>3300</v>
          </cell>
          <cell r="C3272">
            <v>449036</v>
          </cell>
          <cell r="D3272">
            <v>41426</v>
          </cell>
          <cell r="E3272">
            <v>8051000</v>
          </cell>
          <cell r="F3272">
            <v>4025500</v>
          </cell>
          <cell r="G3272">
            <v>8015000</v>
          </cell>
          <cell r="H3272">
            <v>670917</v>
          </cell>
          <cell r="I3272">
            <v>0</v>
          </cell>
        </row>
        <row r="3273">
          <cell r="A3273" t="str">
            <v>3600|476910</v>
          </cell>
          <cell r="B3273" t="str">
            <v>3600</v>
          </cell>
          <cell r="C3273">
            <v>476910</v>
          </cell>
          <cell r="D3273">
            <v>41426</v>
          </cell>
          <cell r="E3273">
            <v>2000000</v>
          </cell>
          <cell r="F3273">
            <v>1000000</v>
          </cell>
          <cell r="G3273">
            <v>60500</v>
          </cell>
          <cell r="H3273">
            <v>166667</v>
          </cell>
          <cell r="I3273">
            <v>0</v>
          </cell>
        </row>
        <row r="3274">
          <cell r="A3274" t="str">
            <v>1110|439006</v>
          </cell>
          <cell r="B3274" t="str">
            <v>1110</v>
          </cell>
          <cell r="C3274">
            <v>439006</v>
          </cell>
          <cell r="D3274">
            <v>41426</v>
          </cell>
          <cell r="E3274">
            <v>0</v>
          </cell>
          <cell r="F3274">
            <v>0</v>
          </cell>
          <cell r="G3274">
            <v>-275777412</v>
          </cell>
          <cell r="H3274">
            <v>0</v>
          </cell>
          <cell r="I3274">
            <v>366774432</v>
          </cell>
        </row>
        <row r="3275">
          <cell r="A3275" t="str">
            <v>3320|477450</v>
          </cell>
          <cell r="B3275" t="str">
            <v>3320</v>
          </cell>
          <cell r="C3275">
            <v>477450</v>
          </cell>
          <cell r="D3275">
            <v>41426</v>
          </cell>
          <cell r="E3275">
            <v>800000</v>
          </cell>
          <cell r="F3275">
            <v>400000</v>
          </cell>
          <cell r="G3275">
            <v>0</v>
          </cell>
          <cell r="H3275">
            <v>66667</v>
          </cell>
          <cell r="I3275">
            <v>0</v>
          </cell>
        </row>
        <row r="3276">
          <cell r="A3276" t="str">
            <v>3800|420002</v>
          </cell>
          <cell r="B3276" t="str">
            <v>3800</v>
          </cell>
          <cell r="C3276">
            <v>420002</v>
          </cell>
          <cell r="D3276">
            <v>41426</v>
          </cell>
          <cell r="E3276">
            <v>201060725</v>
          </cell>
          <cell r="F3276">
            <v>80424290</v>
          </cell>
          <cell r="G3276">
            <v>0</v>
          </cell>
          <cell r="H3276">
            <v>20106072</v>
          </cell>
          <cell r="I3276">
            <v>0</v>
          </cell>
        </row>
        <row r="3277">
          <cell r="A3277" t="str">
            <v>2100|459000</v>
          </cell>
          <cell r="B3277" t="str">
            <v>2100</v>
          </cell>
          <cell r="C3277">
            <v>459000</v>
          </cell>
          <cell r="D3277">
            <v>41426</v>
          </cell>
          <cell r="E3277">
            <v>1</v>
          </cell>
          <cell r="F3277">
            <v>1</v>
          </cell>
          <cell r="G3277">
            <v>0</v>
          </cell>
          <cell r="H3277">
            <v>1</v>
          </cell>
          <cell r="I3277">
            <v>0</v>
          </cell>
        </row>
        <row r="3278">
          <cell r="A3278" t="str">
            <v>3220|459000</v>
          </cell>
          <cell r="B3278" t="str">
            <v>3220</v>
          </cell>
          <cell r="C3278">
            <v>459000</v>
          </cell>
          <cell r="D3278">
            <v>41426</v>
          </cell>
          <cell r="E3278">
            <v>1350000</v>
          </cell>
          <cell r="F3278">
            <v>1350000</v>
          </cell>
          <cell r="G3278">
            <v>1300000</v>
          </cell>
          <cell r="H3278">
            <v>1350000</v>
          </cell>
          <cell r="I3278">
            <v>1300000</v>
          </cell>
        </row>
        <row r="3279">
          <cell r="A3279" t="str">
            <v>6326|459000</v>
          </cell>
          <cell r="B3279" t="str">
            <v>6326</v>
          </cell>
          <cell r="C3279">
            <v>459000</v>
          </cell>
          <cell r="D3279">
            <v>41426</v>
          </cell>
          <cell r="E3279">
            <v>1</v>
          </cell>
          <cell r="F3279">
            <v>1</v>
          </cell>
          <cell r="G3279">
            <v>0</v>
          </cell>
          <cell r="H3279">
            <v>1</v>
          </cell>
          <cell r="I3279">
            <v>0</v>
          </cell>
        </row>
        <row r="3280">
          <cell r="A3280" t="str">
            <v>0200|434012</v>
          </cell>
          <cell r="B3280" t="str">
            <v>0200</v>
          </cell>
          <cell r="C3280">
            <v>434012</v>
          </cell>
          <cell r="D3280">
            <v>41426</v>
          </cell>
          <cell r="E3280">
            <v>0</v>
          </cell>
          <cell r="F3280">
            <v>0</v>
          </cell>
          <cell r="G3280">
            <v>493977</v>
          </cell>
          <cell r="H3280">
            <v>0</v>
          </cell>
          <cell r="I3280">
            <v>166248</v>
          </cell>
        </row>
        <row r="3281">
          <cell r="A3281" t="str">
            <v>0200|439008</v>
          </cell>
          <cell r="B3281" t="str">
            <v>0200</v>
          </cell>
          <cell r="C3281">
            <v>439008</v>
          </cell>
          <cell r="D3281">
            <v>41426</v>
          </cell>
          <cell r="E3281">
            <v>0</v>
          </cell>
          <cell r="F3281">
            <v>0</v>
          </cell>
          <cell r="G3281">
            <v>4748933</v>
          </cell>
          <cell r="H3281">
            <v>0</v>
          </cell>
          <cell r="I3281">
            <v>1598254</v>
          </cell>
        </row>
        <row r="3282">
          <cell r="A3282" t="str">
            <v>0200|440002</v>
          </cell>
          <cell r="B3282" t="str">
            <v>0200</v>
          </cell>
          <cell r="C3282">
            <v>440002</v>
          </cell>
          <cell r="D3282">
            <v>41426</v>
          </cell>
          <cell r="E3282">
            <v>0</v>
          </cell>
          <cell r="F3282">
            <v>0</v>
          </cell>
          <cell r="G3282">
            <v>1349851</v>
          </cell>
          <cell r="H3282">
            <v>0</v>
          </cell>
          <cell r="I3282">
            <v>397619</v>
          </cell>
        </row>
        <row r="3283">
          <cell r="A3283" t="str">
            <v>0200|211100</v>
          </cell>
          <cell r="B3283" t="str">
            <v>0200</v>
          </cell>
          <cell r="C3283">
            <v>211100</v>
          </cell>
          <cell r="D3283">
            <v>41426</v>
          </cell>
          <cell r="E3283">
            <v>0</v>
          </cell>
          <cell r="F3283">
            <v>0</v>
          </cell>
          <cell r="G3283">
            <v>0</v>
          </cell>
          <cell r="H3283">
            <v>0</v>
          </cell>
          <cell r="I3283">
            <v>0</v>
          </cell>
        </row>
        <row r="3284">
          <cell r="A3284" t="str">
            <v>0230|211100</v>
          </cell>
          <cell r="B3284" t="str">
            <v>0230</v>
          </cell>
          <cell r="C3284">
            <v>211100</v>
          </cell>
          <cell r="D3284">
            <v>41426</v>
          </cell>
          <cell r="E3284">
            <v>0</v>
          </cell>
          <cell r="F3284">
            <v>0</v>
          </cell>
          <cell r="G3284">
            <v>0</v>
          </cell>
          <cell r="H3284">
            <v>0</v>
          </cell>
          <cell r="I3284">
            <v>0</v>
          </cell>
        </row>
        <row r="3285">
          <cell r="A3285" t="str">
            <v>0500|439102</v>
          </cell>
          <cell r="B3285" t="str">
            <v>0500</v>
          </cell>
          <cell r="C3285">
            <v>439102</v>
          </cell>
          <cell r="D3285">
            <v>41426</v>
          </cell>
          <cell r="E3285">
            <v>0</v>
          </cell>
          <cell r="F3285">
            <v>0</v>
          </cell>
          <cell r="G3285">
            <v>1000000</v>
          </cell>
          <cell r="H3285">
            <v>0</v>
          </cell>
          <cell r="I3285">
            <v>0</v>
          </cell>
        </row>
        <row r="3286">
          <cell r="A3286" t="str">
            <v>1100|475000</v>
          </cell>
          <cell r="B3286" t="str">
            <v>1100</v>
          </cell>
          <cell r="C3286">
            <v>475000</v>
          </cell>
          <cell r="D3286">
            <v>41426</v>
          </cell>
          <cell r="E3286">
            <v>0</v>
          </cell>
          <cell r="F3286">
            <v>0</v>
          </cell>
          <cell r="G3286">
            <v>1403076</v>
          </cell>
          <cell r="H3286">
            <v>0</v>
          </cell>
          <cell r="I3286">
            <v>0</v>
          </cell>
        </row>
        <row r="3287">
          <cell r="A3287" t="str">
            <v>1210|435003</v>
          </cell>
          <cell r="B3287" t="str">
            <v>1210</v>
          </cell>
          <cell r="C3287">
            <v>435003</v>
          </cell>
          <cell r="D3287">
            <v>41426</v>
          </cell>
          <cell r="E3287">
            <v>0</v>
          </cell>
          <cell r="F3287">
            <v>0</v>
          </cell>
          <cell r="G3287">
            <v>-576207130</v>
          </cell>
          <cell r="H3287">
            <v>0</v>
          </cell>
          <cell r="I3287">
            <v>-29304918</v>
          </cell>
        </row>
        <row r="3288">
          <cell r="A3288" t="str">
            <v>1550|476900</v>
          </cell>
          <cell r="B3288" t="str">
            <v>1550</v>
          </cell>
          <cell r="C3288">
            <v>476900</v>
          </cell>
          <cell r="D3288">
            <v>41426</v>
          </cell>
          <cell r="E3288">
            <v>100000</v>
          </cell>
          <cell r="F3288">
            <v>100000</v>
          </cell>
          <cell r="G3288">
            <v>100000</v>
          </cell>
          <cell r="H3288">
            <v>100000</v>
          </cell>
          <cell r="I3288">
            <v>0</v>
          </cell>
        </row>
        <row r="3289">
          <cell r="A3289" t="str">
            <v>2100|439006</v>
          </cell>
          <cell r="B3289" t="str">
            <v>2100</v>
          </cell>
          <cell r="C3289">
            <v>439006</v>
          </cell>
          <cell r="D3289">
            <v>41426</v>
          </cell>
          <cell r="E3289">
            <v>0</v>
          </cell>
          <cell r="F3289">
            <v>0</v>
          </cell>
          <cell r="G3289">
            <v>78845772</v>
          </cell>
          <cell r="H3289">
            <v>0</v>
          </cell>
          <cell r="I3289">
            <v>0</v>
          </cell>
        </row>
        <row r="3290">
          <cell r="A3290" t="str">
            <v>2230|455001</v>
          </cell>
          <cell r="B3290" t="str">
            <v>2230</v>
          </cell>
          <cell r="C3290">
            <v>455001</v>
          </cell>
          <cell r="D3290">
            <v>41426</v>
          </cell>
          <cell r="E3290">
            <v>0</v>
          </cell>
          <cell r="F3290">
            <v>0</v>
          </cell>
          <cell r="G3290">
            <v>242440</v>
          </cell>
          <cell r="H3290">
            <v>0</v>
          </cell>
          <cell r="I3290">
            <v>0</v>
          </cell>
        </row>
        <row r="3291">
          <cell r="A3291" t="str">
            <v>2270|459005</v>
          </cell>
          <cell r="B3291" t="str">
            <v>2270</v>
          </cell>
          <cell r="C3291">
            <v>459005</v>
          </cell>
          <cell r="D3291">
            <v>41426</v>
          </cell>
          <cell r="E3291">
            <v>0</v>
          </cell>
          <cell r="F3291">
            <v>0</v>
          </cell>
          <cell r="G3291">
            <v>1400000</v>
          </cell>
          <cell r="H3291">
            <v>0</v>
          </cell>
          <cell r="I3291">
            <v>0</v>
          </cell>
        </row>
        <row r="3292">
          <cell r="A3292" t="str">
            <v>2300|246006</v>
          </cell>
          <cell r="B3292" t="str">
            <v>2300</v>
          </cell>
          <cell r="C3292">
            <v>246006</v>
          </cell>
          <cell r="D3292">
            <v>41426</v>
          </cell>
          <cell r="E3292">
            <v>0</v>
          </cell>
          <cell r="F3292">
            <v>0</v>
          </cell>
          <cell r="G3292">
            <v>9750000</v>
          </cell>
          <cell r="H3292">
            <v>0</v>
          </cell>
          <cell r="I3292">
            <v>750000</v>
          </cell>
        </row>
        <row r="3293">
          <cell r="A3293" t="str">
            <v>3100|448002</v>
          </cell>
          <cell r="B3293" t="str">
            <v>3100</v>
          </cell>
          <cell r="C3293">
            <v>448002</v>
          </cell>
          <cell r="D3293">
            <v>41426</v>
          </cell>
          <cell r="E3293">
            <v>0</v>
          </cell>
          <cell r="F3293">
            <v>0</v>
          </cell>
          <cell r="G3293">
            <v>439000</v>
          </cell>
          <cell r="H3293">
            <v>0</v>
          </cell>
          <cell r="I3293">
            <v>0</v>
          </cell>
        </row>
        <row r="3294">
          <cell r="A3294" t="str">
            <v>3300|405300</v>
          </cell>
          <cell r="B3294" t="str">
            <v>3300</v>
          </cell>
          <cell r="C3294">
            <v>405300</v>
          </cell>
          <cell r="D3294">
            <v>41426</v>
          </cell>
          <cell r="E3294">
            <v>0</v>
          </cell>
          <cell r="F3294">
            <v>0</v>
          </cell>
          <cell r="G3294">
            <v>17898000</v>
          </cell>
          <cell r="H3294">
            <v>0</v>
          </cell>
          <cell r="I3294">
            <v>0</v>
          </cell>
        </row>
        <row r="3295">
          <cell r="A3295" t="str">
            <v>3300|422003</v>
          </cell>
          <cell r="B3295" t="str">
            <v>3300</v>
          </cell>
          <cell r="C3295">
            <v>422003</v>
          </cell>
          <cell r="D3295">
            <v>41426</v>
          </cell>
          <cell r="E3295">
            <v>0</v>
          </cell>
          <cell r="F3295">
            <v>0</v>
          </cell>
          <cell r="G3295">
            <v>176550</v>
          </cell>
          <cell r="H3295">
            <v>0</v>
          </cell>
          <cell r="I3295">
            <v>0</v>
          </cell>
        </row>
        <row r="3296">
          <cell r="A3296" t="str">
            <v>3300|439103</v>
          </cell>
          <cell r="B3296" t="str">
            <v>3300</v>
          </cell>
          <cell r="C3296">
            <v>439103</v>
          </cell>
          <cell r="D3296">
            <v>41426</v>
          </cell>
          <cell r="E3296">
            <v>0</v>
          </cell>
          <cell r="F3296">
            <v>0</v>
          </cell>
          <cell r="G3296">
            <v>1000000</v>
          </cell>
          <cell r="H3296">
            <v>0</v>
          </cell>
          <cell r="I3296">
            <v>0</v>
          </cell>
        </row>
        <row r="3297">
          <cell r="A3297" t="str">
            <v>3320|472000</v>
          </cell>
          <cell r="B3297" t="str">
            <v>3320</v>
          </cell>
          <cell r="C3297">
            <v>472000</v>
          </cell>
          <cell r="D3297">
            <v>41426</v>
          </cell>
          <cell r="E3297">
            <v>0</v>
          </cell>
          <cell r="F3297">
            <v>0</v>
          </cell>
          <cell r="G3297">
            <v>182340</v>
          </cell>
          <cell r="H3297">
            <v>0</v>
          </cell>
          <cell r="I3297">
            <v>0</v>
          </cell>
        </row>
        <row r="3298">
          <cell r="A3298" t="str">
            <v>3450|449060</v>
          </cell>
          <cell r="B3298" t="str">
            <v>3450</v>
          </cell>
          <cell r="C3298">
            <v>449060</v>
          </cell>
          <cell r="D3298">
            <v>41426</v>
          </cell>
          <cell r="E3298">
            <v>0</v>
          </cell>
          <cell r="F3298">
            <v>0</v>
          </cell>
          <cell r="G3298">
            <v>129465</v>
          </cell>
          <cell r="H3298">
            <v>0</v>
          </cell>
          <cell r="I3298">
            <v>0</v>
          </cell>
        </row>
        <row r="3299">
          <cell r="A3299" t="str">
            <v>3460|439102</v>
          </cell>
          <cell r="B3299" t="str">
            <v>3460</v>
          </cell>
          <cell r="C3299">
            <v>439102</v>
          </cell>
          <cell r="D3299">
            <v>41426</v>
          </cell>
          <cell r="E3299">
            <v>0</v>
          </cell>
          <cell r="F3299">
            <v>0</v>
          </cell>
          <cell r="G3299">
            <v>1000000</v>
          </cell>
          <cell r="H3299">
            <v>0</v>
          </cell>
          <cell r="I3299">
            <v>0</v>
          </cell>
        </row>
        <row r="3300">
          <cell r="A3300" t="str">
            <v>3460|439103</v>
          </cell>
          <cell r="B3300" t="str">
            <v>3460</v>
          </cell>
          <cell r="C3300">
            <v>439103</v>
          </cell>
          <cell r="D3300">
            <v>41426</v>
          </cell>
          <cell r="E3300">
            <v>0</v>
          </cell>
          <cell r="F3300">
            <v>0</v>
          </cell>
          <cell r="G3300">
            <v>1000000</v>
          </cell>
          <cell r="H3300">
            <v>0</v>
          </cell>
          <cell r="I3300">
            <v>0</v>
          </cell>
        </row>
        <row r="3301">
          <cell r="A3301" t="str">
            <v>3490|459000</v>
          </cell>
          <cell r="B3301" t="str">
            <v>3490</v>
          </cell>
          <cell r="C3301">
            <v>459000</v>
          </cell>
          <cell r="D3301">
            <v>41426</v>
          </cell>
          <cell r="E3301">
            <v>0</v>
          </cell>
          <cell r="F3301">
            <v>0</v>
          </cell>
          <cell r="G3301">
            <v>1300000</v>
          </cell>
          <cell r="H3301">
            <v>0</v>
          </cell>
          <cell r="I3301">
            <v>0</v>
          </cell>
        </row>
        <row r="3302">
          <cell r="A3302" t="str">
            <v>3610|449032</v>
          </cell>
          <cell r="B3302" t="str">
            <v>3610</v>
          </cell>
          <cell r="C3302">
            <v>449032</v>
          </cell>
          <cell r="D3302">
            <v>41426</v>
          </cell>
          <cell r="E3302">
            <v>0</v>
          </cell>
          <cell r="F3302">
            <v>0</v>
          </cell>
          <cell r="G3302">
            <v>3836003</v>
          </cell>
          <cell r="H3302">
            <v>0</v>
          </cell>
          <cell r="I3302">
            <v>0</v>
          </cell>
        </row>
        <row r="3303">
          <cell r="A3303" t="str">
            <v>5200|439101</v>
          </cell>
          <cell r="B3303" t="str">
            <v>5200</v>
          </cell>
          <cell r="C3303">
            <v>439101</v>
          </cell>
          <cell r="D3303">
            <v>41426</v>
          </cell>
          <cell r="E3303">
            <v>0</v>
          </cell>
          <cell r="F3303">
            <v>0</v>
          </cell>
          <cell r="G3303">
            <v>1000000</v>
          </cell>
          <cell r="H3303">
            <v>0</v>
          </cell>
          <cell r="I3303">
            <v>0</v>
          </cell>
        </row>
        <row r="3304">
          <cell r="A3304" t="str">
            <v>5400|448000</v>
          </cell>
          <cell r="B3304" t="str">
            <v>5400</v>
          </cell>
          <cell r="C3304">
            <v>448000</v>
          </cell>
          <cell r="D3304">
            <v>41426</v>
          </cell>
          <cell r="E3304">
            <v>0</v>
          </cell>
          <cell r="F3304">
            <v>0</v>
          </cell>
          <cell r="G3304">
            <v>110000</v>
          </cell>
          <cell r="H3304">
            <v>0</v>
          </cell>
          <cell r="I3304">
            <v>70000</v>
          </cell>
        </row>
        <row r="3305">
          <cell r="A3305" t="str">
            <v>5410|449060</v>
          </cell>
          <cell r="B3305" t="str">
            <v>5410</v>
          </cell>
          <cell r="C3305">
            <v>449060</v>
          </cell>
          <cell r="D3305">
            <v>41426</v>
          </cell>
          <cell r="E3305">
            <v>200000</v>
          </cell>
          <cell r="F3305">
            <v>100000</v>
          </cell>
          <cell r="G3305">
            <v>129465</v>
          </cell>
          <cell r="H3305">
            <v>16667</v>
          </cell>
          <cell r="I3305">
            <v>0</v>
          </cell>
        </row>
        <row r="3306">
          <cell r="A3306" t="str">
            <v>5410|211100</v>
          </cell>
          <cell r="B3306" t="str">
            <v>5410</v>
          </cell>
          <cell r="C3306">
            <v>211100</v>
          </cell>
          <cell r="D3306">
            <v>41426</v>
          </cell>
          <cell r="E3306">
            <v>0</v>
          </cell>
          <cell r="F3306">
            <v>0</v>
          </cell>
          <cell r="G3306">
            <v>0</v>
          </cell>
          <cell r="H3306">
            <v>0</v>
          </cell>
          <cell r="I3306">
            <v>0</v>
          </cell>
        </row>
        <row r="3307">
          <cell r="A3307" t="str">
            <v>5500|211100</v>
          </cell>
          <cell r="B3307" t="str">
            <v>5500</v>
          </cell>
          <cell r="C3307">
            <v>211100</v>
          </cell>
          <cell r="D3307">
            <v>41426</v>
          </cell>
          <cell r="E3307">
            <v>0</v>
          </cell>
          <cell r="F3307">
            <v>0</v>
          </cell>
          <cell r="G3307">
            <v>0</v>
          </cell>
          <cell r="H3307">
            <v>0</v>
          </cell>
          <cell r="I3307">
            <v>0</v>
          </cell>
        </row>
        <row r="3308">
          <cell r="A3308" t="str">
            <v>6000|405200</v>
          </cell>
          <cell r="B3308" t="str">
            <v>6000</v>
          </cell>
          <cell r="C3308">
            <v>405200</v>
          </cell>
          <cell r="D3308">
            <v>41426</v>
          </cell>
          <cell r="E3308">
            <v>0</v>
          </cell>
          <cell r="F3308">
            <v>0</v>
          </cell>
          <cell r="G3308">
            <v>3322000</v>
          </cell>
          <cell r="H3308">
            <v>0</v>
          </cell>
          <cell r="I3308">
            <v>0</v>
          </cell>
        </row>
        <row r="3309">
          <cell r="A3309" t="str">
            <v>6326|435000</v>
          </cell>
          <cell r="B3309" t="str">
            <v>6326</v>
          </cell>
          <cell r="C3309">
            <v>435000</v>
          </cell>
          <cell r="D3309">
            <v>41426</v>
          </cell>
          <cell r="E3309">
            <v>0</v>
          </cell>
          <cell r="F3309">
            <v>0</v>
          </cell>
          <cell r="G3309">
            <v>73339703</v>
          </cell>
          <cell r="H3309">
            <v>0</v>
          </cell>
          <cell r="I3309">
            <v>0</v>
          </cell>
        </row>
        <row r="3310">
          <cell r="A3310" t="str">
            <v>6710|211100</v>
          </cell>
          <cell r="B3310" t="str">
            <v>6710</v>
          </cell>
          <cell r="C3310">
            <v>211100</v>
          </cell>
          <cell r="D3310">
            <v>41426</v>
          </cell>
          <cell r="E3310">
            <v>0</v>
          </cell>
          <cell r="F3310">
            <v>0</v>
          </cell>
          <cell r="G3310">
            <v>0</v>
          </cell>
          <cell r="H3310">
            <v>0</v>
          </cell>
          <cell r="I3310">
            <v>0</v>
          </cell>
        </row>
        <row r="3311">
          <cell r="A3311" t="str">
            <v>0230|451001</v>
          </cell>
          <cell r="B3311" t="str">
            <v>0230</v>
          </cell>
          <cell r="C3311">
            <v>451001</v>
          </cell>
          <cell r="D3311">
            <v>41426</v>
          </cell>
          <cell r="E3311">
            <v>5500000</v>
          </cell>
          <cell r="F3311">
            <v>2750000</v>
          </cell>
          <cell r="G3311">
            <v>3692250</v>
          </cell>
          <cell r="H3311">
            <v>458333</v>
          </cell>
          <cell r="I3311">
            <v>3692250</v>
          </cell>
        </row>
        <row r="3312">
          <cell r="A3312" t="str">
            <v>0530|477100</v>
          </cell>
          <cell r="B3312" t="str">
            <v>0530</v>
          </cell>
          <cell r="C3312">
            <v>477100</v>
          </cell>
          <cell r="D3312">
            <v>41426</v>
          </cell>
          <cell r="E3312">
            <v>53402100</v>
          </cell>
          <cell r="F3312">
            <v>26701050</v>
          </cell>
          <cell r="G3312">
            <v>61555369</v>
          </cell>
          <cell r="H3312">
            <v>4450175</v>
          </cell>
          <cell r="I3312">
            <v>55469500</v>
          </cell>
        </row>
        <row r="3313">
          <cell r="A3313" t="str">
            <v>1700|449032</v>
          </cell>
          <cell r="B3313" t="str">
            <v>1700</v>
          </cell>
          <cell r="C3313">
            <v>449032</v>
          </cell>
          <cell r="D3313">
            <v>41426</v>
          </cell>
          <cell r="E3313">
            <v>500000</v>
          </cell>
          <cell r="F3313">
            <v>250000</v>
          </cell>
          <cell r="G3313">
            <v>350000</v>
          </cell>
          <cell r="H3313">
            <v>41667</v>
          </cell>
          <cell r="I3313">
            <v>0</v>
          </cell>
        </row>
        <row r="3314">
          <cell r="A3314" t="str">
            <v>3470|471000</v>
          </cell>
          <cell r="B3314" t="str">
            <v>3470</v>
          </cell>
          <cell r="C3314">
            <v>471000</v>
          </cell>
          <cell r="D3314">
            <v>41426</v>
          </cell>
          <cell r="E3314">
            <v>13000000</v>
          </cell>
          <cell r="F3314">
            <v>6500000</v>
          </cell>
          <cell r="G3314">
            <v>0</v>
          </cell>
          <cell r="H3314">
            <v>1083333</v>
          </cell>
          <cell r="I3314">
            <v>0</v>
          </cell>
        </row>
        <row r="3315">
          <cell r="A3315" t="str">
            <v>3800|474101</v>
          </cell>
          <cell r="B3315" t="str">
            <v>3800</v>
          </cell>
          <cell r="C3315">
            <v>474101</v>
          </cell>
          <cell r="D3315">
            <v>41426</v>
          </cell>
          <cell r="E3315">
            <v>330539275</v>
          </cell>
          <cell r="F3315">
            <v>132215710</v>
          </cell>
          <cell r="G3315">
            <v>350000</v>
          </cell>
          <cell r="H3315">
            <v>33053927</v>
          </cell>
          <cell r="I3315">
            <v>0</v>
          </cell>
        </row>
        <row r="3316">
          <cell r="A3316" t="str">
            <v>3800|476001</v>
          </cell>
          <cell r="B3316" t="str">
            <v>3800</v>
          </cell>
          <cell r="C3316">
            <v>476001</v>
          </cell>
          <cell r="D3316">
            <v>41426</v>
          </cell>
          <cell r="E3316">
            <v>1000000</v>
          </cell>
          <cell r="F3316">
            <v>400000</v>
          </cell>
          <cell r="G3316">
            <v>800000</v>
          </cell>
          <cell r="H3316">
            <v>100000</v>
          </cell>
          <cell r="I3316">
            <v>0</v>
          </cell>
        </row>
        <row r="3317">
          <cell r="A3317" t="str">
            <v>6322|451001</v>
          </cell>
          <cell r="B3317" t="str">
            <v>6322</v>
          </cell>
          <cell r="C3317">
            <v>451001</v>
          </cell>
          <cell r="D3317">
            <v>41426</v>
          </cell>
          <cell r="E3317">
            <v>14200000</v>
          </cell>
          <cell r="F3317">
            <v>7100000</v>
          </cell>
          <cell r="G3317">
            <v>9540000</v>
          </cell>
          <cell r="H3317">
            <v>1183333</v>
          </cell>
          <cell r="I3317">
            <v>0</v>
          </cell>
        </row>
        <row r="3318">
          <cell r="A3318" t="str">
            <v>1100|459000</v>
          </cell>
          <cell r="B3318" t="str">
            <v>1100</v>
          </cell>
          <cell r="C3318">
            <v>459000</v>
          </cell>
          <cell r="D3318">
            <v>41426</v>
          </cell>
          <cell r="E3318">
            <v>3000000</v>
          </cell>
          <cell r="F3318">
            <v>1500000</v>
          </cell>
          <cell r="G3318">
            <v>2850000</v>
          </cell>
          <cell r="H3318">
            <v>250000</v>
          </cell>
          <cell r="I3318">
            <v>0</v>
          </cell>
        </row>
        <row r="3319">
          <cell r="A3319" t="str">
            <v>5500|459003</v>
          </cell>
          <cell r="B3319" t="str">
            <v>5500</v>
          </cell>
          <cell r="C3319">
            <v>459003</v>
          </cell>
          <cell r="D3319">
            <v>41426</v>
          </cell>
          <cell r="E3319">
            <v>13000000</v>
          </cell>
          <cell r="F3319">
            <v>6500000</v>
          </cell>
          <cell r="G3319">
            <v>11648285</v>
          </cell>
          <cell r="H3319">
            <v>1083333</v>
          </cell>
          <cell r="I3319">
            <v>0</v>
          </cell>
        </row>
        <row r="3320">
          <cell r="A3320" t="str">
            <v>0100|449004</v>
          </cell>
          <cell r="B3320" t="str">
            <v>0100</v>
          </cell>
          <cell r="C3320">
            <v>449004</v>
          </cell>
          <cell r="D3320">
            <v>41426</v>
          </cell>
          <cell r="E3320">
            <v>0</v>
          </cell>
          <cell r="F3320">
            <v>0</v>
          </cell>
          <cell r="G3320">
            <v>60000</v>
          </cell>
          <cell r="H3320">
            <v>0</v>
          </cell>
          <cell r="I3320">
            <v>0</v>
          </cell>
        </row>
        <row r="3321">
          <cell r="A3321" t="str">
            <v>0530|448002</v>
          </cell>
          <cell r="B3321" t="str">
            <v>0530</v>
          </cell>
          <cell r="C3321">
            <v>448002</v>
          </cell>
          <cell r="D3321">
            <v>41426</v>
          </cell>
          <cell r="E3321">
            <v>0</v>
          </cell>
          <cell r="F3321">
            <v>0</v>
          </cell>
          <cell r="G3321">
            <v>1140000</v>
          </cell>
          <cell r="H3321">
            <v>0</v>
          </cell>
          <cell r="I3321">
            <v>380000</v>
          </cell>
        </row>
        <row r="3322">
          <cell r="A3322" t="str">
            <v>3310|439103</v>
          </cell>
          <cell r="B3322" t="str">
            <v>3310</v>
          </cell>
          <cell r="C3322">
            <v>439103</v>
          </cell>
          <cell r="D3322">
            <v>41426</v>
          </cell>
          <cell r="E3322">
            <v>0</v>
          </cell>
          <cell r="F3322">
            <v>0</v>
          </cell>
          <cell r="G3322">
            <v>1000000</v>
          </cell>
          <cell r="H3322">
            <v>0</v>
          </cell>
          <cell r="I3322">
            <v>0</v>
          </cell>
        </row>
        <row r="3323">
          <cell r="A3323" t="str">
            <v>3410|477450</v>
          </cell>
          <cell r="B3323" t="str">
            <v>3410</v>
          </cell>
          <cell r="C3323">
            <v>477450</v>
          </cell>
          <cell r="D3323">
            <v>41426</v>
          </cell>
          <cell r="E3323">
            <v>0</v>
          </cell>
          <cell r="F3323">
            <v>0</v>
          </cell>
          <cell r="G3323">
            <v>-52774320</v>
          </cell>
          <cell r="H3323">
            <v>0</v>
          </cell>
          <cell r="I3323">
            <v>-53000000</v>
          </cell>
        </row>
        <row r="3324">
          <cell r="A3324" t="str">
            <v>3600|472000</v>
          </cell>
          <cell r="B3324" t="str">
            <v>3600</v>
          </cell>
          <cell r="C3324">
            <v>472000</v>
          </cell>
          <cell r="D3324">
            <v>41426</v>
          </cell>
          <cell r="E3324">
            <v>0</v>
          </cell>
          <cell r="F3324">
            <v>0</v>
          </cell>
          <cell r="G3324">
            <v>296942</v>
          </cell>
          <cell r="H3324">
            <v>0</v>
          </cell>
          <cell r="I3324">
            <v>0</v>
          </cell>
        </row>
        <row r="3325">
          <cell r="A3325" t="str">
            <v>3500|476001</v>
          </cell>
          <cell r="B3325" t="str">
            <v>3500</v>
          </cell>
          <cell r="C3325">
            <v>476001</v>
          </cell>
          <cell r="D3325">
            <v>41426</v>
          </cell>
          <cell r="E3325">
            <v>400000</v>
          </cell>
          <cell r="F3325">
            <v>200000</v>
          </cell>
          <cell r="G3325">
            <v>400000</v>
          </cell>
          <cell r="H3325">
            <v>33333</v>
          </cell>
          <cell r="I3325">
            <v>400000</v>
          </cell>
        </row>
        <row r="3326">
          <cell r="A3326" t="str">
            <v>3410|477100</v>
          </cell>
          <cell r="B3326" t="str">
            <v>3410</v>
          </cell>
          <cell r="C3326">
            <v>477100</v>
          </cell>
          <cell r="D3326">
            <v>41426</v>
          </cell>
          <cell r="E3326">
            <v>600000</v>
          </cell>
          <cell r="F3326">
            <v>300000</v>
          </cell>
          <cell r="G3326">
            <v>534164</v>
          </cell>
          <cell r="H3326">
            <v>50000</v>
          </cell>
          <cell r="I3326">
            <v>0</v>
          </cell>
        </row>
        <row r="3327">
          <cell r="A3327" t="str">
            <v>0340|439013</v>
          </cell>
          <cell r="B3327" t="str">
            <v>0340</v>
          </cell>
          <cell r="C3327">
            <v>439013</v>
          </cell>
          <cell r="D3327">
            <v>41426</v>
          </cell>
          <cell r="E3327">
            <v>0</v>
          </cell>
          <cell r="F3327">
            <v>0</v>
          </cell>
          <cell r="G3327">
            <v>187899075</v>
          </cell>
          <cell r="H3327">
            <v>0</v>
          </cell>
          <cell r="I3327">
            <v>0</v>
          </cell>
        </row>
        <row r="3328">
          <cell r="A3328" t="str">
            <v>5500|455001</v>
          </cell>
          <cell r="B3328" t="str">
            <v>5500</v>
          </cell>
          <cell r="C3328">
            <v>455001</v>
          </cell>
          <cell r="D3328">
            <v>41426</v>
          </cell>
          <cell r="E3328">
            <v>0</v>
          </cell>
          <cell r="F3328">
            <v>0</v>
          </cell>
          <cell r="G3328">
            <v>258960</v>
          </cell>
          <cell r="H3328">
            <v>0</v>
          </cell>
          <cell r="I3328">
            <v>0</v>
          </cell>
        </row>
        <row r="3329">
          <cell r="A3329" t="str">
            <v>0230|476201</v>
          </cell>
          <cell r="B3329" t="str">
            <v>0230</v>
          </cell>
          <cell r="C3329">
            <v>476201</v>
          </cell>
          <cell r="D3329">
            <v>41426</v>
          </cell>
          <cell r="E3329">
            <v>9500000</v>
          </cell>
          <cell r="F3329">
            <v>9500000</v>
          </cell>
          <cell r="G3329">
            <v>0</v>
          </cell>
          <cell r="H3329">
            <v>9500000</v>
          </cell>
          <cell r="I3329">
            <v>0</v>
          </cell>
        </row>
        <row r="3330">
          <cell r="A3330" t="str">
            <v>2270|405200</v>
          </cell>
          <cell r="B3330" t="str">
            <v>2270</v>
          </cell>
          <cell r="C3330">
            <v>405200</v>
          </cell>
          <cell r="D3330">
            <v>41426</v>
          </cell>
          <cell r="E3330">
            <v>800000</v>
          </cell>
          <cell r="F3330">
            <v>800000</v>
          </cell>
          <cell r="G3330">
            <v>750000</v>
          </cell>
          <cell r="H3330">
            <v>800000</v>
          </cell>
          <cell r="I3330">
            <v>750000</v>
          </cell>
        </row>
        <row r="3331">
          <cell r="A3331" t="str">
            <v>0200|420002</v>
          </cell>
          <cell r="B3331" t="str">
            <v>0200</v>
          </cell>
          <cell r="C3331">
            <v>420002</v>
          </cell>
          <cell r="D3331">
            <v>41426</v>
          </cell>
          <cell r="E3331">
            <v>0</v>
          </cell>
          <cell r="F3331">
            <v>0</v>
          </cell>
          <cell r="G3331">
            <v>6626179</v>
          </cell>
          <cell r="H3331">
            <v>0</v>
          </cell>
          <cell r="I3331">
            <v>3015040</v>
          </cell>
        </row>
        <row r="3332">
          <cell r="A3332" t="str">
            <v>0200|447002</v>
          </cell>
          <cell r="B3332" t="str">
            <v>0200</v>
          </cell>
          <cell r="C3332">
            <v>447002</v>
          </cell>
          <cell r="D3332">
            <v>41426</v>
          </cell>
          <cell r="E3332">
            <v>0</v>
          </cell>
          <cell r="F3332">
            <v>0</v>
          </cell>
          <cell r="G3332">
            <v>102364</v>
          </cell>
          <cell r="H3332">
            <v>0</v>
          </cell>
          <cell r="I3332">
            <v>51182</v>
          </cell>
        </row>
        <row r="3333">
          <cell r="A3333" t="str">
            <v>0200|447012</v>
          </cell>
          <cell r="B3333" t="str">
            <v>0200</v>
          </cell>
          <cell r="C3333">
            <v>447012</v>
          </cell>
          <cell r="D3333">
            <v>41426</v>
          </cell>
          <cell r="E3333">
            <v>0</v>
          </cell>
          <cell r="F3333">
            <v>0</v>
          </cell>
          <cell r="G3333">
            <v>241240</v>
          </cell>
          <cell r="H3333">
            <v>0</v>
          </cell>
          <cell r="I3333">
            <v>120620</v>
          </cell>
        </row>
        <row r="3334">
          <cell r="A3334" t="str">
            <v>0200|447022</v>
          </cell>
          <cell r="B3334" t="str">
            <v>0200</v>
          </cell>
          <cell r="C3334">
            <v>447022</v>
          </cell>
          <cell r="D3334">
            <v>41426</v>
          </cell>
          <cell r="E3334">
            <v>0</v>
          </cell>
          <cell r="F3334">
            <v>0</v>
          </cell>
          <cell r="G3334">
            <v>5091</v>
          </cell>
          <cell r="H3334">
            <v>0</v>
          </cell>
          <cell r="I3334">
            <v>2550</v>
          </cell>
        </row>
        <row r="3335">
          <cell r="A3335" t="str">
            <v>0200|449022</v>
          </cell>
          <cell r="B3335" t="str">
            <v>0200</v>
          </cell>
          <cell r="C3335">
            <v>449022</v>
          </cell>
          <cell r="D3335">
            <v>41426</v>
          </cell>
          <cell r="E3335">
            <v>0</v>
          </cell>
          <cell r="F3335">
            <v>0</v>
          </cell>
          <cell r="G3335">
            <v>697000</v>
          </cell>
          <cell r="H3335">
            <v>0</v>
          </cell>
          <cell r="I3335">
            <v>323000</v>
          </cell>
        </row>
        <row r="3336">
          <cell r="A3336" t="str">
            <v>0230|475005</v>
          </cell>
          <cell r="B3336" t="str">
            <v>0230</v>
          </cell>
          <cell r="C3336">
            <v>475005</v>
          </cell>
          <cell r="D3336">
            <v>41426</v>
          </cell>
          <cell r="E3336">
            <v>0</v>
          </cell>
          <cell r="F3336">
            <v>0</v>
          </cell>
          <cell r="G3336">
            <v>3249546</v>
          </cell>
          <cell r="H3336">
            <v>0</v>
          </cell>
          <cell r="I3336">
            <v>0</v>
          </cell>
        </row>
        <row r="3337">
          <cell r="A3337" t="str">
            <v>0230|476223</v>
          </cell>
          <cell r="B3337" t="str">
            <v>0230</v>
          </cell>
          <cell r="C3337">
            <v>476223</v>
          </cell>
          <cell r="D3337">
            <v>41426</v>
          </cell>
          <cell r="E3337">
            <v>0</v>
          </cell>
          <cell r="F3337">
            <v>0</v>
          </cell>
          <cell r="G3337">
            <v>6206239</v>
          </cell>
          <cell r="H3337">
            <v>0</v>
          </cell>
          <cell r="I3337">
            <v>1322879</v>
          </cell>
        </row>
        <row r="3338">
          <cell r="A3338" t="str">
            <v>0310|246006</v>
          </cell>
          <cell r="B3338" t="str">
            <v>0310</v>
          </cell>
          <cell r="C3338">
            <v>246006</v>
          </cell>
          <cell r="D3338">
            <v>41426</v>
          </cell>
          <cell r="E3338">
            <v>0</v>
          </cell>
          <cell r="F3338">
            <v>0</v>
          </cell>
          <cell r="G3338">
            <v>4000000</v>
          </cell>
          <cell r="H3338">
            <v>0</v>
          </cell>
          <cell r="I3338">
            <v>0</v>
          </cell>
        </row>
        <row r="3339">
          <cell r="A3339" t="str">
            <v>1100|472000</v>
          </cell>
          <cell r="B3339" t="str">
            <v>1100</v>
          </cell>
          <cell r="C3339">
            <v>472000</v>
          </cell>
          <cell r="D3339">
            <v>41426</v>
          </cell>
          <cell r="E3339">
            <v>0</v>
          </cell>
          <cell r="F3339">
            <v>0</v>
          </cell>
          <cell r="G3339">
            <v>369366</v>
          </cell>
          <cell r="H3339">
            <v>0</v>
          </cell>
          <cell r="I3339">
            <v>186932</v>
          </cell>
        </row>
        <row r="3340">
          <cell r="A3340" t="str">
            <v>1110|449061</v>
          </cell>
          <cell r="B3340" t="str">
            <v>1110</v>
          </cell>
          <cell r="C3340">
            <v>449061</v>
          </cell>
          <cell r="D3340">
            <v>41426</v>
          </cell>
          <cell r="E3340">
            <v>0</v>
          </cell>
          <cell r="F3340">
            <v>0</v>
          </cell>
          <cell r="G3340">
            <v>576000</v>
          </cell>
          <cell r="H3340">
            <v>0</v>
          </cell>
          <cell r="I3340">
            <v>0</v>
          </cell>
        </row>
        <row r="3341">
          <cell r="A3341" t="str">
            <v>1400|472000</v>
          </cell>
          <cell r="B3341" t="str">
            <v>1400</v>
          </cell>
          <cell r="C3341">
            <v>472000</v>
          </cell>
          <cell r="D3341">
            <v>41426</v>
          </cell>
          <cell r="E3341">
            <v>0</v>
          </cell>
          <cell r="F3341">
            <v>0</v>
          </cell>
          <cell r="G3341">
            <v>317348</v>
          </cell>
          <cell r="H3341">
            <v>0</v>
          </cell>
          <cell r="I3341">
            <v>0</v>
          </cell>
        </row>
        <row r="3342">
          <cell r="A3342" t="str">
            <v>2300|449040</v>
          </cell>
          <cell r="B3342" t="str">
            <v>2300</v>
          </cell>
          <cell r="C3342">
            <v>449040</v>
          </cell>
          <cell r="D3342">
            <v>41426</v>
          </cell>
          <cell r="E3342">
            <v>0</v>
          </cell>
          <cell r="F3342">
            <v>0</v>
          </cell>
          <cell r="G3342">
            <v>3229000</v>
          </cell>
          <cell r="H3342">
            <v>0</v>
          </cell>
          <cell r="I3342">
            <v>1623000</v>
          </cell>
        </row>
        <row r="3343">
          <cell r="A3343" t="str">
            <v>3800|449061</v>
          </cell>
          <cell r="B3343" t="str">
            <v>3800</v>
          </cell>
          <cell r="C3343">
            <v>449061</v>
          </cell>
          <cell r="D3343">
            <v>41426</v>
          </cell>
          <cell r="E3343">
            <v>13500000</v>
          </cell>
          <cell r="F3343">
            <v>5400000</v>
          </cell>
          <cell r="G3343">
            <v>183000</v>
          </cell>
          <cell r="H3343">
            <v>1350000</v>
          </cell>
          <cell r="I3343">
            <v>63000</v>
          </cell>
        </row>
        <row r="3344">
          <cell r="A3344" t="str">
            <v>3800|420003</v>
          </cell>
          <cell r="B3344" t="str">
            <v>3800</v>
          </cell>
          <cell r="C3344">
            <v>420003</v>
          </cell>
          <cell r="D3344">
            <v>41426</v>
          </cell>
          <cell r="E3344">
            <v>0</v>
          </cell>
          <cell r="F3344">
            <v>0</v>
          </cell>
          <cell r="G3344">
            <v>124194022</v>
          </cell>
          <cell r="H3344">
            <v>0</v>
          </cell>
          <cell r="I3344">
            <v>68984511</v>
          </cell>
        </row>
        <row r="3345">
          <cell r="A3345" t="str">
            <v>3800|434013</v>
          </cell>
          <cell r="B3345" t="str">
            <v>3800</v>
          </cell>
          <cell r="C3345">
            <v>434013</v>
          </cell>
          <cell r="D3345">
            <v>41426</v>
          </cell>
          <cell r="E3345">
            <v>0</v>
          </cell>
          <cell r="F3345">
            <v>0</v>
          </cell>
          <cell r="G3345">
            <v>5420299</v>
          </cell>
          <cell r="H3345">
            <v>0</v>
          </cell>
          <cell r="I3345">
            <v>3002440</v>
          </cell>
        </row>
        <row r="3346">
          <cell r="A3346" t="str">
            <v>3800|439003</v>
          </cell>
          <cell r="B3346" t="str">
            <v>3800</v>
          </cell>
          <cell r="C3346">
            <v>439003</v>
          </cell>
          <cell r="D3346">
            <v>41426</v>
          </cell>
          <cell r="E3346">
            <v>0</v>
          </cell>
          <cell r="F3346">
            <v>0</v>
          </cell>
          <cell r="G3346">
            <v>29088814</v>
          </cell>
          <cell r="H3346">
            <v>0</v>
          </cell>
          <cell r="I3346">
            <v>16113026</v>
          </cell>
        </row>
        <row r="3347">
          <cell r="A3347" t="str">
            <v>3800|439203</v>
          </cell>
          <cell r="B3347" t="str">
            <v>3800</v>
          </cell>
          <cell r="C3347">
            <v>439203</v>
          </cell>
          <cell r="D3347">
            <v>41426</v>
          </cell>
          <cell r="E3347">
            <v>0</v>
          </cell>
          <cell r="F3347">
            <v>0</v>
          </cell>
          <cell r="G3347">
            <v>4625000</v>
          </cell>
          <cell r="H3347">
            <v>0</v>
          </cell>
          <cell r="I3347">
            <v>2475000</v>
          </cell>
        </row>
        <row r="3348">
          <cell r="A3348" t="str">
            <v>3800|440003</v>
          </cell>
          <cell r="B3348" t="str">
            <v>3800</v>
          </cell>
          <cell r="C3348">
            <v>440003</v>
          </cell>
          <cell r="D3348">
            <v>41426</v>
          </cell>
          <cell r="E3348">
            <v>0</v>
          </cell>
          <cell r="F3348">
            <v>0</v>
          </cell>
          <cell r="G3348">
            <v>14137847</v>
          </cell>
          <cell r="H3348">
            <v>0</v>
          </cell>
          <cell r="I3348">
            <v>8198874</v>
          </cell>
        </row>
        <row r="3349">
          <cell r="A3349" t="str">
            <v>3800|446003</v>
          </cell>
          <cell r="B3349" t="str">
            <v>3800</v>
          </cell>
          <cell r="C3349">
            <v>446003</v>
          </cell>
          <cell r="D3349">
            <v>41426</v>
          </cell>
          <cell r="E3349">
            <v>0</v>
          </cell>
          <cell r="F3349">
            <v>0</v>
          </cell>
          <cell r="G3349">
            <v>1150000</v>
          </cell>
          <cell r="H3349">
            <v>0</v>
          </cell>
          <cell r="I3349">
            <v>650000</v>
          </cell>
        </row>
        <row r="3350">
          <cell r="A3350" t="str">
            <v>3800|447003</v>
          </cell>
          <cell r="B3350" t="str">
            <v>3800</v>
          </cell>
          <cell r="C3350">
            <v>447003</v>
          </cell>
          <cell r="D3350">
            <v>41426</v>
          </cell>
          <cell r="E3350">
            <v>0</v>
          </cell>
          <cell r="F3350">
            <v>0</v>
          </cell>
          <cell r="G3350">
            <v>1050196</v>
          </cell>
          <cell r="H3350">
            <v>0</v>
          </cell>
          <cell r="I3350">
            <v>551195</v>
          </cell>
        </row>
        <row r="3351">
          <cell r="A3351" t="str">
            <v>3800|447013</v>
          </cell>
          <cell r="B3351" t="str">
            <v>3800</v>
          </cell>
          <cell r="C3351">
            <v>447013</v>
          </cell>
          <cell r="D3351">
            <v>41426</v>
          </cell>
          <cell r="E3351">
            <v>0</v>
          </cell>
          <cell r="F3351">
            <v>0</v>
          </cell>
          <cell r="G3351">
            <v>3643076</v>
          </cell>
          <cell r="H3351">
            <v>0</v>
          </cell>
          <cell r="I3351">
            <v>2000350</v>
          </cell>
        </row>
        <row r="3352">
          <cell r="A3352" t="str">
            <v>3800|447023</v>
          </cell>
          <cell r="B3352" t="str">
            <v>3800</v>
          </cell>
          <cell r="C3352">
            <v>447023</v>
          </cell>
          <cell r="D3352">
            <v>41426</v>
          </cell>
          <cell r="E3352">
            <v>0</v>
          </cell>
          <cell r="F3352">
            <v>0</v>
          </cell>
          <cell r="G3352">
            <v>185337</v>
          </cell>
          <cell r="H3352">
            <v>0</v>
          </cell>
          <cell r="I3352">
            <v>97275</v>
          </cell>
        </row>
        <row r="3353">
          <cell r="A3353" t="str">
            <v>3800|448003</v>
          </cell>
          <cell r="B3353" t="str">
            <v>3800</v>
          </cell>
          <cell r="C3353">
            <v>448003</v>
          </cell>
          <cell r="D3353">
            <v>41426</v>
          </cell>
          <cell r="E3353">
            <v>0</v>
          </cell>
          <cell r="F3353">
            <v>0</v>
          </cell>
          <cell r="G3353">
            <v>1504200</v>
          </cell>
          <cell r="H3353">
            <v>0</v>
          </cell>
          <cell r="I3353">
            <v>180100</v>
          </cell>
        </row>
        <row r="3354">
          <cell r="A3354" t="str">
            <v>3800|449023</v>
          </cell>
          <cell r="B3354" t="str">
            <v>3800</v>
          </cell>
          <cell r="C3354">
            <v>449023</v>
          </cell>
          <cell r="D3354">
            <v>41426</v>
          </cell>
          <cell r="E3354">
            <v>0</v>
          </cell>
          <cell r="F3354">
            <v>0</v>
          </cell>
          <cell r="G3354">
            <v>8546000</v>
          </cell>
          <cell r="H3354">
            <v>0</v>
          </cell>
          <cell r="I3354">
            <v>4423500</v>
          </cell>
        </row>
        <row r="3355">
          <cell r="A3355" t="str">
            <v>5400|406000</v>
          </cell>
          <cell r="B3355" t="str">
            <v>5400</v>
          </cell>
          <cell r="C3355">
            <v>406000</v>
          </cell>
          <cell r="D3355">
            <v>41426</v>
          </cell>
          <cell r="E3355">
            <v>0</v>
          </cell>
          <cell r="F3355">
            <v>0</v>
          </cell>
          <cell r="G3355">
            <v>5791500</v>
          </cell>
          <cell r="H3355">
            <v>0</v>
          </cell>
          <cell r="I3355">
            <v>0</v>
          </cell>
        </row>
        <row r="3356">
          <cell r="A3356" t="str">
            <v>6000|476223</v>
          </cell>
          <cell r="B3356" t="str">
            <v>6000</v>
          </cell>
          <cell r="C3356">
            <v>476223</v>
          </cell>
          <cell r="D3356">
            <v>41426</v>
          </cell>
          <cell r="E3356">
            <v>0</v>
          </cell>
          <cell r="F3356">
            <v>0</v>
          </cell>
          <cell r="G3356">
            <v>13850944</v>
          </cell>
          <cell r="H3356">
            <v>0</v>
          </cell>
          <cell r="I3356">
            <v>3193170</v>
          </cell>
        </row>
        <row r="3357">
          <cell r="A3357" t="str">
            <v>6126|211100</v>
          </cell>
          <cell r="B3357" t="str">
            <v>6126</v>
          </cell>
          <cell r="C3357">
            <v>211100</v>
          </cell>
          <cell r="D3357">
            <v>41426</v>
          </cell>
          <cell r="E3357">
            <v>0</v>
          </cell>
          <cell r="F3357">
            <v>0</v>
          </cell>
          <cell r="G3357">
            <v>0</v>
          </cell>
          <cell r="H3357">
            <v>0</v>
          </cell>
          <cell r="I3357">
            <v>0</v>
          </cell>
        </row>
        <row r="3358">
          <cell r="A3358" t="str">
            <v>6322|439100</v>
          </cell>
          <cell r="B3358" t="str">
            <v>6322</v>
          </cell>
          <cell r="C3358">
            <v>439100</v>
          </cell>
          <cell r="D3358">
            <v>41426</v>
          </cell>
          <cell r="E3358">
            <v>0</v>
          </cell>
          <cell r="F3358">
            <v>0</v>
          </cell>
          <cell r="G3358">
            <v>1000000</v>
          </cell>
          <cell r="H3358">
            <v>0</v>
          </cell>
          <cell r="I3358">
            <v>0</v>
          </cell>
        </row>
        <row r="3359">
          <cell r="A3359" t="str">
            <v>6323|405251</v>
          </cell>
          <cell r="B3359" t="str">
            <v>6323</v>
          </cell>
          <cell r="C3359">
            <v>405251</v>
          </cell>
          <cell r="D3359">
            <v>41426</v>
          </cell>
          <cell r="E3359">
            <v>0</v>
          </cell>
          <cell r="F3359">
            <v>0</v>
          </cell>
          <cell r="G3359">
            <v>401800</v>
          </cell>
          <cell r="H3359">
            <v>0</v>
          </cell>
          <cell r="I3359">
            <v>74826</v>
          </cell>
        </row>
        <row r="3360">
          <cell r="A3360" t="str">
            <v>6421|471000</v>
          </cell>
          <cell r="B3360" t="str">
            <v>6421</v>
          </cell>
          <cell r="C3360">
            <v>471000</v>
          </cell>
          <cell r="D3360">
            <v>41426</v>
          </cell>
          <cell r="E3360">
            <v>0</v>
          </cell>
          <cell r="F3360">
            <v>0</v>
          </cell>
          <cell r="G3360">
            <v>370000</v>
          </cell>
          <cell r="H3360">
            <v>0</v>
          </cell>
          <cell r="I3360">
            <v>0</v>
          </cell>
        </row>
        <row r="3361">
          <cell r="A3361" t="str">
            <v>6421|439100</v>
          </cell>
          <cell r="B3361" t="str">
            <v>6421</v>
          </cell>
          <cell r="C3361">
            <v>439100</v>
          </cell>
          <cell r="D3361">
            <v>41426</v>
          </cell>
          <cell r="E3361">
            <v>0</v>
          </cell>
          <cell r="F3361">
            <v>0</v>
          </cell>
          <cell r="G3361">
            <v>1000000</v>
          </cell>
          <cell r="H3361">
            <v>0</v>
          </cell>
          <cell r="I3361">
            <v>0</v>
          </cell>
        </row>
        <row r="3362">
          <cell r="A3362" t="str">
            <v>6721|449061</v>
          </cell>
          <cell r="B3362" t="str">
            <v>6721</v>
          </cell>
          <cell r="C3362">
            <v>449061</v>
          </cell>
          <cell r="D3362">
            <v>41426</v>
          </cell>
          <cell r="E3362">
            <v>0</v>
          </cell>
          <cell r="F3362">
            <v>0</v>
          </cell>
          <cell r="G3362">
            <v>323600</v>
          </cell>
          <cell r="H3362">
            <v>0</v>
          </cell>
          <cell r="I3362">
            <v>0</v>
          </cell>
        </row>
        <row r="3363">
          <cell r="A3363" t="str">
            <v>0100|246006</v>
          </cell>
          <cell r="B3363" t="str">
            <v>0100</v>
          </cell>
          <cell r="C3363">
            <v>246006</v>
          </cell>
          <cell r="D3363">
            <v>41426</v>
          </cell>
          <cell r="E3363">
            <v>0</v>
          </cell>
          <cell r="F3363">
            <v>0</v>
          </cell>
          <cell r="G3363">
            <v>4800000</v>
          </cell>
          <cell r="H3363">
            <v>0</v>
          </cell>
          <cell r="I3363">
            <v>4800000</v>
          </cell>
        </row>
        <row r="3364">
          <cell r="A3364" t="str">
            <v>0500|470101</v>
          </cell>
          <cell r="B3364" t="str">
            <v>0500</v>
          </cell>
          <cell r="C3364">
            <v>470101</v>
          </cell>
          <cell r="D3364">
            <v>41426</v>
          </cell>
          <cell r="E3364">
            <v>0</v>
          </cell>
          <cell r="F3364">
            <v>0</v>
          </cell>
          <cell r="G3364">
            <v>1113501</v>
          </cell>
          <cell r="H3364">
            <v>0</v>
          </cell>
          <cell r="I3364">
            <v>1113501</v>
          </cell>
        </row>
        <row r="3365">
          <cell r="A3365" t="str">
            <v>0530|246006</v>
          </cell>
          <cell r="B3365" t="str">
            <v>0530</v>
          </cell>
          <cell r="C3365">
            <v>246006</v>
          </cell>
          <cell r="D3365">
            <v>41426</v>
          </cell>
          <cell r="E3365">
            <v>0</v>
          </cell>
          <cell r="F3365">
            <v>0</v>
          </cell>
          <cell r="G3365">
            <v>40000000</v>
          </cell>
          <cell r="H3365">
            <v>0</v>
          </cell>
          <cell r="I3365">
            <v>40000000</v>
          </cell>
        </row>
        <row r="3366">
          <cell r="A3366" t="str">
            <v>3430|477100</v>
          </cell>
          <cell r="B3366" t="str">
            <v>3430</v>
          </cell>
          <cell r="C3366">
            <v>477100</v>
          </cell>
          <cell r="D3366">
            <v>41426</v>
          </cell>
          <cell r="E3366">
            <v>0</v>
          </cell>
          <cell r="F3366">
            <v>0</v>
          </cell>
          <cell r="G3366">
            <v>2142350</v>
          </cell>
          <cell r="H3366">
            <v>0</v>
          </cell>
          <cell r="I3366">
            <v>2142350</v>
          </cell>
        </row>
        <row r="3367">
          <cell r="A3367" t="str">
            <v>3460|449011</v>
          </cell>
          <cell r="B3367" t="str">
            <v>3460</v>
          </cell>
          <cell r="C3367">
            <v>449011</v>
          </cell>
          <cell r="D3367">
            <v>41426</v>
          </cell>
          <cell r="E3367">
            <v>0</v>
          </cell>
          <cell r="F3367">
            <v>0</v>
          </cell>
          <cell r="G3367">
            <v>-245192511</v>
          </cell>
          <cell r="H3367">
            <v>0</v>
          </cell>
          <cell r="I3367">
            <v>-245192511</v>
          </cell>
        </row>
        <row r="3368">
          <cell r="A3368" t="str">
            <v>3600|446003</v>
          </cell>
          <cell r="B3368" t="str">
            <v>3600</v>
          </cell>
          <cell r="C3368">
            <v>446003</v>
          </cell>
          <cell r="D3368">
            <v>41426</v>
          </cell>
          <cell r="E3368">
            <v>0</v>
          </cell>
          <cell r="F3368">
            <v>0</v>
          </cell>
          <cell r="G3368">
            <v>150000</v>
          </cell>
          <cell r="H3368">
            <v>0</v>
          </cell>
          <cell r="I3368">
            <v>150000</v>
          </cell>
        </row>
        <row r="3369">
          <cell r="A3369" t="str">
            <v>3600|449023</v>
          </cell>
          <cell r="B3369" t="str">
            <v>3600</v>
          </cell>
          <cell r="C3369">
            <v>449023</v>
          </cell>
          <cell r="D3369">
            <v>41426</v>
          </cell>
          <cell r="E3369">
            <v>0</v>
          </cell>
          <cell r="F3369">
            <v>0</v>
          </cell>
          <cell r="G3369">
            <v>323000</v>
          </cell>
          <cell r="H3369">
            <v>0</v>
          </cell>
          <cell r="I3369">
            <v>323000</v>
          </cell>
        </row>
        <row r="3370">
          <cell r="A3370" t="str">
            <v>3310|459005</v>
          </cell>
          <cell r="B3370" t="str">
            <v>3310</v>
          </cell>
          <cell r="C3370">
            <v>459005</v>
          </cell>
          <cell r="D3370">
            <v>41426</v>
          </cell>
          <cell r="E3370">
            <v>700000</v>
          </cell>
          <cell r="F3370">
            <v>350000</v>
          </cell>
          <cell r="G3370">
            <v>0</v>
          </cell>
          <cell r="H3370">
            <v>58333</v>
          </cell>
          <cell r="I3370">
            <v>0</v>
          </cell>
        </row>
        <row r="3371">
          <cell r="A3371" t="str">
            <v>0310|405200</v>
          </cell>
          <cell r="B3371" t="str">
            <v>0310</v>
          </cell>
          <cell r="C3371">
            <v>405200</v>
          </cell>
          <cell r="D3371">
            <v>41426</v>
          </cell>
          <cell r="E3371">
            <v>0</v>
          </cell>
          <cell r="F3371">
            <v>0</v>
          </cell>
          <cell r="G3371">
            <v>-75089024</v>
          </cell>
          <cell r="H3371">
            <v>0</v>
          </cell>
          <cell r="I3371">
            <v>-75089024</v>
          </cell>
        </row>
        <row r="3372">
          <cell r="A3372" t="str">
            <v>1110|465002</v>
          </cell>
          <cell r="B3372" t="str">
            <v>1110</v>
          </cell>
          <cell r="C3372">
            <v>465002</v>
          </cell>
          <cell r="D3372">
            <v>41426</v>
          </cell>
          <cell r="E3372">
            <v>0</v>
          </cell>
          <cell r="F3372">
            <v>0</v>
          </cell>
          <cell r="G3372">
            <v>380766421</v>
          </cell>
          <cell r="H3372">
            <v>0</v>
          </cell>
          <cell r="I3372">
            <v>380766421</v>
          </cell>
        </row>
        <row r="3373">
          <cell r="A3373" t="str">
            <v>1110|466006</v>
          </cell>
          <cell r="B3373" t="str">
            <v>1110</v>
          </cell>
          <cell r="C3373">
            <v>466006</v>
          </cell>
          <cell r="D3373">
            <v>41426</v>
          </cell>
          <cell r="E3373">
            <v>0</v>
          </cell>
          <cell r="F3373">
            <v>0</v>
          </cell>
          <cell r="G3373">
            <v>518420118</v>
          </cell>
          <cell r="H3373">
            <v>0</v>
          </cell>
          <cell r="I3373">
            <v>518420118</v>
          </cell>
        </row>
        <row r="3374">
          <cell r="A3374" t="str">
            <v>1510|430010</v>
          </cell>
          <cell r="B3374" t="str">
            <v>1510</v>
          </cell>
          <cell r="C3374">
            <v>430010</v>
          </cell>
          <cell r="D3374">
            <v>41426</v>
          </cell>
          <cell r="E3374">
            <v>0</v>
          </cell>
          <cell r="F3374">
            <v>0</v>
          </cell>
          <cell r="G3374">
            <v>15702000</v>
          </cell>
          <cell r="H3374">
            <v>0</v>
          </cell>
          <cell r="I3374">
            <v>15702000</v>
          </cell>
        </row>
        <row r="3375">
          <cell r="A3375" t="str">
            <v>1700|431001</v>
          </cell>
          <cell r="B3375" t="str">
            <v>1700</v>
          </cell>
          <cell r="C3375">
            <v>431001</v>
          </cell>
          <cell r="D3375">
            <v>41426</v>
          </cell>
          <cell r="E3375">
            <v>0</v>
          </cell>
          <cell r="F3375">
            <v>0</v>
          </cell>
          <cell r="G3375">
            <v>111200</v>
          </cell>
          <cell r="H3375">
            <v>0</v>
          </cell>
          <cell r="I3375">
            <v>111200</v>
          </cell>
        </row>
        <row r="3376">
          <cell r="A3376" t="str">
            <v>1700|430010</v>
          </cell>
          <cell r="B3376" t="str">
            <v>1700</v>
          </cell>
          <cell r="C3376">
            <v>430010</v>
          </cell>
          <cell r="D3376">
            <v>41426</v>
          </cell>
          <cell r="E3376">
            <v>0</v>
          </cell>
          <cell r="F3376">
            <v>0</v>
          </cell>
          <cell r="G3376">
            <v>6150000</v>
          </cell>
          <cell r="H3376">
            <v>0</v>
          </cell>
          <cell r="I3376">
            <v>6150000</v>
          </cell>
        </row>
        <row r="3377">
          <cell r="A3377" t="str">
            <v>3200|406000</v>
          </cell>
          <cell r="B3377" t="str">
            <v>3200</v>
          </cell>
          <cell r="C3377">
            <v>406000</v>
          </cell>
          <cell r="D3377">
            <v>41426</v>
          </cell>
          <cell r="E3377">
            <v>0</v>
          </cell>
          <cell r="F3377">
            <v>0</v>
          </cell>
          <cell r="G3377">
            <v>107403225</v>
          </cell>
          <cell r="H3377">
            <v>0</v>
          </cell>
          <cell r="I3377">
            <v>107403225</v>
          </cell>
        </row>
        <row r="3378">
          <cell r="A3378" t="str">
            <v>3200|439013</v>
          </cell>
          <cell r="B3378" t="str">
            <v>3200</v>
          </cell>
          <cell r="C3378">
            <v>439013</v>
          </cell>
          <cell r="D3378">
            <v>41426</v>
          </cell>
          <cell r="E3378">
            <v>0</v>
          </cell>
          <cell r="F3378">
            <v>0</v>
          </cell>
          <cell r="G3378">
            <v>1529392029</v>
          </cell>
          <cell r="H3378">
            <v>0</v>
          </cell>
          <cell r="I3378">
            <v>1529392029</v>
          </cell>
        </row>
        <row r="3379">
          <cell r="A3379" t="str">
            <v>3470|473120</v>
          </cell>
          <cell r="B3379" t="str">
            <v>3470</v>
          </cell>
          <cell r="C3379">
            <v>473120</v>
          </cell>
          <cell r="D3379">
            <v>41426</v>
          </cell>
          <cell r="E3379">
            <v>0</v>
          </cell>
          <cell r="F3379">
            <v>0</v>
          </cell>
          <cell r="G3379">
            <v>440800</v>
          </cell>
          <cell r="H3379">
            <v>0</v>
          </cell>
          <cell r="I3379">
            <v>440800</v>
          </cell>
        </row>
        <row r="3380">
          <cell r="A3380" t="str">
            <v>6321|451001</v>
          </cell>
          <cell r="B3380" t="str">
            <v>6321</v>
          </cell>
          <cell r="C3380">
            <v>451001</v>
          </cell>
          <cell r="D3380">
            <v>41426</v>
          </cell>
          <cell r="E3380">
            <v>0</v>
          </cell>
          <cell r="F3380">
            <v>0</v>
          </cell>
          <cell r="G3380">
            <v>9500000</v>
          </cell>
          <cell r="H3380">
            <v>0</v>
          </cell>
          <cell r="I3380">
            <v>9500000</v>
          </cell>
        </row>
        <row r="3381">
          <cell r="A3381" t="str">
            <v>1210|465002</v>
          </cell>
          <cell r="B3381" t="str">
            <v>1210</v>
          </cell>
          <cell r="C3381">
            <v>465002</v>
          </cell>
          <cell r="D3381">
            <v>41426</v>
          </cell>
          <cell r="E3381">
            <v>10</v>
          </cell>
          <cell r="F3381">
            <v>1</v>
          </cell>
          <cell r="G3381">
            <v>0</v>
          </cell>
          <cell r="H3381">
            <v>1</v>
          </cell>
          <cell r="I3381">
            <v>0</v>
          </cell>
        </row>
        <row r="3382">
          <cell r="A3382" t="str">
            <v>1210|466006</v>
          </cell>
          <cell r="B3382" t="str">
            <v>1210</v>
          </cell>
          <cell r="C3382">
            <v>466006</v>
          </cell>
          <cell r="D3382">
            <v>41426</v>
          </cell>
          <cell r="E3382">
            <v>10</v>
          </cell>
          <cell r="F3382">
            <v>1</v>
          </cell>
          <cell r="G3382">
            <v>0</v>
          </cell>
          <cell r="H3382">
            <v>1</v>
          </cell>
          <cell r="I3382">
            <v>0</v>
          </cell>
        </row>
        <row r="3383">
          <cell r="A3383" t="str">
            <v>2240|476910</v>
          </cell>
          <cell r="B3383" t="str">
            <v>2240</v>
          </cell>
          <cell r="C3383">
            <v>476910</v>
          </cell>
          <cell r="D3383">
            <v>41426</v>
          </cell>
          <cell r="E3383">
            <v>4000000</v>
          </cell>
          <cell r="F3383">
            <v>2000000</v>
          </cell>
          <cell r="G3383">
            <v>0</v>
          </cell>
          <cell r="H3383">
            <v>333333</v>
          </cell>
          <cell r="I3383">
            <v>0</v>
          </cell>
        </row>
        <row r="3384">
          <cell r="A3384" t="str">
            <v>6310|474100</v>
          </cell>
          <cell r="B3384" t="str">
            <v>6310</v>
          </cell>
          <cell r="C3384">
            <v>474100</v>
          </cell>
          <cell r="D3384">
            <v>41426</v>
          </cell>
          <cell r="E3384">
            <v>1</v>
          </cell>
          <cell r="F3384">
            <v>1</v>
          </cell>
          <cell r="G3384">
            <v>0</v>
          </cell>
          <cell r="H3384">
            <v>1</v>
          </cell>
          <cell r="I3384">
            <v>0</v>
          </cell>
        </row>
        <row r="3385">
          <cell r="A3385" t="str">
            <v>6322|474100</v>
          </cell>
          <cell r="B3385" t="str">
            <v>6322</v>
          </cell>
          <cell r="C3385">
            <v>474100</v>
          </cell>
          <cell r="D3385">
            <v>41426</v>
          </cell>
          <cell r="E3385">
            <v>1</v>
          </cell>
          <cell r="F3385">
            <v>1</v>
          </cell>
          <cell r="G3385">
            <v>0</v>
          </cell>
          <cell r="H3385">
            <v>1</v>
          </cell>
          <cell r="I3385">
            <v>0</v>
          </cell>
        </row>
        <row r="3386">
          <cell r="A3386" t="str">
            <v>6326|449040</v>
          </cell>
          <cell r="B3386" t="str">
            <v>6326</v>
          </cell>
          <cell r="C3386">
            <v>449040</v>
          </cell>
          <cell r="D3386">
            <v>41426</v>
          </cell>
          <cell r="E3386">
            <v>1</v>
          </cell>
          <cell r="F3386">
            <v>1</v>
          </cell>
          <cell r="G3386">
            <v>0</v>
          </cell>
          <cell r="H3386">
            <v>1</v>
          </cell>
          <cell r="I3386">
            <v>0</v>
          </cell>
        </row>
        <row r="3387">
          <cell r="A3387" t="str">
            <v>3800|475003</v>
          </cell>
          <cell r="B3387" t="str">
            <v>3800</v>
          </cell>
          <cell r="C3387">
            <v>475003</v>
          </cell>
          <cell r="D3387">
            <v>41426</v>
          </cell>
          <cell r="E3387">
            <v>10500000</v>
          </cell>
          <cell r="F3387">
            <v>4200000</v>
          </cell>
          <cell r="G3387">
            <v>400000</v>
          </cell>
          <cell r="H3387">
            <v>1050000</v>
          </cell>
          <cell r="I3387">
            <v>400000</v>
          </cell>
        </row>
        <row r="3388">
          <cell r="A3388" t="str">
            <v>6322|449040</v>
          </cell>
          <cell r="B3388" t="str">
            <v>6322</v>
          </cell>
          <cell r="C3388">
            <v>449040</v>
          </cell>
          <cell r="D3388">
            <v>41426</v>
          </cell>
          <cell r="E3388">
            <v>2200000</v>
          </cell>
          <cell r="F3388">
            <v>1100000</v>
          </cell>
          <cell r="G3388">
            <v>903000</v>
          </cell>
          <cell r="H3388">
            <v>183334</v>
          </cell>
          <cell r="I3388">
            <v>903000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Temp"/>
      <sheetName val="Raw"/>
      <sheetName val="Commercial"/>
      <sheetName val="DCAG"/>
      <sheetName val="Fiscal"/>
      <sheetName val="iface"/>
      <sheetName val="31001"/>
      <sheetName val="refRaw"/>
      <sheetName val="adj000001"/>
      <sheetName val="Asset_Sales"/>
      <sheetName val="refAsset"/>
      <sheetName val="refAcc"/>
      <sheetName val="refCC"/>
      <sheetName val="new_item"/>
    </sheetNames>
    <sheetDataSet>
      <sheetData sheetId="0"/>
      <sheetData sheetId="1"/>
      <sheetData sheetId="2"/>
      <sheetData sheetId="3">
        <row r="1">
          <cell r="A1" t="str">
            <v>procDate</v>
          </cell>
          <cell r="B1" t="str">
            <v>ReportPrd</v>
          </cell>
          <cell r="C1" t="str">
            <v>RepType</v>
          </cell>
          <cell r="D1" t="str">
            <v>CompCode</v>
          </cell>
          <cell r="E1" t="str">
            <v>ValType</v>
          </cell>
          <cell r="F1" t="str">
            <v>Account</v>
          </cell>
          <cell r="G1" t="str">
            <v>Asset</v>
          </cell>
          <cell r="H1" t="str">
            <v>SNo</v>
          </cell>
          <cell r="I1" t="str">
            <v>DepKy</v>
          </cell>
          <cell r="J1" t="str">
            <v>Plant</v>
          </cell>
          <cell r="K1" t="str">
            <v>CapDate</v>
          </cell>
          <cell r="L1" t="str">
            <v>ODepStart</v>
          </cell>
          <cell r="M1" t="str">
            <v>CostCtr</v>
          </cell>
          <cell r="N1" t="str">
            <v>AssetDesc</v>
          </cell>
          <cell r="O1" t="str">
            <v>Life</v>
          </cell>
          <cell r="P1" t="str">
            <v>Location</v>
          </cell>
          <cell r="Q1" t="str">
            <v>Vendor</v>
          </cell>
          <cell r="R1" t="str">
            <v>Qty</v>
          </cell>
          <cell r="S1" t="str">
            <v>BUn</v>
          </cell>
          <cell r="T1" t="str">
            <v>Cum_acq_val_aw</v>
          </cell>
          <cell r="U1" t="str">
            <v>Accum_dep_aw</v>
          </cell>
          <cell r="V1" t="str">
            <v>Start_book_val</v>
          </cell>
          <cell r="W1" t="str">
            <v>Trans_acq_val_trn</v>
          </cell>
          <cell r="X1" t="str">
            <v xml:space="preserve"> PlndDep</v>
          </cell>
          <cell r="Y1" t="str">
            <v xml:space="preserve"> Book_val_bfrRet</v>
          </cell>
          <cell r="Z1" t="str">
            <v>Trans_acq_val_ret</v>
          </cell>
          <cell r="AA1" t="str">
            <v>Trns_AccDep</v>
          </cell>
          <cell r="AB1" t="str">
            <v xml:space="preserve"> Book_val_Ret</v>
          </cell>
          <cell r="AC1" t="str">
            <v xml:space="preserve"> Cum_acq_val_ak</v>
          </cell>
          <cell r="AD1" t="str">
            <v>Accum_dep_ak</v>
          </cell>
          <cell r="AE1" t="str">
            <v>End_book_val</v>
          </cell>
          <cell r="AF1" t="str">
            <v>Curr</v>
          </cell>
          <cell r="AG1" t="str">
            <v>dtFlag</v>
          </cell>
          <cell r="AH1" t="str">
            <v>sales_price</v>
          </cell>
          <cell r="AI1" t="str">
            <v>sales_gain</v>
          </cell>
          <cell r="AJ1" t="str">
            <v>sales_loss</v>
          </cell>
        </row>
      </sheetData>
      <sheetData sheetId="4"/>
      <sheetData sheetId="5">
        <row r="1">
          <cell r="A1" t="str">
            <v>procDate</v>
          </cell>
          <cell r="B1" t="str">
            <v>ReportPrd</v>
          </cell>
          <cell r="C1" t="str">
            <v>RepType</v>
          </cell>
          <cell r="D1" t="str">
            <v>CompCode</v>
          </cell>
          <cell r="E1" t="str">
            <v>ValType</v>
          </cell>
          <cell r="F1" t="str">
            <v>Account</v>
          </cell>
          <cell r="G1" t="str">
            <v>Asset</v>
          </cell>
          <cell r="H1" t="str">
            <v>SNo</v>
          </cell>
          <cell r="I1" t="str">
            <v>DepKy</v>
          </cell>
          <cell r="J1" t="str">
            <v>Plant</v>
          </cell>
          <cell r="K1" t="str">
            <v>CapDate</v>
          </cell>
          <cell r="L1" t="str">
            <v>ODepStart</v>
          </cell>
          <cell r="M1" t="str">
            <v>CostCtr</v>
          </cell>
          <cell r="N1" t="str">
            <v>AssetDesc</v>
          </cell>
          <cell r="O1" t="str">
            <v>Life</v>
          </cell>
          <cell r="P1" t="str">
            <v>Location</v>
          </cell>
          <cell r="Q1" t="str">
            <v>Vendor</v>
          </cell>
          <cell r="R1" t="str">
            <v>Qty</v>
          </cell>
          <cell r="S1" t="str">
            <v>BUn</v>
          </cell>
          <cell r="T1" t="str">
            <v>Cum_acq_val_aw</v>
          </cell>
          <cell r="U1" t="str">
            <v>Accum_dep_aw</v>
          </cell>
          <cell r="V1" t="str">
            <v>Start_book_val</v>
          </cell>
          <cell r="W1" t="str">
            <v>Trans_acq_val_trn</v>
          </cell>
          <cell r="X1" t="str">
            <v xml:space="preserve"> PlndDep</v>
          </cell>
          <cell r="Y1" t="str">
            <v xml:space="preserve"> Book_val_bfrRet</v>
          </cell>
          <cell r="Z1" t="str">
            <v>Trans_acq_val_ret</v>
          </cell>
          <cell r="AA1" t="str">
            <v>Trns_AccDep</v>
          </cell>
          <cell r="AB1" t="str">
            <v xml:space="preserve"> Book_val_Ret</v>
          </cell>
          <cell r="AC1" t="str">
            <v xml:space="preserve"> Cum_acq_val_ak</v>
          </cell>
          <cell r="AD1" t="str">
            <v>Accum_dep_ak</v>
          </cell>
          <cell r="AE1" t="str">
            <v>End_book_val</v>
          </cell>
          <cell r="AF1" t="str">
            <v>Curr</v>
          </cell>
          <cell r="AG1" t="str">
            <v>dtFlag</v>
          </cell>
          <cell r="AH1" t="str">
            <v>sales_price</v>
          </cell>
          <cell r="AI1" t="str">
            <v>sales_gain</v>
          </cell>
          <cell r="AJ1" t="str">
            <v>sales_loss</v>
          </cell>
        </row>
      </sheetData>
      <sheetData sheetId="6"/>
      <sheetData sheetId="7"/>
      <sheetData sheetId="8">
        <row r="1">
          <cell r="A1" t="str">
            <v>GrupID</v>
          </cell>
          <cell r="B1" t="str">
            <v>SAP_Text</v>
          </cell>
          <cell r="C1" t="str">
            <v>GrupName</v>
          </cell>
        </row>
        <row r="2">
          <cell r="A2" t="str">
            <v>COMM</v>
          </cell>
          <cell r="B2" t="str">
            <v>Depreciation - 01 Commercial</v>
          </cell>
          <cell r="C2" t="str">
            <v>01 - Commercial</v>
          </cell>
        </row>
        <row r="3">
          <cell r="A3" t="str">
            <v>DCAG</v>
          </cell>
          <cell r="B3" t="str">
            <v>Depreciation - 25 DCAG</v>
          </cell>
          <cell r="C3" t="str">
            <v>25 - DCAG</v>
          </cell>
        </row>
        <row r="4">
          <cell r="A4" t="str">
            <v>FISC</v>
          </cell>
          <cell r="B4" t="str">
            <v>Depreciation - 15 Fiscal</v>
          </cell>
          <cell r="C4" t="str">
            <v>15 - Fiscal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766.619463773146" createdVersion="6" refreshedVersion="6" minRefreshableVersion="3" recordCount="113">
  <cacheSource type="worksheet">
    <worksheetSource ref="D4:AC118" sheet="Funding 2019"/>
  </cacheSource>
  <cacheFields count="26">
    <cacheField name="Cost Center End USER" numFmtId="0">
      <sharedItems containsBlank="1" containsMixedTypes="1" containsNumber="1" containsInteger="1" minValue="5500" maxValue="6328"/>
    </cacheField>
    <cacheField name="Classification W-Project" numFmtId="0">
      <sharedItems containsBlank="1"/>
    </cacheField>
    <cacheField name="Category" numFmtId="0">
      <sharedItems containsBlank="1" count="4">
        <m/>
        <s v="CGMM"/>
        <s v=""/>
        <s v="EGMM"/>
      </sharedItems>
    </cacheField>
    <cacheField name="Model" numFmtId="0">
      <sharedItems containsBlank="1" count="22">
        <m/>
        <s v="9001"/>
        <s v="0002"/>
        <s v=""/>
        <s v="9005"/>
        <s v="9002"/>
        <s v="9003"/>
        <s v="9004"/>
        <s v="9000"/>
        <s v="9006"/>
        <s v="9007"/>
        <s v="V177"/>
        <s v="X167"/>
        <s v="V167"/>
        <s v="M264"/>
        <s v="W213"/>
        <s v="V222"/>
        <s v="W205"/>
        <s v="X253"/>
        <s v="W206"/>
        <s v="H247"/>
        <s v="V223"/>
      </sharedItems>
    </cacheField>
    <cacheField name="Code" numFmtId="0">
      <sharedItems containsBlank="1" count="13">
        <m/>
        <s v="HR"/>
        <s v="MT"/>
        <s v="IT"/>
        <s v="QP"/>
        <s v="LO"/>
        <s v="PR"/>
        <s v="EP"/>
        <s v="EN"/>
        <s v="20"/>
        <s v="LA"/>
        <s v="TE"/>
        <s v="TA"/>
      </sharedItems>
    </cacheField>
    <cacheField name="PIC" numFmtId="0">
      <sharedItems containsBlank="1"/>
    </cacheField>
    <cacheField name="Year" numFmtId="0">
      <sharedItems containsString="0" containsBlank="1" containsNumber="1" containsInteger="1" minValue="2019" maxValue="2019"/>
    </cacheField>
    <cacheField name="Order No." numFmtId="0">
      <sharedItems containsBlank="1"/>
    </cacheField>
    <cacheField name="Description" numFmtId="0">
      <sharedItems containsBlank="1" longText="1"/>
    </cacheField>
    <cacheField name="M" numFmtId="0">
      <sharedItems containsNonDate="0" containsString="0" containsBlank="1"/>
    </cacheField>
    <cacheField name="FTR 2019_x000a_(2019 EUR)-reduction" numFmtId="0">
      <sharedItems containsString="0" containsBlank="1" containsNumber="1" minValue="-105000" maxValue="3638000"/>
    </cacheField>
    <cacheField name="O" numFmtId="0">
      <sharedItems containsNonDate="0" containsString="0" containsBlank="1"/>
    </cacheField>
    <cacheField name="FTR 2019_x000a_(2019 IDR)" numFmtId="0">
      <sharedItems containsString="0" containsBlank="1" containsNumber="1" minValue="-1703310000" maxValue="103788356000"/>
    </cacheField>
    <cacheField name="PR_x000a_(IDR)" numFmtId="0">
      <sharedItems containsString="0" containsBlank="1" containsNumber="1" containsInteger="1" minValue="0" maxValue="4028204348"/>
    </cacheField>
    <cacheField name="PO_x000a_(IDR)" numFmtId="0">
      <sharedItems containsString="0" containsBlank="1" containsNumber="1" containsInteger="1" minValue="0" maxValue="6714836087"/>
    </cacheField>
    <cacheField name="Actual_x000a_(IDR)" numFmtId="0">
      <sharedItems containsString="0" containsBlank="1" containsNumber="1" containsInteger="1" minValue="0" maxValue="36672248750"/>
    </cacheField>
    <cacheField name="Remaining_x000a_(IDR)" numFmtId="0">
      <sharedItems containsString="0" containsBlank="1" containsNumber="1" minValue="-2507508354" maxValue="11507800907"/>
    </cacheField>
    <cacheField name="U" numFmtId="0">
      <sharedItems containsNonDate="0" containsString="0" containsBlank="1"/>
    </cacheField>
    <cacheField name="FTR 2019_x000a_(2019 EUR)" numFmtId="0">
      <sharedItems containsString="0" containsBlank="1" containsNumber="1" minValue="-105000" maxValue="6398000"/>
    </cacheField>
    <cacheField name="PR_x000a_(EUR)" numFmtId="0">
      <sharedItems containsString="0" containsBlank="1" containsNumber="1" minValue="0" maxValue="248317.36826531874"/>
    </cacheField>
    <cacheField name="PO_x000a_(EUR)" numFmtId="0">
      <sharedItems containsString="0" containsBlank="1" containsNumber="1" minValue="0" maxValue="413933.92226605839"/>
    </cacheField>
    <cacheField name="Actual_x000a_(EUR)" numFmtId="0">
      <sharedItems containsString="0" containsBlank="1" containsNumber="1" minValue="0" maxValue="2266354.0043151276"/>
    </cacheField>
    <cacheField name="Remaining_x000a_(EUR)" numFmtId="0">
      <sharedItems containsString="0" containsBlank="1" containsNumber="1" minValue="-154574.55024041425" maxValue="709394.70515349531"/>
    </cacheField>
    <cacheField name="AA" numFmtId="0">
      <sharedItems containsNonDate="0" containsString="0" containsBlank="1"/>
    </cacheField>
    <cacheField name="Plan PR" numFmtId="167">
      <sharedItems containsNonDate="0" containsDate="1" containsString="0" containsBlank="1" minDate="2018-12-31T00:00:00" maxDate="2019-11-02T00:00:00"/>
    </cacheField>
    <cacheField name="PRIO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">
  <r>
    <m/>
    <m/>
    <x v="0"/>
    <x v="0"/>
    <x v="0"/>
    <m/>
    <m/>
    <m/>
    <m/>
    <m/>
    <m/>
    <m/>
    <m/>
    <m/>
    <m/>
    <m/>
    <m/>
    <m/>
    <m/>
    <m/>
    <m/>
    <m/>
    <m/>
    <m/>
    <m/>
    <m/>
  </r>
  <r>
    <s v="240B"/>
    <s v="W7"/>
    <x v="1"/>
    <x v="1"/>
    <x v="1"/>
    <s v="Yonny"/>
    <n v="2019"/>
    <s v="CGMMHRM19001"/>
    <s v="General Facility for Wanaherang Plant"/>
    <m/>
    <m/>
    <m/>
    <n v="0"/>
    <n v="0"/>
    <n v="0"/>
    <n v="31780000"/>
    <n v="-31780000"/>
    <m/>
    <n v="0"/>
    <n v="0"/>
    <n v="0"/>
    <n v="1959.0679324374307"/>
    <n v="-1959.0679324374307"/>
    <m/>
    <d v="2019-02-01T00:00:00"/>
    <s v="A"/>
  </r>
  <r>
    <s v="240B"/>
    <s v="W2"/>
    <x v="1"/>
    <x v="2"/>
    <x v="1"/>
    <s v="Yonny"/>
    <n v="2019"/>
    <s v="CGMMHRM19002 "/>
    <s v="Office Build. 4 &amp; Annex 2019"/>
    <m/>
    <n v="257417.38922442147"/>
    <m/>
    <n v="4175824887.9985652"/>
    <n v="0"/>
    <n v="4059296621"/>
    <n v="0"/>
    <n v="116528266.9985652"/>
    <m/>
    <n v="257417.38922442147"/>
    <n v="0"/>
    <n v="250234.04148686968"/>
    <n v="0"/>
    <n v="7183.3477375517941"/>
    <m/>
    <m/>
    <m/>
  </r>
  <r>
    <m/>
    <m/>
    <x v="2"/>
    <x v="3"/>
    <x v="0"/>
    <m/>
    <m/>
    <m/>
    <s v="Interior Design Fee"/>
    <m/>
    <n v="5468"/>
    <m/>
    <n v="88701896"/>
    <m/>
    <m/>
    <m/>
    <m/>
    <m/>
    <n v="5468"/>
    <m/>
    <m/>
    <m/>
    <m/>
    <m/>
    <d v="2019-02-01T00:00:00"/>
    <s v="A"/>
  </r>
  <r>
    <m/>
    <m/>
    <x v="2"/>
    <x v="3"/>
    <x v="0"/>
    <m/>
    <m/>
    <m/>
    <s v="Project Management Cost"/>
    <m/>
    <n v="12244"/>
    <m/>
    <n v="198622168"/>
    <m/>
    <m/>
    <m/>
    <m/>
    <m/>
    <n v="12244"/>
    <m/>
    <m/>
    <m/>
    <m/>
    <m/>
    <d v="2019-03-01T00:00:00"/>
    <s v="A"/>
  </r>
  <r>
    <m/>
    <m/>
    <x v="2"/>
    <x v="3"/>
    <x v="0"/>
    <m/>
    <m/>
    <m/>
    <s v="Construction Building 04"/>
    <m/>
    <n v="239705"/>
    <m/>
    <n v="3888494510"/>
    <m/>
    <m/>
    <m/>
    <m/>
    <m/>
    <n v="239705"/>
    <m/>
    <m/>
    <m/>
    <m/>
    <m/>
    <d v="2019-07-01T00:00:00"/>
    <s v="A"/>
  </r>
  <r>
    <s v="Production"/>
    <m/>
    <x v="0"/>
    <x v="0"/>
    <x v="0"/>
    <m/>
    <m/>
    <m/>
    <s v="GENERAL-HR for Wanaherang"/>
    <m/>
    <n v="257417.38922442147"/>
    <m/>
    <n v="4175824887.9985652"/>
    <n v="0"/>
    <n v="4059296621"/>
    <n v="31780000"/>
    <n v="84748266.998565197"/>
    <m/>
    <n v="257417.38922442147"/>
    <n v="0"/>
    <n v="250234.04148686968"/>
    <n v="1959.0679324374307"/>
    <n v="5224.2798051143627"/>
    <m/>
    <m/>
    <n v="0"/>
  </r>
  <r>
    <m/>
    <m/>
    <x v="0"/>
    <x v="0"/>
    <x v="0"/>
    <m/>
    <m/>
    <m/>
    <m/>
    <m/>
    <m/>
    <m/>
    <m/>
    <m/>
    <m/>
    <m/>
    <m/>
    <m/>
    <m/>
    <n v="0"/>
    <n v="0"/>
    <n v="0"/>
    <n v="0"/>
    <m/>
    <m/>
    <m/>
  </r>
  <r>
    <s v="520B"/>
    <s v="W2"/>
    <x v="1"/>
    <x v="4"/>
    <x v="2"/>
    <s v="Bob"/>
    <n v="2019"/>
    <s v="CGMMMTW19005"/>
    <s v="General Facility"/>
    <m/>
    <n v="0"/>
    <m/>
    <n v="0"/>
    <n v="0"/>
    <n v="0"/>
    <n v="0"/>
    <n v="0"/>
    <m/>
    <n v="0"/>
    <n v="0"/>
    <n v="0"/>
    <n v="0"/>
    <n v="0"/>
    <m/>
    <d v="2019-04-01T00:00:00"/>
    <s v="A"/>
  </r>
  <r>
    <s v="Production"/>
    <m/>
    <x v="0"/>
    <x v="0"/>
    <x v="0"/>
    <m/>
    <m/>
    <m/>
    <s v="GENERAL FACILTY"/>
    <m/>
    <n v="0"/>
    <m/>
    <n v="0"/>
    <n v="0"/>
    <n v="0"/>
    <n v="0"/>
    <n v="0"/>
    <m/>
    <n v="0"/>
    <n v="0"/>
    <n v="0"/>
    <n v="0"/>
    <n v="0"/>
    <m/>
    <m/>
    <m/>
  </r>
  <r>
    <m/>
    <m/>
    <x v="0"/>
    <x v="0"/>
    <x v="0"/>
    <m/>
    <m/>
    <m/>
    <m/>
    <m/>
    <m/>
    <m/>
    <m/>
    <m/>
    <m/>
    <m/>
    <m/>
    <m/>
    <m/>
    <n v="0"/>
    <n v="0"/>
    <n v="0"/>
    <n v="0"/>
    <m/>
    <m/>
    <m/>
  </r>
  <r>
    <s v="1550-ITM"/>
    <s v="W6"/>
    <x v="1"/>
    <x v="1"/>
    <x v="3"/>
    <s v="Don"/>
    <n v="2019"/>
    <s v="CGMMITM19001"/>
    <s v="Renew Thin Client for TIDS, Renew UPS"/>
    <m/>
    <n v="36500"/>
    <m/>
    <n v="592103000"/>
    <n v="0"/>
    <n v="0"/>
    <n v="675000000"/>
    <n v="-82897000"/>
    <m/>
    <n v="36500"/>
    <n v="0"/>
    <n v="0"/>
    <n v="41610.159043274565"/>
    <n v="-5110.1590432745652"/>
    <m/>
    <d v="2019-05-01T00:00:00"/>
    <s v="A"/>
  </r>
  <r>
    <s v="1550-ITM"/>
    <s v="W6"/>
    <x v="1"/>
    <x v="5"/>
    <x v="3"/>
    <s v="Don"/>
    <n v="2019"/>
    <s v="CGMMITM19002"/>
    <s v="Desktop Software, Printer, Telecommunication, Data Center"/>
    <m/>
    <n v="43496"/>
    <m/>
    <n v="705592112"/>
    <n v="18275000"/>
    <n v="131040000"/>
    <n v="456976000"/>
    <n v="99301112"/>
    <m/>
    <n v="43496"/>
    <n v="1126.5565281716188"/>
    <n v="8077.9188756010353"/>
    <n v="28170.139316976944"/>
    <n v="6121.3852792504003"/>
    <m/>
    <d v="2019-08-01T00:00:00"/>
    <s v="A"/>
  </r>
  <r>
    <s v="Production"/>
    <m/>
    <x v="0"/>
    <x v="0"/>
    <x v="0"/>
    <m/>
    <m/>
    <m/>
    <s v="GENERAL - IT Wanaherang"/>
    <m/>
    <n v="79996"/>
    <m/>
    <n v="1297695112"/>
    <n v="18275000"/>
    <n v="131040000"/>
    <n v="1131976000"/>
    <n v="16404112"/>
    <m/>
    <n v="79996"/>
    <n v="1126.5565281716188"/>
    <n v="8077.9188756010353"/>
    <n v="69780.298360251516"/>
    <n v="1011.2262359758353"/>
    <m/>
    <m/>
    <m/>
  </r>
  <r>
    <m/>
    <m/>
    <x v="0"/>
    <x v="0"/>
    <x v="0"/>
    <m/>
    <m/>
    <m/>
    <m/>
    <m/>
    <m/>
    <m/>
    <m/>
    <m/>
    <m/>
    <m/>
    <m/>
    <m/>
    <m/>
    <n v="0"/>
    <n v="0"/>
    <n v="0"/>
    <n v="0"/>
    <m/>
    <m/>
    <m/>
  </r>
  <r>
    <s v="520B"/>
    <s v="W3"/>
    <x v="1"/>
    <x v="1"/>
    <x v="2"/>
    <s v="Bob"/>
    <n v="2019"/>
    <s v="CGMMMTW19001"/>
    <s v="Replacement/Upgrading/Improvement of Plant Infrastructure Facility, WWTP Facility &amp; Infrastructure, Roof/Clading/Steel Structure/Wall/Floor for Building, Cleaning Equipment Facility, fences around the factory for safety and security, Fuel Station Facility"/>
    <m/>
    <n v="60507.519999999997"/>
    <m/>
    <n v="981552989.43999994"/>
    <n v="0"/>
    <n v="0"/>
    <n v="904412000"/>
    <n v="77140989.439999938"/>
    <m/>
    <n v="60507.519999999997"/>
    <n v="0"/>
    <n v="0"/>
    <n v="55752.188386142276"/>
    <n v="4755.3316138577202"/>
    <m/>
    <m/>
    <s v="A"/>
  </r>
  <r>
    <m/>
    <m/>
    <x v="0"/>
    <x v="0"/>
    <x v="0"/>
    <m/>
    <m/>
    <m/>
    <s v="ESD Installation and Coating "/>
    <m/>
    <n v="12409.338461538478"/>
    <m/>
    <n v="201304288.52307719"/>
    <m/>
    <m/>
    <m/>
    <m/>
    <m/>
    <n v="12409.338461538478"/>
    <m/>
    <m/>
    <m/>
    <m/>
    <m/>
    <d v="2019-02-01T00:00:00"/>
    <m/>
  </r>
  <r>
    <m/>
    <m/>
    <x v="0"/>
    <x v="0"/>
    <x v="0"/>
    <m/>
    <m/>
    <m/>
    <s v="Rain Water Storage Tank "/>
    <m/>
    <n v="10224.984615384616"/>
    <m/>
    <n v="165869700.43076923"/>
    <m/>
    <m/>
    <m/>
    <m/>
    <m/>
    <n v="10224.984615384616"/>
    <m/>
    <m/>
    <m/>
    <m/>
    <m/>
    <d v="2019-02-01T00:00:00"/>
    <m/>
  </r>
  <r>
    <m/>
    <m/>
    <x v="0"/>
    <x v="0"/>
    <x v="0"/>
    <m/>
    <m/>
    <m/>
    <s v="Aerator Motor Waste Water Domestic &amp; Industrial"/>
    <m/>
    <n v="7177.076923076922"/>
    <m/>
    <n v="116426541.84615383"/>
    <m/>
    <m/>
    <m/>
    <m/>
    <m/>
    <n v="7177.076923076922"/>
    <m/>
    <m/>
    <m/>
    <m/>
    <m/>
    <d v="2019-02-01T00:00:00"/>
    <m/>
  </r>
  <r>
    <m/>
    <m/>
    <x v="0"/>
    <x v="0"/>
    <x v="0"/>
    <m/>
    <m/>
    <m/>
    <s v="Refurbish Open Drainage "/>
    <m/>
    <n v="7619.7692307692332"/>
    <m/>
    <n v="123607896.46153851"/>
    <m/>
    <m/>
    <m/>
    <m/>
    <m/>
    <n v="7619.7692307692332"/>
    <m/>
    <m/>
    <m/>
    <m/>
    <m/>
    <d v="2019-02-01T00:00:00"/>
    <m/>
  </r>
  <r>
    <m/>
    <m/>
    <x v="0"/>
    <x v="0"/>
    <x v="0"/>
    <m/>
    <m/>
    <m/>
    <s v="Replacement Wall/Roof/Gutter"/>
    <m/>
    <n v="7837.2"/>
    <m/>
    <n v="127135058.39999999"/>
    <m/>
    <m/>
    <m/>
    <m/>
    <m/>
    <n v="7837.2"/>
    <m/>
    <m/>
    <m/>
    <m/>
    <m/>
    <d v="2019-02-01T00:00:00"/>
    <m/>
  </r>
  <r>
    <m/>
    <m/>
    <x v="0"/>
    <x v="0"/>
    <x v="0"/>
    <m/>
    <m/>
    <m/>
    <s v="Recondition &amp; reinforce Fence"/>
    <m/>
    <n v="8708.3076923077188"/>
    <m/>
    <n v="141266167.38461581"/>
    <m/>
    <m/>
    <m/>
    <m/>
    <m/>
    <n v="8708.3076923077188"/>
    <m/>
    <m/>
    <m/>
    <m/>
    <m/>
    <d v="2019-02-01T00:00:00"/>
    <m/>
  </r>
  <r>
    <m/>
    <m/>
    <x v="0"/>
    <x v="0"/>
    <x v="0"/>
    <m/>
    <m/>
    <m/>
    <s v="Recondition  Industrial Waste pond"/>
    <m/>
    <n v="6531.230769230765"/>
    <m/>
    <n v="105949625.53846148"/>
    <m/>
    <m/>
    <m/>
    <m/>
    <m/>
    <n v="6531.230769230765"/>
    <m/>
    <m/>
    <m/>
    <m/>
    <m/>
    <d v="2019-01-01T00:00:00"/>
    <m/>
  </r>
  <r>
    <s v="520B"/>
    <s v="W1"/>
    <x v="1"/>
    <x v="5"/>
    <x v="2"/>
    <s v="Bob"/>
    <n v="2019"/>
    <s v="CGMMMTW19002"/>
    <s v="Replacement/Upgrading/Overhaule/Additional Genset , Water Management Facility (Absorption/Clean Water), Compressed Air Main Distribution, Mercury or Non LED Lamp to the LED Lamp, Maintenance Equipment, Maintenance Tools, Air Condition Facility,  Carbon Neutral(include Air Circulation Equipment)"/>
    <m/>
    <n v="101974.13800000001"/>
    <m/>
    <n v="1654224466.6360002"/>
    <n v="0"/>
    <n v="430340000"/>
    <n v="1556377514"/>
    <n v="-332493047.36399984"/>
    <m/>
    <n v="101974.13800000001"/>
    <n v="0"/>
    <n v="26528.1716187893"/>
    <n v="95942.393909505612"/>
    <n v="-20496.427528294898"/>
    <m/>
    <m/>
    <s v="A"/>
  </r>
  <r>
    <m/>
    <m/>
    <x v="0"/>
    <x v="0"/>
    <x v="0"/>
    <m/>
    <m/>
    <m/>
    <s v="Water Management"/>
    <m/>
    <n v="21061.519999999997"/>
    <m/>
    <n v="341659977.43999994"/>
    <m/>
    <m/>
    <m/>
    <m/>
    <m/>
    <n v="21061.519999999997"/>
    <m/>
    <m/>
    <m/>
    <m/>
    <m/>
    <d v="2019-02-01T00:00:00"/>
    <m/>
  </r>
  <r>
    <m/>
    <m/>
    <x v="0"/>
    <x v="0"/>
    <x v="0"/>
    <m/>
    <m/>
    <m/>
    <s v="Carbon Neutral"/>
    <m/>
    <n v="20559.387000000002"/>
    <m/>
    <n v="333514375.91400003"/>
    <m/>
    <m/>
    <m/>
    <m/>
    <m/>
    <n v="20559.387000000002"/>
    <m/>
    <m/>
    <m/>
    <m/>
    <m/>
    <d v="2019-04-01T00:00:00"/>
    <m/>
  </r>
  <r>
    <m/>
    <m/>
    <x v="0"/>
    <x v="0"/>
    <x v="0"/>
    <m/>
    <m/>
    <m/>
    <s v="Refurbish Cooling Tower Production Compressor &amp; Pump"/>
    <m/>
    <n v="10867.760659340694"/>
    <m/>
    <n v="176296813.41582474"/>
    <m/>
    <m/>
    <m/>
    <m/>
    <m/>
    <n v="10867.760659340694"/>
    <m/>
    <m/>
    <m/>
    <m/>
    <m/>
    <d v="2019-02-01T00:00:00"/>
    <m/>
  </r>
  <r>
    <m/>
    <m/>
    <x v="0"/>
    <x v="0"/>
    <x v="0"/>
    <m/>
    <m/>
    <m/>
    <s v="Fuel Tank B.8"/>
    <m/>
    <n v="15759.564835164801"/>
    <m/>
    <n v="255651660.7560434"/>
    <m/>
    <m/>
    <m/>
    <m/>
    <m/>
    <n v="15759.564835164801"/>
    <m/>
    <m/>
    <m/>
    <m/>
    <m/>
    <d v="2019-02-01T00:00:00"/>
    <m/>
  </r>
  <r>
    <m/>
    <m/>
    <x v="0"/>
    <x v="0"/>
    <x v="0"/>
    <m/>
    <m/>
    <m/>
    <s v="Refurbish Electrical  Panel "/>
    <m/>
    <n v="10739.323487912054"/>
    <m/>
    <n v="174213305.62090933"/>
    <m/>
    <m/>
    <m/>
    <m/>
    <m/>
    <n v="10739.323487912054"/>
    <m/>
    <m/>
    <m/>
    <m/>
    <m/>
    <d v="2019-02-01T00:00:00"/>
    <m/>
  </r>
  <r>
    <m/>
    <m/>
    <x v="0"/>
    <x v="0"/>
    <x v="0"/>
    <m/>
    <m/>
    <m/>
    <s v="Domestic Waste Transport (Vehicle Refurbish)"/>
    <m/>
    <n v="2486.1466043956025"/>
    <m/>
    <n v="40330270.21650546"/>
    <m/>
    <m/>
    <m/>
    <m/>
    <m/>
    <n v="2486.1466043956025"/>
    <m/>
    <m/>
    <m/>
    <m/>
    <m/>
    <d v="2019-02-01T00:00:00"/>
    <m/>
  </r>
  <r>
    <m/>
    <m/>
    <x v="0"/>
    <x v="0"/>
    <x v="0"/>
    <m/>
    <m/>
    <m/>
    <s v="Refurbish Pump system, Guest toilet gate 2 and Driver room"/>
    <m/>
    <n v="8644.8096153846182"/>
    <m/>
    <n v="140236101.58076927"/>
    <m/>
    <m/>
    <m/>
    <m/>
    <m/>
    <n v="8644.8096153846182"/>
    <m/>
    <m/>
    <m/>
    <m/>
    <m/>
    <d v="2019-02-01T00:00:00"/>
    <m/>
  </r>
  <r>
    <m/>
    <m/>
    <x v="0"/>
    <x v="0"/>
    <x v="0"/>
    <m/>
    <m/>
    <m/>
    <s v="Capacitor Bank Power House "/>
    <m/>
    <n v="11855.738901098937"/>
    <m/>
    <n v="192323796.45362696"/>
    <m/>
    <m/>
    <m/>
    <m/>
    <m/>
    <n v="11855.738901098937"/>
    <m/>
    <m/>
    <m/>
    <m/>
    <m/>
    <d v="2019-02-01T00:00:00"/>
    <m/>
  </r>
  <r>
    <s v="520B"/>
    <s v="W3"/>
    <x v="1"/>
    <x v="6"/>
    <x v="2"/>
    <s v="Bob"/>
    <n v="2019"/>
    <s v="CGMMMTW19003"/>
    <s v="Replacement/Upgrading/Improvement Technical Safety &amp; Health, Fire Hydrant/Fire Extinguiser Facility"/>
    <m/>
    <n v="167849.84"/>
    <m/>
    <n v="2722860104.48"/>
    <n v="0"/>
    <n v="2700957320"/>
    <n v="152764000"/>
    <n v="-130861215.51999998"/>
    <m/>
    <n v="167849.84"/>
    <n v="0"/>
    <n v="166499.64985821725"/>
    <n v="9417.0879053137705"/>
    <n v="-8066.8977635310057"/>
    <m/>
    <d v="2019-01-01T00:00:00"/>
    <s v="A"/>
  </r>
  <r>
    <m/>
    <s v="W2"/>
    <x v="1"/>
    <x v="7"/>
    <x v="2"/>
    <s v="Bob"/>
    <n v="2019"/>
    <s v="CGMMMTW19004"/>
    <s v="Office Furniture (EMI)"/>
    <m/>
    <n v="24050.000000000004"/>
    <m/>
    <n v="390139100.00000006"/>
    <n v="0"/>
    <n v="0"/>
    <n v="0"/>
    <n v="390139100.00000006"/>
    <m/>
    <n v="24050.000000000004"/>
    <n v="0"/>
    <n v="0"/>
    <n v="0"/>
    <n v="24050.000000000004"/>
    <m/>
    <d v="2019-03-01T00:00:00"/>
    <s v="A"/>
  </r>
  <r>
    <s v="Production"/>
    <m/>
    <x v="0"/>
    <x v="0"/>
    <x v="0"/>
    <m/>
    <m/>
    <m/>
    <s v="GENERAL-Maintenance Wanaherang"/>
    <m/>
    <n v="354381.49800000002"/>
    <m/>
    <n v="5748776660.5559998"/>
    <n v="0"/>
    <n v="3131297320"/>
    <n v="2613553514"/>
    <n v="3925826.5560001731"/>
    <m/>
    <n v="354381.49800000002"/>
    <n v="0"/>
    <n v="193027.82147700654"/>
    <n v="161111.67020096164"/>
    <n v="242.00632203182249"/>
    <m/>
    <m/>
    <n v="0"/>
  </r>
  <r>
    <m/>
    <m/>
    <x v="0"/>
    <x v="0"/>
    <x v="0"/>
    <m/>
    <m/>
    <m/>
    <m/>
    <m/>
    <m/>
    <m/>
    <m/>
    <m/>
    <m/>
    <m/>
    <m/>
    <m/>
    <m/>
    <n v="0"/>
    <n v="0"/>
    <n v="0"/>
    <n v="0"/>
    <m/>
    <m/>
    <m/>
  </r>
  <r>
    <m/>
    <s v="W2"/>
    <x v="1"/>
    <x v="8"/>
    <x v="2"/>
    <m/>
    <n v="2019"/>
    <s v="CGMMMTW19000"/>
    <s v="Renovation Office Building 04"/>
    <m/>
    <n v="23674"/>
    <m/>
    <n v="384039628"/>
    <n v="0"/>
    <n v="144130000"/>
    <n v="251770000"/>
    <n v="-11860372"/>
    <m/>
    <n v="23674"/>
    <n v="0"/>
    <n v="8884.8477376402425"/>
    <n v="15520.281099741092"/>
    <n v="-731.12883738133394"/>
    <m/>
    <m/>
    <s v="A"/>
  </r>
  <r>
    <m/>
    <m/>
    <x v="0"/>
    <x v="0"/>
    <x v="0"/>
    <m/>
    <m/>
    <m/>
    <s v="PMO &amp; Design"/>
    <m/>
    <n v="0"/>
    <m/>
    <n v="0"/>
    <m/>
    <m/>
    <m/>
    <m/>
    <m/>
    <n v="0"/>
    <m/>
    <m/>
    <m/>
    <m/>
    <m/>
    <d v="2019-03-01T00:00:00"/>
    <m/>
  </r>
  <r>
    <m/>
    <m/>
    <x v="0"/>
    <x v="0"/>
    <x v="0"/>
    <m/>
    <m/>
    <m/>
    <s v="Construction Building 04"/>
    <m/>
    <n v="23674"/>
    <m/>
    <n v="384039628"/>
    <m/>
    <m/>
    <m/>
    <m/>
    <m/>
    <n v="23674"/>
    <m/>
    <m/>
    <m/>
    <m/>
    <m/>
    <d v="2019-05-01T00:00:00"/>
    <m/>
  </r>
  <r>
    <m/>
    <m/>
    <x v="0"/>
    <x v="0"/>
    <x v="0"/>
    <m/>
    <m/>
    <m/>
    <s v="Building 4 Training Center &amp; Facility"/>
    <m/>
    <n v="0"/>
    <m/>
    <n v="0"/>
    <m/>
    <m/>
    <m/>
    <m/>
    <m/>
    <n v="0"/>
    <m/>
    <m/>
    <m/>
    <m/>
    <m/>
    <d v="2019-07-01T00:00:00"/>
    <m/>
  </r>
  <r>
    <m/>
    <s v="W2"/>
    <x v="1"/>
    <x v="9"/>
    <x v="2"/>
    <m/>
    <n v="2019"/>
    <s v="CGMMMTW19006"/>
    <s v="Renovation Office - Praying Room"/>
    <m/>
    <n v="0"/>
    <m/>
    <n v="0"/>
    <n v="0"/>
    <n v="0"/>
    <n v="0"/>
    <n v="0"/>
    <m/>
    <n v="0"/>
    <n v="0"/>
    <n v="0"/>
    <n v="0"/>
    <n v="0"/>
    <m/>
    <m/>
    <m/>
  </r>
  <r>
    <m/>
    <m/>
    <x v="0"/>
    <x v="0"/>
    <x v="0"/>
    <m/>
    <m/>
    <m/>
    <s v="PMO &amp; Design"/>
    <m/>
    <n v="0"/>
    <m/>
    <n v="0"/>
    <m/>
    <m/>
    <m/>
    <m/>
    <m/>
    <n v="0"/>
    <m/>
    <m/>
    <m/>
    <m/>
    <m/>
    <d v="2019-03-01T00:00:00"/>
    <m/>
  </r>
  <r>
    <m/>
    <m/>
    <x v="0"/>
    <x v="0"/>
    <x v="0"/>
    <m/>
    <m/>
    <m/>
    <s v="Musholla"/>
    <m/>
    <n v="0"/>
    <m/>
    <n v="0"/>
    <m/>
    <m/>
    <m/>
    <m/>
    <m/>
    <n v="0"/>
    <m/>
    <m/>
    <m/>
    <m/>
    <m/>
    <d v="2019-08-01T00:00:00"/>
    <m/>
  </r>
  <r>
    <m/>
    <s v="W2"/>
    <x v="1"/>
    <x v="10"/>
    <x v="2"/>
    <m/>
    <n v="2019"/>
    <s v="CGMMMTW19007"/>
    <s v="Star Logo"/>
    <m/>
    <n v="909.00000000000023"/>
    <m/>
    <n v="14745798.000000004"/>
    <n v="0"/>
    <n v="0"/>
    <n v="15195000"/>
    <n v="-449201.99999999627"/>
    <m/>
    <n v="909.00000000000023"/>
    <n v="0"/>
    <n v="0"/>
    <n v="936.69091357415857"/>
    <n v="-27.690913574158319"/>
    <m/>
    <d v="2019-08-01T00:00:00"/>
    <m/>
  </r>
  <r>
    <s v="Production"/>
    <m/>
    <x v="0"/>
    <x v="0"/>
    <x v="0"/>
    <m/>
    <m/>
    <m/>
    <s v="OFFICE RENOVATION"/>
    <m/>
    <n v="24583"/>
    <m/>
    <n v="398785426"/>
    <n v="0"/>
    <n v="144130000"/>
    <n v="266965000"/>
    <n v="-12309573.999999996"/>
    <m/>
    <n v="24583"/>
    <n v="0"/>
    <n v="8884.8477376402425"/>
    <n v="16456.972013315251"/>
    <n v="-758.81975095549228"/>
    <m/>
    <m/>
    <m/>
  </r>
  <r>
    <m/>
    <m/>
    <x v="0"/>
    <x v="0"/>
    <x v="0"/>
    <m/>
    <m/>
    <m/>
    <m/>
    <m/>
    <m/>
    <m/>
    <m/>
    <m/>
    <m/>
    <m/>
    <m/>
    <m/>
    <m/>
    <n v="0"/>
    <n v="0"/>
    <n v="0"/>
    <n v="0"/>
    <m/>
    <m/>
    <m/>
  </r>
  <r>
    <s v="020B"/>
    <s v="W2"/>
    <x v="1"/>
    <x v="1"/>
    <x v="4"/>
    <s v="Ari/Rumaji"/>
    <n v="2019"/>
    <s v="CGMMQPC19001"/>
    <s v="Tools &amp; Equipment Quality, Quality Tools PC ( SCS Digital Torques )"/>
    <m/>
    <n v="14430.000000000002"/>
    <m/>
    <n v="234083460.00000003"/>
    <n v="0"/>
    <n v="130996141"/>
    <n v="135045436"/>
    <n v="-31958116.99999997"/>
    <m/>
    <n v="14430.000000000002"/>
    <n v="0"/>
    <n v="8075.2152015781039"/>
    <n v="8324.8326963383061"/>
    <n v="-1970.0478979164079"/>
    <m/>
    <d v="2019-04-01T00:00:00"/>
    <s v="A"/>
  </r>
  <r>
    <s v="020B"/>
    <s v="W2"/>
    <x v="1"/>
    <x v="5"/>
    <x v="4"/>
    <s v="Ari/Rumaji"/>
    <n v="2019"/>
    <s v="CGMMQPC19002"/>
    <s v="Central QM Requirement "/>
    <m/>
    <n v="96200.000000000015"/>
    <m/>
    <n v="1560556400.0000002"/>
    <n v="304000000"/>
    <n v="1044631381"/>
    <n v="132180000"/>
    <n v="79745019.000000238"/>
    <m/>
    <n v="96200.000000000015"/>
    <n v="18739.982739489584"/>
    <n v="64395.967266674888"/>
    <n v="8148.1938108741215"/>
    <n v="4915.8561829614255"/>
    <m/>
    <d v="2019-03-01T00:00:00"/>
    <s v="A"/>
  </r>
  <r>
    <s v="023B"/>
    <s v="W2"/>
    <x v="1"/>
    <x v="6"/>
    <x v="4"/>
    <s v="Ari Abri"/>
    <n v="2019"/>
    <s v="CGMMQPC19003"/>
    <s v="Environment facility to fulfill regulation, RKL-RPL (Wanaherang Plant)"/>
    <m/>
    <n v="0"/>
    <m/>
    <n v="0"/>
    <n v="0"/>
    <n v="0"/>
    <n v="0"/>
    <n v="0"/>
    <m/>
    <n v="0"/>
    <n v="0"/>
    <n v="0"/>
    <n v="0"/>
    <n v="0"/>
    <m/>
    <m/>
    <s v="B"/>
  </r>
  <r>
    <s v="020B"/>
    <s v="W2"/>
    <x v="3"/>
    <x v="1"/>
    <x v="4"/>
    <s v="Ari/Rumaji"/>
    <n v="2019"/>
    <s v="EGMMQPC19001"/>
    <s v="Best Practice / Benchmarking"/>
    <m/>
    <n v="7215.0000000000009"/>
    <m/>
    <n v="117041730.00000001"/>
    <n v="16492125"/>
    <n v="0"/>
    <n v="39136012"/>
    <n v="61413593.000000015"/>
    <m/>
    <n v="7215.0000000000009"/>
    <n v="1016.6517692023178"/>
    <n v="0"/>
    <n v="2412.5269387251878"/>
    <n v="3785.821292072495"/>
    <m/>
    <d v="2019-03-01T00:00:00"/>
    <s v="A"/>
  </r>
  <r>
    <s v="Production"/>
    <m/>
    <x v="0"/>
    <x v="0"/>
    <x v="0"/>
    <m/>
    <m/>
    <m/>
    <s v="PC-Quality"/>
    <m/>
    <n v="117845.00000000001"/>
    <m/>
    <n v="1911681590.0000002"/>
    <n v="320492125"/>
    <n v="1175627522"/>
    <n v="306361448"/>
    <n v="109200495.00000024"/>
    <m/>
    <n v="117845.00000000001"/>
    <n v="19756.634508691899"/>
    <n v="72471.182468252984"/>
    <n v="18885.553445937614"/>
    <n v="6731.6295771175091"/>
    <m/>
    <m/>
    <n v="0"/>
  </r>
  <r>
    <m/>
    <m/>
    <x v="0"/>
    <x v="0"/>
    <x v="0"/>
    <m/>
    <m/>
    <m/>
    <m/>
    <m/>
    <m/>
    <m/>
    <m/>
    <m/>
    <m/>
    <m/>
    <m/>
    <m/>
    <m/>
    <n v="0"/>
    <n v="0"/>
    <n v="0"/>
    <n v="0"/>
    <m/>
    <m/>
    <m/>
  </r>
  <r>
    <s v="031B"/>
    <s v="W3"/>
    <x v="1"/>
    <x v="1"/>
    <x v="5"/>
    <s v="Hadi"/>
    <n v="2019"/>
    <s v="CGMMLOG19001"/>
    <s v="Forklift Diesel, Hand Held Barcode"/>
    <m/>
    <n v="26040"/>
    <m/>
    <n v="422420880"/>
    <n v="0"/>
    <n v="0"/>
    <n v="383102975"/>
    <n v="39317905"/>
    <m/>
    <n v="26040"/>
    <n v="0"/>
    <n v="0"/>
    <n v="23616.260325483912"/>
    <n v="2423.7396745160891"/>
    <m/>
    <d v="2019-06-01T00:00:00"/>
    <s v="A"/>
  </r>
  <r>
    <s v="031B"/>
    <s v="W3"/>
    <x v="1"/>
    <x v="5"/>
    <x v="5"/>
    <s v="Hadi"/>
    <n v="2019"/>
    <s v="CGMMLOG19002"/>
    <s v="Towing Electric, Towing Gasoline"/>
    <m/>
    <n v="16800"/>
    <m/>
    <n v="272529600"/>
    <n v="0"/>
    <n v="0"/>
    <n v="318750000"/>
    <n v="-46220400"/>
    <m/>
    <n v="16800"/>
    <n v="0"/>
    <n v="0"/>
    <n v="19649.241770435212"/>
    <n v="-2849.2417704352115"/>
    <m/>
    <d v="2019-02-01T00:00:00"/>
    <s v="A"/>
  </r>
  <r>
    <s v="Production"/>
    <m/>
    <x v="0"/>
    <x v="0"/>
    <x v="0"/>
    <m/>
    <m/>
    <m/>
    <s v="PC-Logistics"/>
    <m/>
    <n v="42840"/>
    <m/>
    <n v="694950480"/>
    <n v="0"/>
    <n v="0"/>
    <n v="701852975"/>
    <n v="-6902495"/>
    <m/>
    <n v="42840"/>
    <n v="0"/>
    <n v="0"/>
    <n v="43265.502095919124"/>
    <n v="-425.50209591912216"/>
    <m/>
    <m/>
    <n v="0"/>
  </r>
  <r>
    <m/>
    <m/>
    <x v="0"/>
    <x v="0"/>
    <x v="0"/>
    <m/>
    <m/>
    <m/>
    <m/>
    <m/>
    <m/>
    <m/>
    <m/>
    <m/>
    <m/>
    <m/>
    <m/>
    <m/>
    <m/>
    <n v="0"/>
    <n v="0"/>
    <n v="0"/>
    <n v="0"/>
    <m/>
    <m/>
    <m/>
  </r>
  <r>
    <s v="600B"/>
    <s v="W2"/>
    <x v="1"/>
    <x v="8"/>
    <x v="6"/>
    <s v="Tatik/ Wahyu/ Sasongko"/>
    <n v="2019"/>
    <s v="CGMMPRD19000"/>
    <s v="Softener Water Treatment, Deutronic, Renewal Helium Tank"/>
    <m/>
    <n v="36243"/>
    <m/>
    <n v="587933946"/>
    <n v="15000000"/>
    <n v="187785000"/>
    <n v="407248587"/>
    <n v="-22099641"/>
    <m/>
    <n v="36243"/>
    <n v="924.67020096165697"/>
    <n v="11575.946245838984"/>
    <n v="25104.708852176056"/>
    <n v="-1362.3252989766984"/>
    <m/>
    <m/>
    <s v="A"/>
  </r>
  <r>
    <m/>
    <m/>
    <x v="0"/>
    <x v="0"/>
    <x v="0"/>
    <m/>
    <m/>
    <m/>
    <s v="Softener Water Treatment"/>
    <m/>
    <n v="13377"/>
    <m/>
    <n v="217001694"/>
    <m/>
    <m/>
    <m/>
    <m/>
    <m/>
    <n v="13377"/>
    <m/>
    <m/>
    <m/>
    <m/>
    <m/>
    <d v="2019-02-01T00:00:00"/>
    <m/>
  </r>
  <r>
    <m/>
    <m/>
    <x v="0"/>
    <x v="0"/>
    <x v="0"/>
    <m/>
    <m/>
    <m/>
    <s v="Deutronic"/>
    <m/>
    <n v="10490"/>
    <m/>
    <n v="170168780"/>
    <m/>
    <m/>
    <m/>
    <m/>
    <m/>
    <n v="10490"/>
    <m/>
    <m/>
    <m/>
    <m/>
    <m/>
    <d v="2019-02-01T00:00:00"/>
    <m/>
  </r>
  <r>
    <m/>
    <m/>
    <x v="0"/>
    <x v="0"/>
    <x v="0"/>
    <m/>
    <m/>
    <m/>
    <s v="Renewal Helium Tank"/>
    <m/>
    <n v="12376"/>
    <m/>
    <n v="200763472"/>
    <m/>
    <m/>
    <m/>
    <m/>
    <m/>
    <n v="12376"/>
    <m/>
    <m/>
    <m/>
    <m/>
    <m/>
    <d v="2019-02-01T00:00:00"/>
    <m/>
  </r>
  <r>
    <n v="6321"/>
    <s v="W2"/>
    <x v="1"/>
    <x v="1"/>
    <x v="6"/>
    <s v="Tatik"/>
    <n v="2019"/>
    <s v="CGMMPRD19001"/>
    <s v="Improvement &amp; Renewal Tools at APC-1 Trimming 01 (Cordless Screwdriver, EC Screwdriver, Digital Torque Wrench)"/>
    <m/>
    <n v="0"/>
    <m/>
    <n v="0"/>
    <n v="0"/>
    <n v="0"/>
    <n v="0"/>
    <n v="0"/>
    <m/>
    <n v="0"/>
    <n v="0"/>
    <n v="0"/>
    <n v="0"/>
    <n v="0"/>
    <m/>
    <d v="2019-03-01T00:00:00"/>
    <s v="A"/>
  </r>
  <r>
    <n v="6322"/>
    <s v="W2"/>
    <x v="1"/>
    <x v="5"/>
    <x v="6"/>
    <s v="Wahyu"/>
    <n v="2019"/>
    <s v="CGMMPRD19002"/>
    <s v="Improvement &amp; Renewal Tools at APC-2 Trimming 02  (Cordless Screwdriver, EC Screwdriver, Digital Torque Wrench)"/>
    <m/>
    <n v="1432.0000000000002"/>
    <m/>
    <n v="23229904.000000004"/>
    <n v="0"/>
    <n v="0"/>
    <n v="33450000"/>
    <n v="-10220095.999999996"/>
    <m/>
    <n v="1432.0000000000002"/>
    <n v="0"/>
    <n v="0"/>
    <n v="2062.0145481444952"/>
    <n v="-630.01454814449494"/>
    <m/>
    <d v="2019-03-01T00:00:00"/>
    <s v="A"/>
  </r>
  <r>
    <n v="6326"/>
    <s v="W2"/>
    <x v="1"/>
    <x v="6"/>
    <x v="6"/>
    <s v="Sasongko"/>
    <n v="2019"/>
    <s v="CGMMPRD19003"/>
    <s v="Improvement &amp; Renewal Tools at Rectification and Testing Line (Cordless Screwdriver, EC Screwdriver, Digital Torque Wrench)"/>
    <m/>
    <n v="2691"/>
    <m/>
    <n v="43653402"/>
    <n v="0"/>
    <n v="0"/>
    <n v="45000000"/>
    <n v="-1346598"/>
    <m/>
    <n v="2691"/>
    <n v="0"/>
    <n v="0"/>
    <n v="2774.0106028849709"/>
    <n v="-83.010602884971021"/>
    <m/>
    <d v="2019-04-01T00:00:00"/>
    <s v="A"/>
  </r>
  <r>
    <n v="6328"/>
    <s v="W2"/>
    <x v="1"/>
    <x v="7"/>
    <x v="6"/>
    <s v="Sasongko"/>
    <n v="2019"/>
    <s v="CGMMPRD19004"/>
    <s v="Improvement &amp; Renewal Tools at Engine Assy and Power Train (Cordless Screwdriver, EC Screwdriver, Digital Torque Wrench)"/>
    <m/>
    <n v="0"/>
    <m/>
    <n v="0"/>
    <n v="0"/>
    <n v="0"/>
    <n v="0"/>
    <n v="0"/>
    <m/>
    <n v="0"/>
    <n v="0"/>
    <n v="0"/>
    <n v="0"/>
    <n v="0"/>
    <m/>
    <d v="2019-04-01T00:00:00"/>
    <s v="A"/>
  </r>
  <r>
    <s v="600B"/>
    <s v="W2"/>
    <x v="3"/>
    <x v="8"/>
    <x v="6"/>
    <s v="All DM"/>
    <n v="2019"/>
    <s v="EGMMPRD19000"/>
    <s v="One time cost"/>
    <m/>
    <n v="1000"/>
    <m/>
    <n v="16222000"/>
    <n v="0"/>
    <n v="0"/>
    <n v="0"/>
    <n v="16222000"/>
    <m/>
    <n v="1000"/>
    <n v="0"/>
    <n v="0"/>
    <n v="0"/>
    <n v="1000"/>
    <m/>
    <d v="2019-02-01T00:00:00"/>
    <s v="A"/>
  </r>
  <r>
    <s v="Production"/>
    <m/>
    <x v="0"/>
    <x v="0"/>
    <x v="0"/>
    <m/>
    <m/>
    <m/>
    <s v="PC-Assembly Line "/>
    <m/>
    <n v="41366"/>
    <m/>
    <n v="671039252"/>
    <n v="15000000"/>
    <n v="187785000"/>
    <n v="485698587"/>
    <n v="-17444335"/>
    <m/>
    <n v="41366"/>
    <n v="924.67020096165697"/>
    <n v="11575.946245838984"/>
    <n v="29940.734003205522"/>
    <n v="-1075.3504500061645"/>
    <m/>
    <m/>
    <n v="0"/>
  </r>
  <r>
    <m/>
    <m/>
    <x v="0"/>
    <x v="0"/>
    <x v="0"/>
    <m/>
    <m/>
    <m/>
    <m/>
    <m/>
    <m/>
    <m/>
    <m/>
    <m/>
    <m/>
    <m/>
    <m/>
    <m/>
    <m/>
    <n v="0"/>
    <n v="0"/>
    <n v="0"/>
    <n v="0"/>
    <m/>
    <m/>
    <m/>
  </r>
  <r>
    <n v="5500"/>
    <s v="W1"/>
    <x v="3"/>
    <x v="1"/>
    <x v="7"/>
    <s v="Ruli"/>
    <n v="2019"/>
    <s v="EGMMEPC19001"/>
    <s v="Best Practice - one time cost"/>
    <m/>
    <n v="42885"/>
    <m/>
    <n v="695680470"/>
    <n v="10193916"/>
    <n v="0"/>
    <n v="204350077"/>
    <n v="481136477"/>
    <m/>
    <n v="42885"/>
    <n v="628.40069042041671"/>
    <n v="0"/>
    <n v="12597.095117741339"/>
    <n v="29659.504191838245"/>
    <m/>
    <d v="2019-08-01T00:00:00"/>
    <s v="A"/>
  </r>
  <r>
    <s v="550B"/>
    <s v="W1"/>
    <x v="3"/>
    <x v="5"/>
    <x v="7"/>
    <s v="Ruli"/>
    <n v="2019"/>
    <s v="EGMMEPC19002"/>
    <s v="Supporting activities (TA/TE-allocation) by MO/PCNP "/>
    <m/>
    <n v="140070"/>
    <m/>
    <n v="2272215540"/>
    <n v="14050000"/>
    <n v="714908300"/>
    <n v="845628785"/>
    <n v="697628455"/>
    <m/>
    <n v="140070"/>
    <n v="866.10775490075207"/>
    <n v="44070.293428677105"/>
    <n v="52128.515904327454"/>
    <n v="43005.082912094687"/>
    <m/>
    <m/>
    <s v="A"/>
  </r>
  <r>
    <m/>
    <m/>
    <x v="0"/>
    <x v="0"/>
    <x v="0"/>
    <m/>
    <m/>
    <m/>
    <s v="MPS Q1 - Pranav"/>
    <m/>
    <n v="70035"/>
    <m/>
    <n v="1136107770"/>
    <m/>
    <m/>
    <m/>
    <m/>
    <m/>
    <n v="70035"/>
    <m/>
    <m/>
    <m/>
    <m/>
    <m/>
    <d v="2019-02-01T00:00:00"/>
    <m/>
  </r>
  <r>
    <m/>
    <m/>
    <x v="0"/>
    <x v="0"/>
    <x v="0"/>
    <m/>
    <m/>
    <m/>
    <s v="MPS Q2 - Pranav"/>
    <m/>
    <n v="70035"/>
    <m/>
    <n v="1136107770"/>
    <m/>
    <m/>
    <m/>
    <m/>
    <m/>
    <n v="70035"/>
    <m/>
    <m/>
    <m/>
    <m/>
    <m/>
    <d v="2019-03-01T00:00:00"/>
    <m/>
  </r>
  <r>
    <s v="550B"/>
    <s v="W1"/>
    <x v="3"/>
    <x v="1"/>
    <x v="8"/>
    <s v="Woro"/>
    <n v="2019"/>
    <s v="EGMMENG19001"/>
    <s v="Green Belt / Black Belt Qualification and Training Program"/>
    <m/>
    <n v="0"/>
    <m/>
    <n v="0"/>
    <n v="0"/>
    <n v="0"/>
    <n v="0"/>
    <n v="0"/>
    <m/>
    <n v="0"/>
    <n v="0"/>
    <n v="0"/>
    <n v="0"/>
    <n v="0"/>
    <m/>
    <d v="2019-07-01T00:00:00"/>
    <s v="A"/>
  </r>
  <r>
    <n v="5500"/>
    <s v="W1"/>
    <x v="3"/>
    <x v="5"/>
    <x v="8"/>
    <s v="Adhi"/>
    <n v="2019"/>
    <s v="EGMMENG19002"/>
    <s v="One Time Cost for Preparation CKD Scheme"/>
    <m/>
    <n v="29413.392"/>
    <m/>
    <n v="477144045.02399999"/>
    <n v="0"/>
    <n v="726800000"/>
    <n v="0"/>
    <n v="-249655954.97600001"/>
    <m/>
    <n v="29413.392"/>
    <n v="0"/>
    <n v="44803.353470595488"/>
    <n v="0"/>
    <n v="-15389.961470595488"/>
    <m/>
    <d v="2019-02-01T00:00:00"/>
    <s v="A"/>
  </r>
  <r>
    <s v="550B"/>
    <s v="W1"/>
    <x v="1"/>
    <x v="1"/>
    <x v="8"/>
    <s v="Adhi"/>
    <n v="2019"/>
    <s v="CGMMENG19001"/>
    <s v="Statutory - Legatrix Application"/>
    <m/>
    <n v="52640"/>
    <m/>
    <n v="853926080"/>
    <n v="0"/>
    <n v="349013500"/>
    <n v="0"/>
    <n v="504912580"/>
    <m/>
    <n v="52640"/>
    <n v="0"/>
    <n v="21514.825545555417"/>
    <n v="0"/>
    <n v="31125.174454444583"/>
    <m/>
    <d v="2019-01-01T00:00:00"/>
    <s v="A"/>
  </r>
  <r>
    <s v="550B"/>
    <s v="W1"/>
    <x v="1"/>
    <x v="5"/>
    <x v="8"/>
    <s v="Adhi"/>
    <n v="2019"/>
    <s v="CGMMENG19002"/>
    <s v="Best Practice &amp; MPS Activities"/>
    <m/>
    <n v="50620"/>
    <m/>
    <n v="821157640"/>
    <n v="0"/>
    <n v="0"/>
    <n v="499586246"/>
    <n v="321571394"/>
    <m/>
    <n v="50620"/>
    <n v="0"/>
    <n v="0"/>
    <n v="30796.834299099988"/>
    <n v="19823.165700900012"/>
    <m/>
    <d v="2019-03-01T00:00:00"/>
    <s v="A"/>
  </r>
  <r>
    <s v="Production"/>
    <m/>
    <x v="0"/>
    <x v="0"/>
    <x v="0"/>
    <m/>
    <m/>
    <m/>
    <s v="PC - Engineering "/>
    <m/>
    <n v="315628.39199999999"/>
    <m/>
    <n v="5120123775.0240002"/>
    <n v="24243916"/>
    <n v="1790721800"/>
    <n v="1549565108"/>
    <n v="1755592951.0239999"/>
    <m/>
    <n v="315628.39199999999"/>
    <n v="1494.5084453211689"/>
    <n v="110388.47244482802"/>
    <n v="95522.44532116878"/>
    <n v="108222.96578868204"/>
    <m/>
    <m/>
    <n v="0"/>
  </r>
  <r>
    <m/>
    <m/>
    <x v="0"/>
    <x v="0"/>
    <x v="0"/>
    <m/>
    <m/>
    <m/>
    <m/>
    <m/>
    <m/>
    <m/>
    <m/>
    <m/>
    <m/>
    <m/>
    <m/>
    <m/>
    <m/>
    <n v="0"/>
    <n v="0"/>
    <n v="0"/>
    <n v="0"/>
    <m/>
    <m/>
    <m/>
  </r>
  <r>
    <n v="5500"/>
    <s v="X1"/>
    <x v="1"/>
    <x v="11"/>
    <x v="9"/>
    <s v="Woro"/>
    <n v="2019"/>
    <s v="CGMM2019V177"/>
    <s v="V177 - A Class"/>
    <m/>
    <n v="368000"/>
    <m/>
    <n v="5969696000"/>
    <n v="0"/>
    <n v="2177664395"/>
    <n v="0"/>
    <n v="3792031605"/>
    <m/>
    <n v="368000"/>
    <n v="0"/>
    <n v="134241.42491677968"/>
    <n v="0"/>
    <n v="233758.57508322032"/>
    <m/>
    <d v="2019-10-01T00:00:00"/>
    <s v="A"/>
  </r>
  <r>
    <n v="5500"/>
    <s v="X1"/>
    <x v="1"/>
    <x v="12"/>
    <x v="9"/>
    <s v="Woro"/>
    <n v="2019"/>
    <s v="CGMM2019X167"/>
    <s v="X167 - GLS"/>
    <m/>
    <n v="250000"/>
    <m/>
    <n v="4055500000"/>
    <n v="2017372569"/>
    <n v="449419711"/>
    <n v="2050758118"/>
    <n v="-462050398"/>
    <m/>
    <n v="250000"/>
    <n v="124360.28658611763"/>
    <n v="27704.334299099988"/>
    <n v="126418.32807298731"/>
    <n v="-28482.948958204906"/>
    <m/>
    <d v="2019-09-01T00:00:00"/>
    <s v="A"/>
  </r>
  <r>
    <n v="5500"/>
    <s v="X1"/>
    <x v="1"/>
    <x v="12"/>
    <x v="10"/>
    <s v="Woro"/>
    <n v="2019"/>
    <s v="CGMMLA19X167"/>
    <s v="X167 - GLS CKD Kits, tools &amp; equipments"/>
    <m/>
    <n v="100000"/>
    <m/>
    <n v="1622200000"/>
    <n v="264111279"/>
    <n v="351913510"/>
    <n v="92545908"/>
    <n v="913629303"/>
    <m/>
    <n v="100000"/>
    <n v="16281.055295278018"/>
    <n v="21693.59573418814"/>
    <n v="5704.9628899026011"/>
    <n v="56320.386080631244"/>
    <m/>
    <d v="2019-08-01T00:00:00"/>
    <s v="A"/>
  </r>
  <r>
    <n v="5500"/>
    <s v="X1"/>
    <x v="1"/>
    <x v="12"/>
    <x v="10"/>
    <s v="Woro"/>
    <n v="2019"/>
    <s v="CGMMLA19X167"/>
    <s v="Postponement to 2020"/>
    <m/>
    <n v="0"/>
    <m/>
    <n v="0"/>
    <m/>
    <m/>
    <m/>
    <n v="0"/>
    <m/>
    <n v="0"/>
    <n v="0"/>
    <n v="0"/>
    <n v="0"/>
    <n v="0"/>
    <m/>
    <d v="2019-09-01T00:00:00"/>
    <s v="B"/>
  </r>
  <r>
    <n v="5500"/>
    <s v="X1"/>
    <x v="1"/>
    <x v="13"/>
    <x v="9"/>
    <s v="Woro"/>
    <n v="2019"/>
    <s v="CGMM2019V167"/>
    <s v="V167 - GLE"/>
    <m/>
    <n v="1670000"/>
    <m/>
    <n v="27090740000"/>
    <n v="0"/>
    <n v="1977087557"/>
    <n v="21948270265"/>
    <n v="3165382178"/>
    <m/>
    <n v="1670000"/>
    <n v="0"/>
    <n v="121876.92990999877"/>
    <n v="1352994.098446554"/>
    <n v="195128.97164344718"/>
    <m/>
    <m/>
    <s v="A"/>
  </r>
  <r>
    <m/>
    <m/>
    <x v="0"/>
    <x v="0"/>
    <x v="0"/>
    <m/>
    <m/>
    <m/>
    <s v="New Marriage Station, Special Tools, etc"/>
    <m/>
    <n v="1000000"/>
    <m/>
    <n v="16222000000"/>
    <m/>
    <m/>
    <m/>
    <m/>
    <m/>
    <n v="1000000"/>
    <m/>
    <m/>
    <m/>
    <m/>
    <m/>
    <d v="2018-12-31T00:00:00"/>
    <m/>
  </r>
  <r>
    <m/>
    <m/>
    <x v="0"/>
    <x v="0"/>
    <x v="0"/>
    <m/>
    <m/>
    <m/>
    <s v="Pilot Line, Standard Tools, etc"/>
    <m/>
    <n v="670000"/>
    <m/>
    <n v="10868740000"/>
    <m/>
    <m/>
    <m/>
    <m/>
    <m/>
    <n v="670000"/>
    <m/>
    <m/>
    <m/>
    <m/>
    <m/>
    <d v="2019-05-01T00:00:00"/>
    <m/>
  </r>
  <r>
    <n v="5500"/>
    <s v="X1"/>
    <x v="1"/>
    <x v="13"/>
    <x v="10"/>
    <s v="Woro"/>
    <n v="2019"/>
    <s v="CGMMLA19V167"/>
    <s v="V167 - GLE CBU Cars, tools &amp; equipments"/>
    <m/>
    <n v="100000"/>
    <m/>
    <n v="1622200000"/>
    <n v="1455545000"/>
    <n v="0"/>
    <n v="0"/>
    <n v="166655000"/>
    <m/>
    <n v="100000"/>
    <n v="89726.605843915677"/>
    <n v="0"/>
    <n v="0"/>
    <n v="10273.39415608433"/>
    <m/>
    <d v="2018-12-31T00:00:00"/>
    <s v="A"/>
  </r>
  <r>
    <n v="5500"/>
    <s v="X1"/>
    <x v="1"/>
    <x v="14"/>
    <x v="9"/>
    <s v="Woro"/>
    <n v="2019"/>
    <s v="CGMM2019M264"/>
    <s v="M264 - Engine"/>
    <m/>
    <n v="1090000"/>
    <m/>
    <n v="17681980000"/>
    <n v="291175500"/>
    <n v="1551190914"/>
    <n v="12189544791"/>
    <n v="3650068795"/>
    <m/>
    <n v="1090000"/>
    <n v="17949.420540007399"/>
    <n v="95622.667611885088"/>
    <n v="751420.58876833925"/>
    <n v="225007.32307976822"/>
    <m/>
    <m/>
    <s v="A"/>
  </r>
  <r>
    <m/>
    <m/>
    <x v="0"/>
    <x v="0"/>
    <x v="0"/>
    <m/>
    <m/>
    <m/>
    <s v="Special Tools, ETB Adaptation"/>
    <m/>
    <n v="350000"/>
    <m/>
    <n v="5677700000"/>
    <m/>
    <m/>
    <m/>
    <m/>
    <m/>
    <n v="350000"/>
    <m/>
    <m/>
    <m/>
    <m/>
    <m/>
    <d v="2018-12-31T00:00:00"/>
    <m/>
  </r>
  <r>
    <m/>
    <m/>
    <x v="0"/>
    <x v="0"/>
    <x v="0"/>
    <m/>
    <m/>
    <m/>
    <s v="Standard Tools, Equipment Part 1"/>
    <m/>
    <n v="390000"/>
    <m/>
    <n v="6326580000"/>
    <m/>
    <m/>
    <m/>
    <m/>
    <m/>
    <n v="390000"/>
    <m/>
    <m/>
    <m/>
    <m/>
    <m/>
    <d v="2019-08-01T00:00:00"/>
    <m/>
  </r>
  <r>
    <m/>
    <m/>
    <x v="0"/>
    <x v="0"/>
    <x v="0"/>
    <m/>
    <m/>
    <m/>
    <s v="Standard Tools, Equipment Contingency"/>
    <m/>
    <n v="350000"/>
    <m/>
    <n v="5677700000"/>
    <m/>
    <m/>
    <m/>
    <m/>
    <m/>
    <n v="350000"/>
    <m/>
    <m/>
    <m/>
    <m/>
    <m/>
    <d v="2019-07-01T00:00:00"/>
    <m/>
  </r>
  <r>
    <n v="5500"/>
    <s v="X1"/>
    <x v="1"/>
    <x v="15"/>
    <x v="9"/>
    <s v="Woro"/>
    <n v="2019"/>
    <s v="CGMM2019W213"/>
    <s v="W213 - E Class"/>
    <m/>
    <n v="15000"/>
    <m/>
    <n v="243330000"/>
    <n v="0"/>
    <n v="0"/>
    <n v="199298142"/>
    <n v="44031858"/>
    <m/>
    <n v="15000"/>
    <n v="0"/>
    <n v="0"/>
    <n v="12285.670200961657"/>
    <n v="2714.329799038343"/>
    <m/>
    <d v="2019-08-01T00:00:00"/>
    <s v="A"/>
  </r>
  <r>
    <n v="5500"/>
    <s v="X1"/>
    <x v="1"/>
    <x v="16"/>
    <x v="9"/>
    <s v="Woro"/>
    <n v="2019"/>
    <s v="CGMM2019V222"/>
    <s v="V222 - S Class"/>
    <m/>
    <n v="15000"/>
    <m/>
    <n v="243330000"/>
    <n v="0"/>
    <n v="0"/>
    <n v="0"/>
    <n v="243330000"/>
    <m/>
    <n v="15000"/>
    <n v="0"/>
    <n v="0"/>
    <n v="0"/>
    <n v="15000"/>
    <m/>
    <d v="2019-08-01T00:00:00"/>
    <s v="A"/>
  </r>
  <r>
    <n v="5500"/>
    <s v="X1"/>
    <x v="1"/>
    <x v="17"/>
    <x v="9"/>
    <s v="Woro"/>
    <n v="2019"/>
    <s v="CGMM2019W205"/>
    <s v="W205 - C Class"/>
    <m/>
    <n v="15000"/>
    <m/>
    <n v="243330000"/>
    <n v="0"/>
    <n v="0"/>
    <n v="120576554"/>
    <n v="122753446"/>
    <m/>
    <n v="15000"/>
    <n v="0"/>
    <n v="0"/>
    <n v="7432.9030945629393"/>
    <n v="7567.0969054370607"/>
    <m/>
    <d v="2019-08-01T00:00:00"/>
    <s v="A"/>
  </r>
  <r>
    <n v="5500"/>
    <s v="X1"/>
    <x v="1"/>
    <x v="18"/>
    <x v="9"/>
    <s v="Woro"/>
    <n v="2019"/>
    <s v="CGMM2019X253"/>
    <s v="X253 - GLC"/>
    <m/>
    <n v="15000"/>
    <m/>
    <n v="243330000"/>
    <n v="0"/>
    <n v="207560000"/>
    <n v="163800880"/>
    <n v="-128030880"/>
    <m/>
    <n v="15000"/>
    <n v="0"/>
    <n v="12794.969794106768"/>
    <n v="10097.452841819751"/>
    <n v="-7892.4226359265194"/>
    <m/>
    <d v="2019-08-01T00:00:00"/>
    <s v="A"/>
  </r>
  <r>
    <s v="Production"/>
    <m/>
    <x v="0"/>
    <x v="0"/>
    <x v="0"/>
    <m/>
    <m/>
    <m/>
    <s v="Investment Product"/>
    <m/>
    <n v="3638000"/>
    <m/>
    <n v="103788356000"/>
    <n v="4028204348"/>
    <n v="6714836087"/>
    <n v="36672248750"/>
    <n v="11507800907"/>
    <m/>
    <n v="6398000"/>
    <n v="248317.36826531874"/>
    <n v="413933.92226605839"/>
    <n v="2266354.0043151276"/>
    <n v="709394.70515349531"/>
    <m/>
    <m/>
    <n v="0"/>
  </r>
  <r>
    <m/>
    <m/>
    <x v="0"/>
    <x v="0"/>
    <x v="0"/>
    <m/>
    <m/>
    <m/>
    <m/>
    <m/>
    <m/>
    <m/>
    <n v="0"/>
    <m/>
    <m/>
    <m/>
    <m/>
    <m/>
    <m/>
    <n v="0"/>
    <n v="0"/>
    <n v="0"/>
    <n v="0"/>
    <m/>
    <m/>
    <m/>
  </r>
  <r>
    <n v="5500"/>
    <s v="Z6"/>
    <x v="3"/>
    <x v="15"/>
    <x v="9"/>
    <s v="Woro"/>
    <n v="2019"/>
    <s v="EGMM0019W213"/>
    <s v="W213 - Alteration"/>
    <m/>
    <n v="5000"/>
    <m/>
    <n v="81110000"/>
    <n v="1107000"/>
    <n v="0"/>
    <n v="79960705"/>
    <n v="42295"/>
    <m/>
    <n v="5000"/>
    <n v="68.240660830970285"/>
    <n v="0"/>
    <n v="4929.1520774257178"/>
    <n v="2.6072617433115521"/>
    <m/>
    <d v="2019-06-01T00:00:00"/>
    <s v="A"/>
  </r>
  <r>
    <n v="5500"/>
    <s v="Z6"/>
    <x v="3"/>
    <x v="16"/>
    <x v="9"/>
    <s v="Woro"/>
    <n v="2019"/>
    <s v="EGMM0019V222"/>
    <s v="V222 - Alteration"/>
    <m/>
    <n v="5000"/>
    <m/>
    <n v="81110000"/>
    <n v="25562054"/>
    <n v="0"/>
    <n v="70688780"/>
    <n v="-15140834"/>
    <m/>
    <n v="5000"/>
    <n v="1575.7646406115152"/>
    <n v="0"/>
    <n v="4357.5872272222905"/>
    <n v="-933.35186783380595"/>
    <m/>
    <d v="2019-06-01T00:00:00"/>
    <s v="A"/>
  </r>
  <r>
    <n v="5500"/>
    <s v="Z6"/>
    <x v="3"/>
    <x v="17"/>
    <x v="9"/>
    <s v="Woro"/>
    <n v="2019"/>
    <s v="EGMM0019W205"/>
    <s v="W205 - Alteration"/>
    <m/>
    <n v="5000"/>
    <m/>
    <n v="81110000"/>
    <n v="12310539"/>
    <n v="0"/>
    <n v="90770790"/>
    <n v="-21971329"/>
    <m/>
    <n v="5000"/>
    <n v="758.87923807175446"/>
    <n v="0"/>
    <n v="5595.5363087165579"/>
    <n v="-1354.4155467883122"/>
    <m/>
    <d v="2019-08-01T00:00:00"/>
    <s v="A"/>
  </r>
  <r>
    <n v="5500"/>
    <s v="Z6"/>
    <x v="3"/>
    <x v="19"/>
    <x v="11"/>
    <s v="Woro"/>
    <n v="2019"/>
    <s v="EGMMTE19W206"/>
    <s v="W206 - TE"/>
    <m/>
    <n v="24817"/>
    <m/>
    <n v="402581374"/>
    <n v="0"/>
    <n v="0"/>
    <n v="0"/>
    <n v="402581374"/>
    <m/>
    <n v="24817"/>
    <n v="0"/>
    <n v="0"/>
    <n v="0"/>
    <n v="24817"/>
    <m/>
    <d v="2019-09-01T00:00:00"/>
    <s v="A"/>
  </r>
  <r>
    <n v="5500"/>
    <s v="Z6"/>
    <x v="3"/>
    <x v="18"/>
    <x v="9"/>
    <s v="Woro"/>
    <n v="2019"/>
    <s v="EGMM0019X253"/>
    <s v="X253 - TA MoPf"/>
    <m/>
    <n v="0"/>
    <m/>
    <n v="0"/>
    <n v="8019500"/>
    <n v="0"/>
    <n v="41522136"/>
    <n v="-49541636"/>
    <m/>
    <n v="0"/>
    <n v="494.35951177413386"/>
    <n v="0"/>
    <n v="2559.6187892984835"/>
    <n v="-3053.9783010726173"/>
    <m/>
    <d v="2019-06-01T00:00:00"/>
    <s v="A"/>
  </r>
  <r>
    <n v="5500"/>
    <s v="Z6"/>
    <x v="3"/>
    <x v="14"/>
    <x v="9"/>
    <s v="Woro"/>
    <n v="2019"/>
    <s v="EGMM0019M264"/>
    <s v="M264 - TA Engine"/>
    <m/>
    <n v="190000"/>
    <m/>
    <n v="3082180000"/>
    <n v="80808283"/>
    <n v="469303289"/>
    <n v="2494852313"/>
    <n v="37216115"/>
    <m/>
    <n v="190000"/>
    <n v="4981.4007520650966"/>
    <n v="28930.051103439771"/>
    <n v="153794.37264209098"/>
    <n v="2294.1755024041427"/>
    <m/>
    <d v="2019-02-01T00:00:00"/>
    <s v="A"/>
  </r>
  <r>
    <n v="5500"/>
    <s v="Z6"/>
    <x v="3"/>
    <x v="20"/>
    <x v="9"/>
    <s v="Woro"/>
    <n v="2019"/>
    <s v="EGMM0019H247"/>
    <s v="H247 - TE"/>
    <m/>
    <n v="154000"/>
    <m/>
    <n v="2498188000"/>
    <n v="0"/>
    <n v="2465386000"/>
    <n v="0"/>
    <n v="32802000"/>
    <m/>
    <n v="154000"/>
    <n v="0"/>
    <n v="151977.93120453705"/>
    <n v="0"/>
    <n v="2022.0687954629516"/>
    <m/>
    <d v="2019-06-01T00:00:00"/>
    <s v="A"/>
  </r>
  <r>
    <n v="5500"/>
    <s v="Z6"/>
    <x v="3"/>
    <x v="13"/>
    <x v="9"/>
    <s v="Woro"/>
    <n v="2019"/>
    <s v="EGMM0019V167"/>
    <s v="V167 - One time cost "/>
    <m/>
    <n v="1500"/>
    <m/>
    <n v="24333000"/>
    <n v="47020298"/>
    <n v="91894688"/>
    <n v="2392926368"/>
    <n v="-2507508354"/>
    <m/>
    <n v="1500"/>
    <n v="2898.5512267291333"/>
    <n v="5664.8186413512512"/>
    <n v="147511.18037233388"/>
    <n v="-154574.55024041425"/>
    <m/>
    <d v="2019-04-01T00:00:00"/>
    <s v="A"/>
  </r>
  <r>
    <n v="5500"/>
    <s v="Z6"/>
    <x v="3"/>
    <x v="13"/>
    <x v="12"/>
    <s v="Woro"/>
    <n v="2019"/>
    <s v="EGMMTA19V167"/>
    <s v="V167 -TA"/>
    <m/>
    <n v="185000"/>
    <m/>
    <n v="3001070000"/>
    <n v="0"/>
    <n v="2960160154"/>
    <n v="0"/>
    <n v="40909846"/>
    <m/>
    <n v="185000"/>
    <n v="0"/>
    <n v="182478.12563185798"/>
    <n v="0"/>
    <n v="2521.8743681420292"/>
    <m/>
    <d v="2019-08-01T00:00:00"/>
    <s v="A"/>
  </r>
  <r>
    <n v="5500"/>
    <s v="Z6"/>
    <x v="3"/>
    <x v="13"/>
    <x v="10"/>
    <s v="Woro"/>
    <n v="2019"/>
    <s v="EGMMLA19V167"/>
    <s v="V167 - Local A-Team, Special Tools"/>
    <m/>
    <n v="100000"/>
    <m/>
    <n v="1622200000"/>
    <n v="30000000"/>
    <n v="4545754"/>
    <n v="1033718227"/>
    <n v="553936019"/>
    <m/>
    <n v="100000"/>
    <n v="1849.3404019233139"/>
    <n v="280.22155098015043"/>
    <n v="63723.229379854522"/>
    <n v="34147.208667242019"/>
    <m/>
    <d v="2019-06-01T00:00:00"/>
    <s v="A"/>
  </r>
  <r>
    <n v="5500"/>
    <s v="Z6"/>
    <x v="3"/>
    <x v="11"/>
    <x v="9"/>
    <s v="Woro"/>
    <n v="2019"/>
    <s v="EGMM0019V177"/>
    <s v="V177 - TE"/>
    <m/>
    <n v="253700"/>
    <m/>
    <n v="4115521400"/>
    <n v="0"/>
    <n v="3824156378"/>
    <n v="15990622"/>
    <n v="275374400"/>
    <m/>
    <n v="253700"/>
    <n v="0"/>
    <n v="235738.8964369375"/>
    <n v="985.73677721612626"/>
    <n v="16975.366785846381"/>
    <m/>
    <d v="2019-07-01T00:00:00"/>
    <s v="A"/>
  </r>
  <r>
    <n v="5500"/>
    <s v="Z6"/>
    <x v="3"/>
    <x v="21"/>
    <x v="9"/>
    <s v="Woro"/>
    <n v="2019"/>
    <s v="EGMM0019V223"/>
    <s v="V223 - TE"/>
    <m/>
    <n v="0"/>
    <m/>
    <n v="0"/>
    <n v="0"/>
    <n v="0"/>
    <n v="0"/>
    <n v="0"/>
    <m/>
    <n v="0"/>
    <n v="0"/>
    <n v="0"/>
    <n v="0"/>
    <n v="0"/>
    <m/>
    <d v="2019-07-01T00:00:00"/>
    <s v="A"/>
  </r>
  <r>
    <n v="5500"/>
    <s v="Z6"/>
    <x v="3"/>
    <x v="12"/>
    <x v="9"/>
    <s v="Woro"/>
    <n v="2019"/>
    <s v="EGMM0019X167"/>
    <s v="X167 - One Time Cost"/>
    <m/>
    <n v="50000"/>
    <m/>
    <n v="811100000"/>
    <n v="25003460"/>
    <n v="106744044"/>
    <n v="216003750"/>
    <n v="463348746"/>
    <m/>
    <n v="50000"/>
    <n v="1541.3302921957836"/>
    <n v="6580.2024411293305"/>
    <n v="13315.482061398101"/>
    <n v="28562.985205276786"/>
    <m/>
    <d v="2019-04-01T00:00:00"/>
    <s v="A"/>
  </r>
  <r>
    <n v="5500"/>
    <s v="Z6"/>
    <x v="3"/>
    <x v="12"/>
    <x v="10"/>
    <s v="Woro"/>
    <n v="2019"/>
    <s v="EGMMLA19X167"/>
    <s v="X167 - Local A-Team, working permit, consumption"/>
    <m/>
    <n v="100000"/>
    <m/>
    <n v="1622200000"/>
    <n v="2879695938"/>
    <n v="376942744"/>
    <n v="115454492"/>
    <n v="-1749893174"/>
    <m/>
    <n v="100000"/>
    <n v="177517.9347799285"/>
    <n v="23236.514856367896"/>
    <n v="7117.1552213044015"/>
    <n v="-107871.60485760079"/>
    <m/>
    <d v="2019-09-01T00:00:00"/>
    <s v="A"/>
  </r>
  <r>
    <n v="5500"/>
    <s v="Z6"/>
    <x v="3"/>
    <x v="12"/>
    <x v="10"/>
    <s v="Woro"/>
    <n v="2019"/>
    <s v="EGMMLA19X167"/>
    <s v="Postponement to 2020"/>
    <m/>
    <n v="0"/>
    <m/>
    <n v="0"/>
    <m/>
    <m/>
    <m/>
    <n v="0"/>
    <m/>
    <n v="0"/>
    <m/>
    <m/>
    <m/>
    <n v="0"/>
    <m/>
    <d v="2019-09-01T00:00:00"/>
    <s v="B"/>
  </r>
  <r>
    <n v="5500"/>
    <s v="Z6"/>
    <x v="3"/>
    <x v="12"/>
    <x v="11"/>
    <s v="Woro"/>
    <n v="2019"/>
    <s v="EGMMTE19X167"/>
    <s v="X167 - TE"/>
    <m/>
    <n v="88000"/>
    <m/>
    <n v="1427536000"/>
    <n v="0"/>
    <n v="1408792000"/>
    <n v="0"/>
    <n v="18744000"/>
    <m/>
    <n v="88000"/>
    <n v="0"/>
    <n v="86844.532116878312"/>
    <n v="0"/>
    <n v="1155.4678831216866"/>
    <m/>
    <d v="2019-03-01T00:00:00"/>
    <s v="A"/>
  </r>
  <r>
    <n v="5500"/>
    <s v="Z6"/>
    <x v="3"/>
    <x v="12"/>
    <x v="12"/>
    <s v="Woro"/>
    <n v="2019"/>
    <s v="EGMMTA19X167"/>
    <s v="X167 - TA"/>
    <m/>
    <n v="155000"/>
    <m/>
    <n v="2514410000"/>
    <n v="0"/>
    <n v="775950000"/>
    <n v="0"/>
    <n v="1738460000"/>
    <m/>
    <n v="155000"/>
    <n v="0"/>
    <n v="47833.189495746519"/>
    <n v="0"/>
    <n v="107166.81050425349"/>
    <m/>
    <d v="2019-11-01T00:00:00"/>
    <s v="A"/>
  </r>
  <r>
    <n v="5500"/>
    <s v="Z6"/>
    <x v="3"/>
    <x v="12"/>
    <x v="12"/>
    <s v="Woro"/>
    <n v="2019"/>
    <s v="EGMMTA19X167"/>
    <s v="Postponement to 2020"/>
    <m/>
    <n v="-105000"/>
    <m/>
    <n v="-1703310000"/>
    <m/>
    <m/>
    <m/>
    <n v="-1703310000"/>
    <m/>
    <n v="-105000"/>
    <m/>
    <m/>
    <m/>
    <n v="-105000"/>
    <m/>
    <d v="2019-11-01T00:00:00"/>
    <s v="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5" indent="0" outline="1" outlineData="1" multipleFieldFilters="0" colHeaderCaption="">
  <location ref="A1:F33" firstHeaderRow="1" firstDataRow="2" firstDataCol="1"/>
  <pivotFields count="26">
    <pivotField showAll="0"/>
    <pivotField showAll="0"/>
    <pivotField axis="axisRow" showAll="0">
      <items count="5">
        <item h="1" x="2"/>
        <item x="1"/>
        <item x="3"/>
        <item h="1" x="0"/>
        <item t="default"/>
      </items>
    </pivotField>
    <pivotField axis="axisRow" showAll="0">
      <items count="23">
        <item h="1" x="3"/>
        <item h="1" x="2"/>
        <item h="1" x="8"/>
        <item h="1" x="1"/>
        <item h="1" x="5"/>
        <item h="1" x="6"/>
        <item h="1" x="7"/>
        <item h="1" x="4"/>
        <item h="1" x="9"/>
        <item h="1" x="10"/>
        <item x="12"/>
        <item x="11"/>
        <item x="14"/>
        <item x="13"/>
        <item x="19"/>
        <item x="16"/>
        <item x="20"/>
        <item x="21"/>
        <item x="17"/>
        <item x="15"/>
        <item x="18"/>
        <item h="1" x="0"/>
        <item t="default"/>
      </items>
    </pivotField>
    <pivotField axis="axisCol" showAll="0">
      <items count="14">
        <item x="9"/>
        <item h="1" x="8"/>
        <item h="1" x="7"/>
        <item h="1" x="1"/>
        <item h="1" x="3"/>
        <item x="10"/>
        <item h="1" x="5"/>
        <item h="1" x="2"/>
        <item h="1" x="6"/>
        <item n="QPC" h="1" x="4"/>
        <item x="12"/>
        <item x="1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3"/>
    <field x="2"/>
  </rowFields>
  <rowItems count="31">
    <i>
      <x v="10"/>
    </i>
    <i r="1">
      <x v="1"/>
    </i>
    <i r="1">
      <x v="2"/>
    </i>
    <i>
      <x v="11"/>
    </i>
    <i r="1">
      <x v="1"/>
    </i>
    <i r="1">
      <x v="2"/>
    </i>
    <i>
      <x v="12"/>
    </i>
    <i r="1">
      <x v="1"/>
    </i>
    <i r="1">
      <x v="2"/>
    </i>
    <i>
      <x v="13"/>
    </i>
    <i r="1">
      <x v="1"/>
    </i>
    <i r="1">
      <x v="2"/>
    </i>
    <i>
      <x v="14"/>
    </i>
    <i r="1">
      <x v="2"/>
    </i>
    <i>
      <x v="15"/>
    </i>
    <i r="1">
      <x v="1"/>
    </i>
    <i r="1">
      <x v="2"/>
    </i>
    <i>
      <x v="16"/>
    </i>
    <i r="1">
      <x v="2"/>
    </i>
    <i>
      <x v="17"/>
    </i>
    <i r="1">
      <x v="2"/>
    </i>
    <i>
      <x v="18"/>
    </i>
    <i r="1">
      <x v="1"/>
    </i>
    <i r="1">
      <x v="2"/>
    </i>
    <i>
      <x v="19"/>
    </i>
    <i r="1">
      <x v="1"/>
    </i>
    <i r="1">
      <x v="2"/>
    </i>
    <i>
      <x v="20"/>
    </i>
    <i r="1">
      <x v="1"/>
    </i>
    <i r="1">
      <x v="2"/>
    </i>
    <i t="grand">
      <x/>
    </i>
  </rowItems>
  <colFields count="1">
    <field x="4"/>
  </colFields>
  <colItems count="5">
    <i>
      <x/>
    </i>
    <i>
      <x v="5"/>
    </i>
    <i>
      <x v="10"/>
    </i>
    <i>
      <x v="11"/>
    </i>
    <i t="grand">
      <x/>
    </i>
  </colItems>
  <dataFields count="1">
    <dataField name="Sum of Remaining" fld="22" baseField="2" baseItem="1" numFmtId="168"/>
  </dataFields>
  <formats count="31">
    <format dxfId="30">
      <pivotArea type="all" dataOnly="0" outline="0" fieldPosition="0"/>
    </format>
    <format dxfId="29">
      <pivotArea field="3" type="button" dataOnly="0" labelOnly="1" outline="0" axis="axisRow" fieldPosition="0"/>
    </format>
    <format dxfId="28">
      <pivotArea field="2" type="button" dataOnly="0" labelOnly="1" outline="0" axis="axisRow" fieldPosition="1"/>
    </format>
    <format dxfId="27">
      <pivotArea field="4" type="button" dataOnly="0" labelOnly="1" outline="0" axis="axisCol" fieldPosition="0"/>
    </format>
    <format dxfId="26">
      <pivotArea dataOnly="0" labelOnly="1" grandRow="1" outline="0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dataOnly="0" labelOnly="1" grandCol="1" outline="0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grandCol="1" outline="0" collapsedLevelsAreSubtotals="1" fieldPosition="0"/>
    </format>
    <format dxfId="14">
      <pivotArea grandCol="1" outline="0" collapsedLevelsAreSubtotals="1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grandCol="1" outline="0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dataOnly="0" labelOnly="1" grandCol="1" outline="0" fieldPosition="0"/>
    </format>
    <format dxfId="7">
      <pivotArea outline="0" collapsedLevelsAreSubtotals="1" fieldPosition="0"/>
    </format>
    <format dxfId="6">
      <pivotArea dataOnly="0" labelOnly="1" fieldPosition="0">
        <references count="1">
          <reference field="4" count="0"/>
        </references>
      </pivotArea>
    </format>
    <format dxfId="5">
      <pivotArea dataOnly="0" labelOnly="1" grandCol="1" outline="0" fieldPosition="0"/>
    </format>
    <format dxfId="4">
      <pivotArea dataOnly="0" labelOnly="1" fieldPosition="0">
        <references count="1">
          <reference field="4" count="0"/>
        </references>
      </pivotArea>
    </format>
    <format dxfId="3">
      <pivotArea dataOnly="0" labelOnly="1" grandCol="1" outline="0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Col="1" outline="0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C146"/>
  <sheetViews>
    <sheetView showGridLines="0" zoomScale="85" zoomScaleNormal="85" workbookViewId="0">
      <pane xSplit="14" ySplit="4" topLeftCell="O86" activePane="bottomRight" state="frozen"/>
      <selection pane="topRight" activeCell="L1" sqref="L1"/>
      <selection pane="bottomLeft" activeCell="A5" sqref="A5"/>
      <selection pane="bottomRight" activeCell="P116" sqref="P116"/>
    </sheetView>
  </sheetViews>
  <sheetFormatPr defaultColWidth="8.85546875" defaultRowHeight="15" outlineLevelRow="1" outlineLevelCol="2" x14ac:dyDescent="0.25"/>
  <cols>
    <col min="1" max="1" width="5" style="9" bestFit="1" customWidth="1"/>
    <col min="2" max="2" width="25.5703125" style="9" hidden="1" customWidth="1" outlineLevel="2"/>
    <col min="3" max="3" width="8.85546875" style="10" hidden="1" customWidth="1" outlineLevel="2"/>
    <col min="4" max="4" width="12.42578125" style="10" customWidth="1" collapsed="1"/>
    <col min="5" max="5" width="12.7109375" style="10" customWidth="1"/>
    <col min="6" max="6" width="9" style="10" customWidth="1"/>
    <col min="7" max="7" width="6.85546875" style="10" customWidth="1"/>
    <col min="8" max="8" width="9.42578125" style="10" customWidth="1"/>
    <col min="9" max="9" width="11.7109375" style="73" customWidth="1"/>
    <col min="10" max="10" width="9.28515625" style="10" customWidth="1"/>
    <col min="11" max="11" width="19" style="10" customWidth="1"/>
    <col min="12" max="12" width="51.42578125" style="50" customWidth="1"/>
    <col min="13" max="13" width="2.7109375" style="9" customWidth="1"/>
    <col min="14" max="14" width="14.85546875" style="9" customWidth="1"/>
    <col min="15" max="15" width="2.5703125" style="9" customWidth="1"/>
    <col min="16" max="16" width="23" style="9" customWidth="1" outlineLevel="1"/>
    <col min="17" max="17" width="21" style="9" customWidth="1" outlineLevel="1"/>
    <col min="18" max="18" width="19.5703125" style="9" customWidth="1" outlineLevel="1"/>
    <col min="19" max="19" width="17.140625" style="9" customWidth="1" outlineLevel="1"/>
    <col min="20" max="20" width="23" style="9" customWidth="1" outlineLevel="1"/>
    <col min="21" max="21" width="2.5703125" style="9" customWidth="1"/>
    <col min="22" max="22" width="14.85546875" style="9" customWidth="1"/>
    <col min="23" max="24" width="18.140625" style="9" customWidth="1"/>
    <col min="25" max="25" width="17.140625" style="9" customWidth="1"/>
    <col min="26" max="26" width="21.85546875" style="9" customWidth="1"/>
    <col min="27" max="27" width="2.5703125" style="9" customWidth="1"/>
    <col min="28" max="28" width="13" style="84" customWidth="1"/>
    <col min="29" max="29" width="8.85546875" style="10"/>
    <col min="30" max="16384" width="8.85546875" style="9"/>
  </cols>
  <sheetData>
    <row r="1" spans="2:29" x14ac:dyDescent="0.25">
      <c r="P1" s="9" t="s">
        <v>95</v>
      </c>
    </row>
    <row r="2" spans="2:29" x14ac:dyDescent="0.25">
      <c r="L2" s="105" t="s">
        <v>124</v>
      </c>
      <c r="N2" s="38"/>
      <c r="P2" s="1">
        <v>16222</v>
      </c>
      <c r="V2" s="38"/>
    </row>
    <row r="3" spans="2:29" x14ac:dyDescent="0.25">
      <c r="L3" s="105" t="s">
        <v>7</v>
      </c>
      <c r="V3" s="49">
        <v>16222</v>
      </c>
      <c r="W3" s="47"/>
    </row>
    <row r="4" spans="2:29" ht="45.75" customHeight="1" x14ac:dyDescent="0.25">
      <c r="B4" s="11" t="s">
        <v>8</v>
      </c>
      <c r="C4" s="35" t="s">
        <v>44</v>
      </c>
      <c r="D4" s="36" t="s">
        <v>9</v>
      </c>
      <c r="E4" s="36" t="s">
        <v>32</v>
      </c>
      <c r="F4" s="36" t="s">
        <v>664</v>
      </c>
      <c r="G4" s="36" t="s">
        <v>665</v>
      </c>
      <c r="H4" s="36" t="s">
        <v>666</v>
      </c>
      <c r="I4" s="36" t="s">
        <v>45</v>
      </c>
      <c r="J4" s="36" t="s">
        <v>46</v>
      </c>
      <c r="K4" s="36" t="s">
        <v>47</v>
      </c>
      <c r="L4" s="36" t="s">
        <v>10</v>
      </c>
      <c r="M4" s="203" t="s">
        <v>667</v>
      </c>
      <c r="N4" s="37" t="s">
        <v>364</v>
      </c>
      <c r="O4" s="204" t="s">
        <v>668</v>
      </c>
      <c r="P4" s="37" t="s">
        <v>136</v>
      </c>
      <c r="Q4" s="37" t="s">
        <v>96</v>
      </c>
      <c r="R4" s="37" t="s">
        <v>97</v>
      </c>
      <c r="S4" s="37" t="s">
        <v>98</v>
      </c>
      <c r="T4" s="37" t="s">
        <v>99</v>
      </c>
      <c r="U4" s="204" t="s">
        <v>669</v>
      </c>
      <c r="V4" s="37" t="s">
        <v>137</v>
      </c>
      <c r="W4" s="37" t="s">
        <v>100</v>
      </c>
      <c r="X4" s="37" t="s">
        <v>101</v>
      </c>
      <c r="Y4" s="37" t="s">
        <v>102</v>
      </c>
      <c r="Z4" s="37" t="s">
        <v>103</v>
      </c>
      <c r="AA4" s="204" t="s">
        <v>670</v>
      </c>
      <c r="AB4" s="85" t="s">
        <v>104</v>
      </c>
      <c r="AC4" s="37" t="s">
        <v>42</v>
      </c>
    </row>
    <row r="5" spans="2:29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N5" s="13"/>
      <c r="P5" s="13"/>
      <c r="V5" s="13"/>
      <c r="AC5" s="13"/>
    </row>
    <row r="6" spans="2:29" s="21" customFormat="1" outlineLevel="1" x14ac:dyDescent="0.25">
      <c r="B6" s="3" t="s">
        <v>11</v>
      </c>
      <c r="C6" s="22" t="s">
        <v>92</v>
      </c>
      <c r="D6" s="22" t="s">
        <v>12</v>
      </c>
      <c r="E6" s="22" t="s">
        <v>34</v>
      </c>
      <c r="F6" s="22" t="str">
        <f>LEFT(K6,4)</f>
        <v>CGMM</v>
      </c>
      <c r="G6" s="200" t="str">
        <f>TEXT(RIGHT(K6,4),"0000")</f>
        <v>9001</v>
      </c>
      <c r="H6" s="200" t="str">
        <f>IF(TEXT(RIGHT(LEFT(K6,6),2),"00")="00","20",TEXT(RIGHT(LEFT(K6,6),2),"00"))</f>
        <v>HR</v>
      </c>
      <c r="I6" s="74" t="s">
        <v>48</v>
      </c>
      <c r="J6" s="22">
        <v>2019</v>
      </c>
      <c r="K6" s="101" t="s">
        <v>138</v>
      </c>
      <c r="L6" s="99" t="s">
        <v>506</v>
      </c>
      <c r="N6" s="5"/>
      <c r="P6" s="5">
        <f>N6*$P$2</f>
        <v>0</v>
      </c>
      <c r="Q6" s="5">
        <f>'PR List 2019'!F9</f>
        <v>0</v>
      </c>
      <c r="R6" s="5">
        <f>'PR List 2019'!G9</f>
        <v>0</v>
      </c>
      <c r="S6" s="5">
        <f>'PR List 2019'!H9</f>
        <v>31780000</v>
      </c>
      <c r="T6" s="5">
        <f>P6-(Q6+R6+S6)</f>
        <v>-31780000</v>
      </c>
      <c r="V6" s="5">
        <f t="shared" ref="V6:V11" si="0">N6</f>
        <v>0</v>
      </c>
      <c r="W6" s="5">
        <f>Q6/$P$2</f>
        <v>0</v>
      </c>
      <c r="X6" s="5">
        <f t="shared" ref="W6:Z15" si="1">R6/$P$2</f>
        <v>0</v>
      </c>
      <c r="Y6" s="5">
        <f t="shared" si="1"/>
        <v>1959.0679324374307</v>
      </c>
      <c r="Z6" s="5">
        <f t="shared" si="1"/>
        <v>-1959.0679324374307</v>
      </c>
      <c r="AB6" s="86">
        <v>43497</v>
      </c>
      <c r="AC6" s="34" t="s">
        <v>31</v>
      </c>
    </row>
    <row r="7" spans="2:29" s="21" customFormat="1" outlineLevel="1" x14ac:dyDescent="0.25">
      <c r="B7" s="3"/>
      <c r="C7" s="22"/>
      <c r="D7" s="22" t="s">
        <v>12</v>
      </c>
      <c r="E7" s="22" t="s">
        <v>35</v>
      </c>
      <c r="F7" s="22" t="str">
        <f>LEFT(K7,4)</f>
        <v>CGMM</v>
      </c>
      <c r="G7" s="200" t="str">
        <f>TEXT(RIGHT(K7,4),"0000")</f>
        <v>0002</v>
      </c>
      <c r="H7" s="200" t="str">
        <f>IF(TEXT(RIGHT(LEFT(K7,6),2),"00")="00","20",TEXT(RIGHT(LEFT(K7,6),2),"00"))</f>
        <v>HR</v>
      </c>
      <c r="I7" s="74" t="s">
        <v>48</v>
      </c>
      <c r="J7" s="22">
        <v>2019</v>
      </c>
      <c r="K7" s="101" t="s">
        <v>505</v>
      </c>
      <c r="L7" s="99" t="s">
        <v>507</v>
      </c>
      <c r="N7" s="5">
        <v>257417.38922442147</v>
      </c>
      <c r="P7" s="5">
        <f>N7*$P$2</f>
        <v>4175824887.9985652</v>
      </c>
      <c r="Q7" s="111">
        <f>'PR List 2019'!F16</f>
        <v>0</v>
      </c>
      <c r="R7" s="111">
        <f>'PR List 2019'!G16</f>
        <v>4059296621</v>
      </c>
      <c r="S7" s="111">
        <f>'PR List 2019'!H16</f>
        <v>0</v>
      </c>
      <c r="T7" s="111">
        <f>P7-(Q7+R7+S7)</f>
        <v>116528266.9985652</v>
      </c>
      <c r="V7" s="5">
        <f t="shared" si="0"/>
        <v>257417.38922442147</v>
      </c>
      <c r="W7" s="5">
        <f>Q7/$P$2</f>
        <v>0</v>
      </c>
      <c r="X7" s="5">
        <f t="shared" si="1"/>
        <v>250234.04148686968</v>
      </c>
      <c r="Y7" s="5">
        <f t="shared" si="1"/>
        <v>0</v>
      </c>
      <c r="Z7" s="5">
        <f t="shared" si="1"/>
        <v>7183.3477375517941</v>
      </c>
      <c r="AB7" s="86"/>
      <c r="AC7" s="34"/>
    </row>
    <row r="8" spans="2:29" s="21" customFormat="1" outlineLevel="1" x14ac:dyDescent="0.25">
      <c r="B8" s="3"/>
      <c r="C8" s="22"/>
      <c r="D8" s="22"/>
      <c r="E8" s="22"/>
      <c r="F8" s="22" t="str">
        <f>LEFT(K8,4)</f>
        <v/>
      </c>
      <c r="G8" s="200" t="str">
        <f>TEXT(RIGHT(K8,4),"0000")</f>
        <v/>
      </c>
      <c r="H8" s="200"/>
      <c r="I8" s="74"/>
      <c r="J8" s="22"/>
      <c r="K8" s="101"/>
      <c r="L8" s="83" t="s">
        <v>508</v>
      </c>
      <c r="N8" s="5">
        <v>5468</v>
      </c>
      <c r="P8" s="110">
        <f>N8*$P$2</f>
        <v>88701896</v>
      </c>
      <c r="Q8" s="112"/>
      <c r="R8" s="112"/>
      <c r="S8" s="112"/>
      <c r="T8" s="112"/>
      <c r="V8" s="5">
        <f t="shared" si="0"/>
        <v>5468</v>
      </c>
      <c r="W8" s="112"/>
      <c r="X8" s="112"/>
      <c r="Y8" s="112"/>
      <c r="Z8" s="112"/>
      <c r="AB8" s="86">
        <v>43497</v>
      </c>
      <c r="AC8" s="34" t="s">
        <v>31</v>
      </c>
    </row>
    <row r="9" spans="2:29" s="21" customFormat="1" outlineLevel="1" x14ac:dyDescent="0.25">
      <c r="B9" s="3"/>
      <c r="C9" s="22"/>
      <c r="D9" s="22"/>
      <c r="E9" s="22"/>
      <c r="F9" s="22" t="str">
        <f>LEFT(K9,4)</f>
        <v/>
      </c>
      <c r="G9" s="200" t="str">
        <f>TEXT(RIGHT(K9,4),"0000")</f>
        <v/>
      </c>
      <c r="H9" s="200"/>
      <c r="I9" s="74"/>
      <c r="J9" s="22"/>
      <c r="K9" s="101"/>
      <c r="L9" s="83" t="s">
        <v>509</v>
      </c>
      <c r="N9" s="5">
        <v>12244</v>
      </c>
      <c r="P9" s="110">
        <f>N9*$P$2</f>
        <v>198622168</v>
      </c>
      <c r="Q9" s="112"/>
      <c r="R9" s="112"/>
      <c r="S9" s="112"/>
      <c r="T9" s="112"/>
      <c r="V9" s="5">
        <f t="shared" si="0"/>
        <v>12244</v>
      </c>
      <c r="W9" s="112"/>
      <c r="X9" s="112"/>
      <c r="Y9" s="112"/>
      <c r="Z9" s="112"/>
      <c r="AB9" s="86">
        <v>43525</v>
      </c>
      <c r="AC9" s="34" t="s">
        <v>31</v>
      </c>
    </row>
    <row r="10" spans="2:29" s="21" customFormat="1" outlineLevel="1" x14ac:dyDescent="0.25">
      <c r="B10" s="3"/>
      <c r="C10" s="22"/>
      <c r="D10" s="22"/>
      <c r="E10" s="22"/>
      <c r="F10" s="22" t="str">
        <f>LEFT(K10,4)</f>
        <v/>
      </c>
      <c r="G10" s="200" t="str">
        <f>TEXT(RIGHT(K10,4),"0000")</f>
        <v/>
      </c>
      <c r="H10" s="200"/>
      <c r="I10" s="74"/>
      <c r="J10" s="22"/>
      <c r="K10" s="101"/>
      <c r="L10" s="83" t="s">
        <v>314</v>
      </c>
      <c r="N10" s="5">
        <f>231973+7732</f>
        <v>239705</v>
      </c>
      <c r="P10" s="110">
        <f>N10*$P$2</f>
        <v>3888494510</v>
      </c>
      <c r="Q10" s="112"/>
      <c r="R10" s="112"/>
      <c r="S10" s="112"/>
      <c r="T10" s="112"/>
      <c r="V10" s="5">
        <f t="shared" si="0"/>
        <v>239705</v>
      </c>
      <c r="W10" s="112"/>
      <c r="X10" s="112"/>
      <c r="Y10" s="112"/>
      <c r="Z10" s="112"/>
      <c r="AB10" s="86">
        <v>43647</v>
      </c>
      <c r="AC10" s="34" t="s">
        <v>31</v>
      </c>
    </row>
    <row r="11" spans="2:29" outlineLevel="1" x14ac:dyDescent="0.25">
      <c r="B11" s="17"/>
      <c r="C11" s="18"/>
      <c r="D11" s="18" t="s">
        <v>14</v>
      </c>
      <c r="E11" s="18"/>
      <c r="F11" s="18"/>
      <c r="G11" s="18"/>
      <c r="H11" s="18"/>
      <c r="I11" s="52"/>
      <c r="J11" s="18"/>
      <c r="K11" s="18"/>
      <c r="L11" s="52" t="s">
        <v>0</v>
      </c>
      <c r="N11" s="19">
        <f>SUM(N6:N7)</f>
        <v>257417.38922442147</v>
      </c>
      <c r="P11" s="19">
        <f>SUM(P6:P7)</f>
        <v>4175824887.9985652</v>
      </c>
      <c r="Q11" s="19">
        <f>SUM(Q6:Q7)</f>
        <v>0</v>
      </c>
      <c r="R11" s="19">
        <f>SUM(R6:R7)</f>
        <v>4059296621</v>
      </c>
      <c r="S11" s="19">
        <f>SUM(S6:S7)</f>
        <v>31780000</v>
      </c>
      <c r="T11" s="19">
        <f>SUM(T6:T7)</f>
        <v>84748266.998565197</v>
      </c>
      <c r="V11" s="19">
        <f t="shared" si="0"/>
        <v>257417.38922442147</v>
      </c>
      <c r="W11" s="19">
        <f t="shared" si="1"/>
        <v>0</v>
      </c>
      <c r="X11" s="19">
        <f t="shared" si="1"/>
        <v>250234.04148686968</v>
      </c>
      <c r="Y11" s="19">
        <f>S11/$P$2</f>
        <v>1959.0679324374307</v>
      </c>
      <c r="Z11" s="19">
        <f t="shared" si="1"/>
        <v>5224.2798051143627</v>
      </c>
      <c r="AB11" s="87"/>
      <c r="AC11" s="20">
        <f>SUM(AC6:AC6)</f>
        <v>0</v>
      </c>
    </row>
    <row r="12" spans="2:29" x14ac:dyDescent="0.2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N12" s="13"/>
      <c r="P12" s="13"/>
      <c r="Q12" s="39"/>
      <c r="R12" s="39"/>
      <c r="S12" s="39"/>
      <c r="T12" s="39"/>
      <c r="V12" s="13"/>
      <c r="W12" s="39">
        <f t="shared" si="1"/>
        <v>0</v>
      </c>
      <c r="X12" s="39">
        <f t="shared" si="1"/>
        <v>0</v>
      </c>
      <c r="Y12" s="39">
        <f t="shared" si="1"/>
        <v>0</v>
      </c>
      <c r="Z12" s="39">
        <f t="shared" si="1"/>
        <v>0</v>
      </c>
      <c r="AC12" s="13"/>
    </row>
    <row r="13" spans="2:29" outlineLevel="1" x14ac:dyDescent="0.25">
      <c r="B13" s="14" t="s">
        <v>11</v>
      </c>
      <c r="C13" s="4"/>
      <c r="D13" s="4" t="s">
        <v>17</v>
      </c>
      <c r="E13" s="4" t="s">
        <v>35</v>
      </c>
      <c r="F13" s="22" t="str">
        <f>LEFT(K13,4)</f>
        <v>CGMM</v>
      </c>
      <c r="G13" s="200" t="str">
        <f>TEXT(RIGHT(K13,4),"0000")</f>
        <v>9005</v>
      </c>
      <c r="H13" s="200" t="str">
        <f>IF(TEXT(RIGHT(LEFT(K13,6),2),"00")="00","20",TEXT(RIGHT(LEFT(K13,6),2),"00"))</f>
        <v>MT</v>
      </c>
      <c r="I13" s="75" t="s">
        <v>51</v>
      </c>
      <c r="J13" s="4">
        <v>2019</v>
      </c>
      <c r="K13" s="101" t="s">
        <v>145</v>
      </c>
      <c r="L13" s="53" t="s">
        <v>36</v>
      </c>
      <c r="M13" s="21"/>
      <c r="N13" s="5">
        <f>(50000*96.2%)*0</f>
        <v>0</v>
      </c>
      <c r="P13" s="5">
        <f>N13*$P$2</f>
        <v>0</v>
      </c>
      <c r="Q13" s="5">
        <f>'PR List 2019'!F23</f>
        <v>0</v>
      </c>
      <c r="R13" s="5">
        <f>'PR List 2019'!G23</f>
        <v>0</v>
      </c>
      <c r="S13" s="5">
        <f>'PR List 2019'!H23</f>
        <v>0</v>
      </c>
      <c r="T13" s="15">
        <f>P13-(Q13+R13+S13)</f>
        <v>0</v>
      </c>
      <c r="V13" s="5">
        <f>N13</f>
        <v>0</v>
      </c>
      <c r="W13" s="15">
        <f t="shared" si="1"/>
        <v>0</v>
      </c>
      <c r="X13" s="15">
        <f t="shared" si="1"/>
        <v>0</v>
      </c>
      <c r="Y13" s="15">
        <f t="shared" si="1"/>
        <v>0</v>
      </c>
      <c r="Z13" s="5">
        <f t="shared" si="1"/>
        <v>0</v>
      </c>
      <c r="AB13" s="88">
        <v>43556</v>
      </c>
      <c r="AC13" s="16" t="s">
        <v>31</v>
      </c>
    </row>
    <row r="14" spans="2:29" outlineLevel="1" x14ac:dyDescent="0.25">
      <c r="B14" s="17"/>
      <c r="C14" s="18"/>
      <c r="D14" s="18" t="s">
        <v>14</v>
      </c>
      <c r="E14" s="18"/>
      <c r="F14" s="18"/>
      <c r="G14" s="18"/>
      <c r="H14" s="18"/>
      <c r="I14" s="52"/>
      <c r="J14" s="18"/>
      <c r="K14" s="18"/>
      <c r="L14" s="52" t="s">
        <v>37</v>
      </c>
      <c r="M14" s="21"/>
      <c r="N14" s="19">
        <f>N13</f>
        <v>0</v>
      </c>
      <c r="P14" s="19">
        <f>N14*$P$2</f>
        <v>0</v>
      </c>
      <c r="Q14" s="19">
        <f>Q13</f>
        <v>0</v>
      </c>
      <c r="R14" s="19">
        <f>R13</f>
        <v>0</v>
      </c>
      <c r="S14" s="19">
        <f>S13</f>
        <v>0</v>
      </c>
      <c r="T14" s="19">
        <f>P14-(Q14+R14+S14)</f>
        <v>0</v>
      </c>
      <c r="V14" s="19">
        <f>N14</f>
        <v>0</v>
      </c>
      <c r="W14" s="19">
        <f t="shared" si="1"/>
        <v>0</v>
      </c>
      <c r="X14" s="19">
        <f t="shared" si="1"/>
        <v>0</v>
      </c>
      <c r="Y14" s="19">
        <f t="shared" si="1"/>
        <v>0</v>
      </c>
      <c r="Z14" s="19">
        <f t="shared" si="1"/>
        <v>0</v>
      </c>
      <c r="AB14" s="87"/>
      <c r="AC14" s="20"/>
    </row>
    <row r="15" spans="2:29" x14ac:dyDescent="0.25">
      <c r="B15" s="115">
        <f>SUM('Funding 2019'!V96)</f>
        <v>15000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N15" s="13"/>
      <c r="P15" s="13"/>
      <c r="Q15" s="39"/>
      <c r="R15" s="39"/>
      <c r="S15" s="39"/>
      <c r="T15" s="39"/>
      <c r="V15" s="13"/>
      <c r="W15" s="39">
        <f t="shared" si="1"/>
        <v>0</v>
      </c>
      <c r="X15" s="39">
        <f t="shared" si="1"/>
        <v>0</v>
      </c>
      <c r="Y15" s="39">
        <f t="shared" si="1"/>
        <v>0</v>
      </c>
      <c r="Z15" s="39">
        <f t="shared" si="1"/>
        <v>0</v>
      </c>
      <c r="AC15" s="13"/>
    </row>
    <row r="16" spans="2:29" outlineLevel="1" x14ac:dyDescent="0.25">
      <c r="B16" s="14"/>
      <c r="C16" s="4"/>
      <c r="D16" s="4" t="s">
        <v>15</v>
      </c>
      <c r="E16" s="4" t="s">
        <v>38</v>
      </c>
      <c r="F16" s="22" t="str">
        <f>LEFT(K16,4)</f>
        <v>CGMM</v>
      </c>
      <c r="G16" s="200" t="str">
        <f>TEXT(RIGHT(K16,4),"0000")</f>
        <v>9001</v>
      </c>
      <c r="H16" s="200" t="str">
        <f>IF(TEXT(RIGHT(LEFT(K16,6),2),"00")="00","20",TEXT(RIGHT(LEFT(K16,6),2),"00"))</f>
        <v>IT</v>
      </c>
      <c r="I16" s="75" t="s">
        <v>49</v>
      </c>
      <c r="J16" s="4">
        <v>2019</v>
      </c>
      <c r="K16" s="101" t="s">
        <v>139</v>
      </c>
      <c r="L16" s="54" t="s">
        <v>153</v>
      </c>
      <c r="N16" s="5">
        <f>(50000+0)*73%</f>
        <v>36500</v>
      </c>
      <c r="P16" s="5">
        <f>N16*$P$2</f>
        <v>592103000</v>
      </c>
      <c r="Q16" s="5">
        <f>'PR List 2019'!F30</f>
        <v>0</v>
      </c>
      <c r="R16" s="5">
        <f>'PR List 2019'!G30</f>
        <v>0</v>
      </c>
      <c r="S16" s="5">
        <f>'PR List 2019'!H30</f>
        <v>675000000</v>
      </c>
      <c r="T16" s="15">
        <f>P16-(Q16+R16+S16)</f>
        <v>-82897000</v>
      </c>
      <c r="V16" s="5">
        <f>N16</f>
        <v>36500</v>
      </c>
      <c r="W16" s="15">
        <f t="shared" ref="W16:Z17" si="2">Q16/$P$2</f>
        <v>0</v>
      </c>
      <c r="X16" s="15">
        <f t="shared" si="2"/>
        <v>0</v>
      </c>
      <c r="Y16" s="15">
        <f t="shared" si="2"/>
        <v>41610.159043274565</v>
      </c>
      <c r="Z16" s="15">
        <f t="shared" si="2"/>
        <v>-5110.1590432745652</v>
      </c>
      <c r="AB16" s="88">
        <v>43586</v>
      </c>
      <c r="AC16" s="16" t="s">
        <v>31</v>
      </c>
    </row>
    <row r="17" spans="1:29" s="21" customFormat="1" ht="30" outlineLevel="1" x14ac:dyDescent="0.25">
      <c r="A17" s="9"/>
      <c r="B17" s="14"/>
      <c r="C17" s="4"/>
      <c r="D17" s="4" t="s">
        <v>15</v>
      </c>
      <c r="E17" s="4" t="s">
        <v>38</v>
      </c>
      <c r="F17" s="22" t="str">
        <f>LEFT(K17,4)</f>
        <v>CGMM</v>
      </c>
      <c r="G17" s="200" t="str">
        <f>TEXT(RIGHT(K17,4),"0000")</f>
        <v>9002</v>
      </c>
      <c r="H17" s="200" t="str">
        <f>IF(TEXT(RIGHT(LEFT(K17,6),2),"00")="00","20",TEXT(RIGHT(LEFT(K17,6),2),"00"))</f>
        <v>IT</v>
      </c>
      <c r="I17" s="75" t="s">
        <v>49</v>
      </c>
      <c r="J17" s="4">
        <v>2019</v>
      </c>
      <c r="K17" s="101" t="s">
        <v>144</v>
      </c>
      <c r="L17" s="54" t="s">
        <v>152</v>
      </c>
      <c r="M17" s="9"/>
      <c r="N17" s="5">
        <f>43496</f>
        <v>43496</v>
      </c>
      <c r="P17" s="5">
        <f>N17*$P$2</f>
        <v>705592112</v>
      </c>
      <c r="Q17" s="5">
        <f>'PR List 2019'!F43</f>
        <v>18275000</v>
      </c>
      <c r="R17" s="5">
        <f>'PR List 2019'!G43</f>
        <v>131040000</v>
      </c>
      <c r="S17" s="5">
        <f>'PR List 2019'!H43</f>
        <v>456976000</v>
      </c>
      <c r="T17" s="5">
        <f>P17-(Q17+R17+S17)</f>
        <v>99301112</v>
      </c>
      <c r="V17" s="5">
        <f>N17</f>
        <v>43496</v>
      </c>
      <c r="W17" s="5">
        <f t="shared" si="2"/>
        <v>1126.5565281716188</v>
      </c>
      <c r="X17" s="5">
        <f t="shared" si="2"/>
        <v>8077.9188756010353</v>
      </c>
      <c r="Y17" s="5">
        <f t="shared" si="2"/>
        <v>28170.139316976944</v>
      </c>
      <c r="Z17" s="5">
        <f t="shared" si="2"/>
        <v>6121.3852792504003</v>
      </c>
      <c r="AB17" s="86">
        <v>43678</v>
      </c>
      <c r="AC17" s="16" t="s">
        <v>31</v>
      </c>
    </row>
    <row r="18" spans="1:29" outlineLevel="1" x14ac:dyDescent="0.25">
      <c r="B18" s="17"/>
      <c r="C18" s="18"/>
      <c r="D18" s="18" t="s">
        <v>14</v>
      </c>
      <c r="E18" s="18"/>
      <c r="F18" s="18"/>
      <c r="G18" s="18"/>
      <c r="H18" s="18"/>
      <c r="I18" s="52"/>
      <c r="J18" s="18"/>
      <c r="K18" s="18"/>
      <c r="L18" s="52" t="s">
        <v>1</v>
      </c>
      <c r="N18" s="19">
        <f>SUM(N16:N17)</f>
        <v>79996</v>
      </c>
      <c r="P18" s="19">
        <f>N18*$P$2</f>
        <v>1297695112</v>
      </c>
      <c r="Q18" s="19">
        <f>SUM(Q16:Q17)</f>
        <v>18275000</v>
      </c>
      <c r="R18" s="19">
        <f>SUM(R16:R17)</f>
        <v>131040000</v>
      </c>
      <c r="S18" s="19">
        <f>SUM(S16:S17)</f>
        <v>1131976000</v>
      </c>
      <c r="T18" s="19">
        <f>SUM(T16:T17)</f>
        <v>16404112</v>
      </c>
      <c r="V18" s="19">
        <f>N18</f>
        <v>79996</v>
      </c>
      <c r="W18" s="19">
        <f t="shared" ref="W18:Z20" si="3">Q18/$P$2</f>
        <v>1126.5565281716188</v>
      </c>
      <c r="X18" s="19">
        <f t="shared" si="3"/>
        <v>8077.9188756010353</v>
      </c>
      <c r="Y18" s="19">
        <f t="shared" si="3"/>
        <v>69780.298360251516</v>
      </c>
      <c r="Z18" s="19">
        <f t="shared" si="3"/>
        <v>1011.2262359758353</v>
      </c>
      <c r="AB18" s="87"/>
      <c r="AC18" s="20"/>
    </row>
    <row r="19" spans="1:29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N19" s="13"/>
      <c r="P19" s="13"/>
      <c r="Q19" s="39"/>
      <c r="R19" s="39"/>
      <c r="S19" s="39"/>
      <c r="T19" s="39"/>
      <c r="V19" s="13"/>
      <c r="W19" s="39">
        <f t="shared" si="3"/>
        <v>0</v>
      </c>
      <c r="X19" s="39">
        <f t="shared" si="3"/>
        <v>0</v>
      </c>
      <c r="Y19" s="39">
        <f t="shared" si="3"/>
        <v>0</v>
      </c>
      <c r="Z19" s="39">
        <f t="shared" si="3"/>
        <v>0</v>
      </c>
      <c r="AC19" s="13"/>
    </row>
    <row r="20" spans="1:29" s="59" customFormat="1" ht="93" customHeight="1" outlineLevel="1" x14ac:dyDescent="0.25">
      <c r="B20" s="60" t="s">
        <v>16</v>
      </c>
      <c r="C20" s="61" t="s">
        <v>50</v>
      </c>
      <c r="D20" s="61" t="s">
        <v>17</v>
      </c>
      <c r="E20" s="61" t="s">
        <v>33</v>
      </c>
      <c r="F20" s="201" t="str">
        <f>LEFT(K20,4)</f>
        <v>CGMM</v>
      </c>
      <c r="G20" s="202" t="str">
        <f>TEXT(RIGHT(K20,4),"0000")</f>
        <v>9001</v>
      </c>
      <c r="H20" s="200" t="str">
        <f>IF(TEXT(RIGHT(LEFT(K20,6),2),"00")="00","20",TEXT(RIGHT(LEFT(K20,6),2),"00"))</f>
        <v>MT</v>
      </c>
      <c r="I20" s="76" t="s">
        <v>51</v>
      </c>
      <c r="J20" s="61">
        <v>2019</v>
      </c>
      <c r="K20" s="102" t="s">
        <v>141</v>
      </c>
      <c r="L20" s="62" t="s">
        <v>154</v>
      </c>
      <c r="N20" s="63">
        <f>((((75000-50000)+15000+12000+0+25000)-16872)*84%)+10000</f>
        <v>60507.519999999997</v>
      </c>
      <c r="P20" s="63">
        <f>N20*$P$2</f>
        <v>981552989.43999994</v>
      </c>
      <c r="Q20" s="63">
        <f>'PR List 2019'!F58</f>
        <v>0</v>
      </c>
      <c r="R20" s="63">
        <f>'PR List 2019'!G58</f>
        <v>0</v>
      </c>
      <c r="S20" s="63">
        <f>'PR List 2019'!H58</f>
        <v>904412000</v>
      </c>
      <c r="T20" s="64">
        <f>P20-(Q20+R20+S20)</f>
        <v>77140989.439999938</v>
      </c>
      <c r="V20" s="63">
        <f>N20</f>
        <v>60507.519999999997</v>
      </c>
      <c r="W20" s="64">
        <f t="shared" si="3"/>
        <v>0</v>
      </c>
      <c r="X20" s="64">
        <f t="shared" si="3"/>
        <v>0</v>
      </c>
      <c r="Y20" s="64">
        <f t="shared" si="3"/>
        <v>55752.188386142276</v>
      </c>
      <c r="Z20" s="64">
        <f t="shared" si="3"/>
        <v>4755.3316138577202</v>
      </c>
      <c r="AB20" s="89"/>
      <c r="AC20" s="65" t="s">
        <v>31</v>
      </c>
    </row>
    <row r="21" spans="1:29" s="59" customFormat="1" outlineLevel="1" x14ac:dyDescent="0.25">
      <c r="B21" s="60"/>
      <c r="C21" s="61"/>
      <c r="D21" s="61"/>
      <c r="E21" s="61"/>
      <c r="F21" s="61"/>
      <c r="G21" s="61"/>
      <c r="H21" s="61"/>
      <c r="I21" s="76"/>
      <c r="J21" s="61"/>
      <c r="K21" s="61"/>
      <c r="L21" s="83" t="s">
        <v>206</v>
      </c>
      <c r="N21" s="63">
        <f>14773.021978022*84%</f>
        <v>12409.338461538478</v>
      </c>
      <c r="P21" s="63">
        <f t="shared" ref="P21:P27" si="4">N21*$P$2</f>
        <v>201304288.52307719</v>
      </c>
      <c r="Q21" s="112"/>
      <c r="R21" s="112"/>
      <c r="S21" s="112"/>
      <c r="T21" s="112"/>
      <c r="V21" s="63">
        <f t="shared" ref="V21:V27" si="5">N21</f>
        <v>12409.338461538478</v>
      </c>
      <c r="W21" s="112"/>
      <c r="X21" s="112"/>
      <c r="Y21" s="112"/>
      <c r="Z21" s="112"/>
      <c r="AB21" s="89">
        <v>43497</v>
      </c>
      <c r="AC21" s="65"/>
    </row>
    <row r="22" spans="1:29" s="59" customFormat="1" outlineLevel="1" x14ac:dyDescent="0.25">
      <c r="B22" s="60"/>
      <c r="C22" s="61"/>
      <c r="D22" s="61"/>
      <c r="E22" s="61"/>
      <c r="F22" s="61"/>
      <c r="G22" s="61"/>
      <c r="H22" s="61"/>
      <c r="I22" s="76"/>
      <c r="J22" s="61"/>
      <c r="K22" s="61"/>
      <c r="L22" s="83" t="s">
        <v>207</v>
      </c>
      <c r="N22" s="63">
        <f>(6220.21978021978*84%)+5000</f>
        <v>10224.984615384616</v>
      </c>
      <c r="P22" s="63">
        <f t="shared" si="4"/>
        <v>165869700.43076923</v>
      </c>
      <c r="Q22" s="112"/>
      <c r="R22" s="112"/>
      <c r="S22" s="112"/>
      <c r="T22" s="112"/>
      <c r="V22" s="63">
        <f t="shared" si="5"/>
        <v>10224.984615384616</v>
      </c>
      <c r="W22" s="112"/>
      <c r="X22" s="112"/>
      <c r="Y22" s="112"/>
      <c r="Z22" s="112"/>
      <c r="AB22" s="89">
        <v>43497</v>
      </c>
      <c r="AC22" s="65"/>
    </row>
    <row r="23" spans="1:29" s="59" customFormat="1" outlineLevel="1" x14ac:dyDescent="0.25">
      <c r="B23" s="60"/>
      <c r="C23" s="61"/>
      <c r="D23" s="61"/>
      <c r="E23" s="61"/>
      <c r="F23" s="61"/>
      <c r="G23" s="61"/>
      <c r="H23" s="61"/>
      <c r="I23" s="76"/>
      <c r="J23" s="61"/>
      <c r="K23" s="61"/>
      <c r="L23" s="83" t="s">
        <v>208</v>
      </c>
      <c r="N23" s="63">
        <f>(2591.75824175824*84%)+5000</f>
        <v>7177.076923076922</v>
      </c>
      <c r="P23" s="63">
        <f t="shared" si="4"/>
        <v>116426541.84615383</v>
      </c>
      <c r="Q23" s="112"/>
      <c r="R23" s="112"/>
      <c r="S23" s="112"/>
      <c r="T23" s="112"/>
      <c r="V23" s="63">
        <f t="shared" si="5"/>
        <v>7177.076923076922</v>
      </c>
      <c r="W23" s="112"/>
      <c r="X23" s="112"/>
      <c r="Y23" s="112"/>
      <c r="Z23" s="112"/>
      <c r="AB23" s="89">
        <v>43497</v>
      </c>
      <c r="AC23" s="65"/>
    </row>
    <row r="24" spans="1:29" s="59" customFormat="1" outlineLevel="1" x14ac:dyDescent="0.25">
      <c r="B24" s="60"/>
      <c r="C24" s="61"/>
      <c r="D24" s="61"/>
      <c r="E24" s="61"/>
      <c r="F24" s="61"/>
      <c r="G24" s="61"/>
      <c r="H24" s="61"/>
      <c r="I24" s="76"/>
      <c r="J24" s="61"/>
      <c r="K24" s="61"/>
      <c r="L24" s="83" t="s">
        <v>209</v>
      </c>
      <c r="N24" s="63">
        <f>9071.15384615385*84%</f>
        <v>7619.7692307692332</v>
      </c>
      <c r="P24" s="63">
        <f t="shared" si="4"/>
        <v>123607896.46153851</v>
      </c>
      <c r="Q24" s="112"/>
      <c r="R24" s="112"/>
      <c r="S24" s="112"/>
      <c r="T24" s="112"/>
      <c r="V24" s="63">
        <f t="shared" si="5"/>
        <v>7619.7692307692332</v>
      </c>
      <c r="W24" s="112"/>
      <c r="X24" s="112"/>
      <c r="Y24" s="112"/>
      <c r="Z24" s="112"/>
      <c r="AB24" s="89">
        <v>43497</v>
      </c>
      <c r="AC24" s="65"/>
    </row>
    <row r="25" spans="1:29" s="59" customFormat="1" outlineLevel="1" x14ac:dyDescent="0.25">
      <c r="B25" s="60"/>
      <c r="C25" s="61"/>
      <c r="D25" s="61"/>
      <c r="E25" s="61"/>
      <c r="F25" s="61"/>
      <c r="G25" s="61"/>
      <c r="H25" s="61"/>
      <c r="I25" s="76"/>
      <c r="J25" s="61"/>
      <c r="K25" s="61"/>
      <c r="L25" s="83" t="s">
        <v>210</v>
      </c>
      <c r="N25" s="63">
        <f>9330*84%</f>
        <v>7837.2</v>
      </c>
      <c r="P25" s="63">
        <f t="shared" si="4"/>
        <v>127135058.39999999</v>
      </c>
      <c r="Q25" s="112"/>
      <c r="R25" s="112"/>
      <c r="S25" s="112"/>
      <c r="T25" s="112"/>
      <c r="V25" s="63">
        <f t="shared" si="5"/>
        <v>7837.2</v>
      </c>
      <c r="W25" s="112"/>
      <c r="X25" s="112"/>
      <c r="Y25" s="112"/>
      <c r="Z25" s="112"/>
      <c r="AB25" s="89">
        <v>43497</v>
      </c>
      <c r="AC25" s="65"/>
    </row>
    <row r="26" spans="1:29" s="59" customFormat="1" outlineLevel="1" x14ac:dyDescent="0.25">
      <c r="B26" s="60"/>
      <c r="C26" s="61"/>
      <c r="D26" s="61"/>
      <c r="E26" s="61"/>
      <c r="F26" s="61"/>
      <c r="G26" s="61"/>
      <c r="H26" s="61"/>
      <c r="I26" s="76"/>
      <c r="J26" s="61"/>
      <c r="K26" s="61"/>
      <c r="L26" s="83" t="s">
        <v>211</v>
      </c>
      <c r="N26" s="63">
        <f>10367.032967033*84%</f>
        <v>8708.3076923077188</v>
      </c>
      <c r="P26" s="63">
        <f t="shared" si="4"/>
        <v>141266167.38461581</v>
      </c>
      <c r="Q26" s="112"/>
      <c r="R26" s="112"/>
      <c r="S26" s="112"/>
      <c r="T26" s="112"/>
      <c r="V26" s="63">
        <f t="shared" si="5"/>
        <v>8708.3076923077188</v>
      </c>
      <c r="W26" s="112"/>
      <c r="X26" s="112"/>
      <c r="Y26" s="112"/>
      <c r="Z26" s="112"/>
      <c r="AB26" s="89">
        <v>43497</v>
      </c>
      <c r="AC26" s="65"/>
    </row>
    <row r="27" spans="1:29" s="59" customFormat="1" outlineLevel="1" x14ac:dyDescent="0.25">
      <c r="B27" s="60"/>
      <c r="C27" s="61"/>
      <c r="D27" s="61"/>
      <c r="E27" s="61"/>
      <c r="F27" s="61"/>
      <c r="G27" s="61"/>
      <c r="H27" s="61"/>
      <c r="I27" s="76"/>
      <c r="J27" s="61"/>
      <c r="K27" s="61"/>
      <c r="L27" s="83" t="s">
        <v>212</v>
      </c>
      <c r="N27" s="63">
        <f>7775.27472527472*84%</f>
        <v>6531.230769230765</v>
      </c>
      <c r="P27" s="63">
        <f t="shared" si="4"/>
        <v>105949625.53846148</v>
      </c>
      <c r="Q27" s="112"/>
      <c r="R27" s="112"/>
      <c r="S27" s="112"/>
      <c r="T27" s="112"/>
      <c r="V27" s="63">
        <f t="shared" si="5"/>
        <v>6531.230769230765</v>
      </c>
      <c r="W27" s="112"/>
      <c r="X27" s="112"/>
      <c r="Y27" s="112"/>
      <c r="Z27" s="112"/>
      <c r="AB27" s="89">
        <v>43466</v>
      </c>
      <c r="AC27" s="65"/>
    </row>
    <row r="28" spans="1:29" s="59" customFormat="1" ht="90" x14ac:dyDescent="0.25">
      <c r="B28" s="60" t="s">
        <v>16</v>
      </c>
      <c r="C28" s="61" t="s">
        <v>50</v>
      </c>
      <c r="D28" s="61" t="s">
        <v>17</v>
      </c>
      <c r="E28" s="61" t="s">
        <v>39</v>
      </c>
      <c r="F28" s="201" t="str">
        <f>LEFT(K28,4)</f>
        <v>CGMM</v>
      </c>
      <c r="G28" s="202" t="str">
        <f>TEXT(RIGHT(K28,4),"0000")</f>
        <v>9002</v>
      </c>
      <c r="H28" s="200" t="str">
        <f>IF(TEXT(RIGHT(LEFT(K28,6),2),"00")="00","20",TEXT(RIGHT(LEFT(K28,6),2),"00"))</f>
        <v>MT</v>
      </c>
      <c r="I28" s="76" t="s">
        <v>51</v>
      </c>
      <c r="J28" s="61">
        <v>2019</v>
      </c>
      <c r="K28" s="102" t="s">
        <v>140</v>
      </c>
      <c r="L28" s="62" t="s">
        <v>155</v>
      </c>
      <c r="N28" s="63">
        <f>(((((100000-100000)+50000+50000+50000+20000+45000+25000+20000)-64871+17)*95.3%)-50000)-10000-24000</f>
        <v>101974.13800000001</v>
      </c>
      <c r="P28" s="64">
        <f>N28*$P$2</f>
        <v>1654224466.6360002</v>
      </c>
      <c r="Q28" s="63">
        <f>'PR List 2019'!F80</f>
        <v>0</v>
      </c>
      <c r="R28" s="63">
        <f>'PR List 2019'!G80</f>
        <v>0</v>
      </c>
      <c r="S28" s="63">
        <f>'PR List 2019'!H80</f>
        <v>1986717514</v>
      </c>
      <c r="T28" s="64">
        <f>P28-(Q28+R28+S28)</f>
        <v>-332493047.36399984</v>
      </c>
      <c r="V28" s="64">
        <f>N28</f>
        <v>101974.13800000001</v>
      </c>
      <c r="W28" s="64">
        <f>Q28/$P$2</f>
        <v>0</v>
      </c>
      <c r="X28" s="64">
        <f>R28/$P$2</f>
        <v>0</v>
      </c>
      <c r="Y28" s="64">
        <f>S28/$P$2</f>
        <v>122470.5655282949</v>
      </c>
      <c r="Z28" s="64">
        <f>T28/$P$2</f>
        <v>-20496.427528294898</v>
      </c>
      <c r="AB28" s="89"/>
      <c r="AC28" s="65" t="s">
        <v>31</v>
      </c>
    </row>
    <row r="29" spans="1:29" s="59" customFormat="1" outlineLevel="1" x14ac:dyDescent="0.25">
      <c r="B29" s="60"/>
      <c r="C29" s="61"/>
      <c r="D29" s="61"/>
      <c r="E29" s="61"/>
      <c r="F29" s="61"/>
      <c r="G29" s="61"/>
      <c r="H29" s="61"/>
      <c r="I29" s="76"/>
      <c r="J29" s="61"/>
      <c r="K29" s="61"/>
      <c r="L29" s="114" t="s">
        <v>213</v>
      </c>
      <c r="N29" s="63">
        <f>(37840*95.3%)-5000-10000</f>
        <v>21061.519999999997</v>
      </c>
      <c r="P29" s="64">
        <f t="shared" ref="P29:P36" si="6">N29*$P$2</f>
        <v>341659977.43999994</v>
      </c>
      <c r="Q29" s="112"/>
      <c r="R29" s="112"/>
      <c r="S29" s="112"/>
      <c r="T29" s="112"/>
      <c r="V29" s="64">
        <f t="shared" ref="V29:V36" si="7">N29</f>
        <v>21061.519999999997</v>
      </c>
      <c r="W29" s="112"/>
      <c r="X29" s="112"/>
      <c r="Y29" s="112"/>
      <c r="Z29" s="112"/>
      <c r="AB29" s="89">
        <v>43497</v>
      </c>
      <c r="AC29" s="65"/>
    </row>
    <row r="30" spans="1:29" s="59" customFormat="1" outlineLevel="1" x14ac:dyDescent="0.25">
      <c r="B30" s="60"/>
      <c r="C30" s="61"/>
      <c r="D30" s="61"/>
      <c r="E30" s="61"/>
      <c r="F30" s="61"/>
      <c r="G30" s="61"/>
      <c r="H30" s="61"/>
      <c r="I30" s="76"/>
      <c r="J30" s="61"/>
      <c r="K30" s="61"/>
      <c r="L30" s="114" t="s">
        <v>214</v>
      </c>
      <c r="N30" s="63">
        <f>(89779*95.3%)-50000-5000-10000</f>
        <v>20559.387000000002</v>
      </c>
      <c r="P30" s="64">
        <f t="shared" si="6"/>
        <v>333514375.91400003</v>
      </c>
      <c r="Q30" s="112"/>
      <c r="R30" s="112"/>
      <c r="S30" s="112"/>
      <c r="T30" s="112"/>
      <c r="V30" s="64">
        <f t="shared" si="7"/>
        <v>20559.387000000002</v>
      </c>
      <c r="W30" s="112"/>
      <c r="X30" s="112"/>
      <c r="Y30" s="112"/>
      <c r="Z30" s="112"/>
      <c r="AB30" s="89">
        <v>43556</v>
      </c>
      <c r="AC30" s="65"/>
    </row>
    <row r="31" spans="1:29" s="59" customFormat="1" ht="30" outlineLevel="1" x14ac:dyDescent="0.25">
      <c r="B31" s="60"/>
      <c r="C31" s="61"/>
      <c r="D31" s="61"/>
      <c r="E31" s="61"/>
      <c r="F31" s="61"/>
      <c r="G31" s="61"/>
      <c r="H31" s="61"/>
      <c r="I31" s="76"/>
      <c r="J31" s="61"/>
      <c r="K31" s="61"/>
      <c r="L31" s="83" t="s">
        <v>215</v>
      </c>
      <c r="N31" s="63">
        <f>11403.7362637363*95.3%</f>
        <v>10867.760659340694</v>
      </c>
      <c r="P31" s="64">
        <f t="shared" si="6"/>
        <v>176296813.41582474</v>
      </c>
      <c r="Q31" s="112"/>
      <c r="R31" s="112"/>
      <c r="S31" s="112"/>
      <c r="T31" s="112"/>
      <c r="V31" s="64">
        <f t="shared" si="7"/>
        <v>10867.760659340694</v>
      </c>
      <c r="W31" s="112"/>
      <c r="X31" s="112"/>
      <c r="Y31" s="112"/>
      <c r="Z31" s="112"/>
      <c r="AB31" s="89">
        <v>43497</v>
      </c>
      <c r="AC31" s="65"/>
    </row>
    <row r="32" spans="1:29" s="59" customFormat="1" outlineLevel="1" x14ac:dyDescent="0.25">
      <c r="B32" s="60"/>
      <c r="C32" s="61"/>
      <c r="D32" s="61"/>
      <c r="E32" s="61"/>
      <c r="F32" s="61"/>
      <c r="G32" s="61"/>
      <c r="H32" s="61"/>
      <c r="I32" s="76"/>
      <c r="J32" s="61"/>
      <c r="K32" s="61"/>
      <c r="L32" s="83" t="s">
        <v>216</v>
      </c>
      <c r="N32" s="63">
        <f>(20734.0659340659*95.3%)-4000</f>
        <v>15759.564835164801</v>
      </c>
      <c r="P32" s="64">
        <f t="shared" si="6"/>
        <v>255651660.7560434</v>
      </c>
      <c r="Q32" s="112"/>
      <c r="R32" s="112"/>
      <c r="S32" s="112"/>
      <c r="T32" s="112"/>
      <c r="V32" s="64">
        <f t="shared" si="7"/>
        <v>15759.564835164801</v>
      </c>
      <c r="W32" s="112"/>
      <c r="X32" s="112"/>
      <c r="Y32" s="112"/>
      <c r="Z32" s="112"/>
      <c r="AB32" s="89">
        <v>43497</v>
      </c>
      <c r="AC32" s="65"/>
    </row>
    <row r="33" spans="2:29" s="59" customFormat="1" outlineLevel="1" x14ac:dyDescent="0.25">
      <c r="B33" s="60"/>
      <c r="C33" s="61"/>
      <c r="D33" s="61"/>
      <c r="E33" s="61"/>
      <c r="F33" s="61"/>
      <c r="G33" s="61"/>
      <c r="H33" s="61"/>
      <c r="I33" s="76"/>
      <c r="J33" s="61"/>
      <c r="K33" s="61"/>
      <c r="L33" s="83" t="s">
        <v>217</v>
      </c>
      <c r="N33" s="63">
        <f>(11268.9648351648*95.3%)</f>
        <v>10739.323487912054</v>
      </c>
      <c r="P33" s="64">
        <f t="shared" si="6"/>
        <v>174213305.62090933</v>
      </c>
      <c r="Q33" s="112"/>
      <c r="R33" s="112"/>
      <c r="S33" s="112"/>
      <c r="T33" s="112"/>
      <c r="V33" s="64">
        <f t="shared" si="7"/>
        <v>10739.323487912054</v>
      </c>
      <c r="W33" s="112"/>
      <c r="X33" s="112"/>
      <c r="Y33" s="112"/>
      <c r="Z33" s="112"/>
      <c r="AB33" s="89">
        <v>43497</v>
      </c>
      <c r="AC33" s="65"/>
    </row>
    <row r="34" spans="2:29" s="59" customFormat="1" outlineLevel="1" x14ac:dyDescent="0.25">
      <c r="B34" s="60"/>
      <c r="C34" s="61"/>
      <c r="D34" s="61"/>
      <c r="E34" s="61"/>
      <c r="F34" s="61"/>
      <c r="G34" s="61"/>
      <c r="H34" s="61"/>
      <c r="I34" s="76"/>
      <c r="J34" s="61"/>
      <c r="K34" s="61"/>
      <c r="L34" s="114" t="s">
        <v>218</v>
      </c>
      <c r="N34" s="63">
        <f>(2591.75824175824+17)*95.3%</f>
        <v>2486.1466043956025</v>
      </c>
      <c r="P34" s="64">
        <f t="shared" si="6"/>
        <v>40330270.21650546</v>
      </c>
      <c r="Q34" s="112"/>
      <c r="R34" s="112"/>
      <c r="S34" s="112"/>
      <c r="T34" s="112"/>
      <c r="V34" s="64">
        <f t="shared" si="7"/>
        <v>2486.1466043956025</v>
      </c>
      <c r="W34" s="112"/>
      <c r="X34" s="112"/>
      <c r="Y34" s="112"/>
      <c r="Z34" s="112"/>
      <c r="AB34" s="89">
        <v>43497</v>
      </c>
      <c r="AC34" s="65"/>
    </row>
    <row r="35" spans="2:29" s="59" customFormat="1" ht="30" outlineLevel="1" x14ac:dyDescent="0.25">
      <c r="B35" s="60"/>
      <c r="C35" s="61"/>
      <c r="D35" s="61"/>
      <c r="E35" s="61"/>
      <c r="F35" s="61"/>
      <c r="G35" s="61"/>
      <c r="H35" s="61"/>
      <c r="I35" s="76"/>
      <c r="J35" s="61"/>
      <c r="K35" s="61"/>
      <c r="L35" s="114" t="s">
        <v>219</v>
      </c>
      <c r="N35" s="63">
        <f>9071.15384615385*95.3%</f>
        <v>8644.8096153846182</v>
      </c>
      <c r="P35" s="64">
        <f t="shared" si="6"/>
        <v>140236101.58076927</v>
      </c>
      <c r="Q35" s="112"/>
      <c r="R35" s="112"/>
      <c r="S35" s="112"/>
      <c r="T35" s="112"/>
      <c r="V35" s="64">
        <f t="shared" si="7"/>
        <v>8644.8096153846182</v>
      </c>
      <c r="W35" s="112"/>
      <c r="X35" s="112"/>
      <c r="Y35" s="112"/>
      <c r="Z35" s="112"/>
      <c r="AB35" s="89">
        <v>43497</v>
      </c>
      <c r="AC35" s="65"/>
    </row>
    <row r="36" spans="2:29" s="59" customFormat="1" outlineLevel="1" x14ac:dyDescent="0.25">
      <c r="B36" s="60"/>
      <c r="C36" s="61"/>
      <c r="D36" s="61"/>
      <c r="E36" s="61"/>
      <c r="F36" s="61"/>
      <c r="G36" s="61"/>
      <c r="H36" s="61"/>
      <c r="I36" s="76"/>
      <c r="J36" s="61"/>
      <c r="K36" s="61"/>
      <c r="L36" s="114" t="s">
        <v>220</v>
      </c>
      <c r="N36" s="63">
        <f>12440.4395604396*95.3%</f>
        <v>11855.738901098937</v>
      </c>
      <c r="P36" s="64">
        <f t="shared" si="6"/>
        <v>192323796.45362696</v>
      </c>
      <c r="Q36" s="112"/>
      <c r="R36" s="112"/>
      <c r="S36" s="112"/>
      <c r="T36" s="112"/>
      <c r="V36" s="64">
        <f t="shared" si="7"/>
        <v>11855.738901098937</v>
      </c>
      <c r="W36" s="112"/>
      <c r="X36" s="112"/>
      <c r="Y36" s="112"/>
      <c r="Z36" s="112"/>
      <c r="AB36" s="89">
        <v>43497</v>
      </c>
      <c r="AC36" s="65"/>
    </row>
    <row r="37" spans="2:29" s="59" customFormat="1" ht="30" outlineLevel="1" x14ac:dyDescent="0.25">
      <c r="B37" s="60" t="s">
        <v>16</v>
      </c>
      <c r="C37" s="61" t="s">
        <v>50</v>
      </c>
      <c r="D37" s="61" t="s">
        <v>17</v>
      </c>
      <c r="E37" s="61" t="s">
        <v>33</v>
      </c>
      <c r="F37" s="201" t="str">
        <f>LEFT(K37,4)</f>
        <v>CGMM</v>
      </c>
      <c r="G37" s="202" t="str">
        <f>TEXT(RIGHT(K37,4),"0000")</f>
        <v>9003</v>
      </c>
      <c r="H37" s="200" t="str">
        <f>IF(TEXT(RIGHT(LEFT(K37,6),2),"00")="00","20",TEXT(RIGHT(LEFT(K37,6),2),"00"))</f>
        <v>MT</v>
      </c>
      <c r="I37" s="76" t="s">
        <v>51</v>
      </c>
      <c r="J37" s="61">
        <v>2019</v>
      </c>
      <c r="K37" s="102" t="s">
        <v>142</v>
      </c>
      <c r="L37" s="62" t="s">
        <v>156</v>
      </c>
      <c r="N37" s="63">
        <f>((161726-50000)*84%)+50000+24000</f>
        <v>167849.84</v>
      </c>
      <c r="P37" s="63">
        <f>N37*$P$2</f>
        <v>2722860104.48</v>
      </c>
      <c r="Q37" s="63">
        <f>'PR List 2019'!F94</f>
        <v>0</v>
      </c>
      <c r="R37" s="63">
        <f>'PR List 2019'!G94</f>
        <v>2385275000</v>
      </c>
      <c r="S37" s="63">
        <f>'PR List 2019'!H94</f>
        <v>468446320</v>
      </c>
      <c r="T37" s="64">
        <f>P37-(Q37+R37+S37)</f>
        <v>-130861215.51999998</v>
      </c>
      <c r="V37" s="63">
        <f>N37</f>
        <v>167849.84</v>
      </c>
      <c r="W37" s="64">
        <f>Q37/$P$2</f>
        <v>0</v>
      </c>
      <c r="X37" s="64">
        <f>R37/$P$2</f>
        <v>147039.51423992109</v>
      </c>
      <c r="Y37" s="64">
        <f>S37/$P$2</f>
        <v>28877.223523609911</v>
      </c>
      <c r="Z37" s="64">
        <f>T37/$P$2</f>
        <v>-8066.8977635310057</v>
      </c>
      <c r="AB37" s="89">
        <v>43466</v>
      </c>
      <c r="AC37" s="65" t="s">
        <v>31</v>
      </c>
    </row>
    <row r="38" spans="2:29" s="59" customFormat="1" x14ac:dyDescent="0.25">
      <c r="B38" s="60" t="s">
        <v>16</v>
      </c>
      <c r="C38" s="61"/>
      <c r="D38" s="61"/>
      <c r="E38" s="61" t="s">
        <v>35</v>
      </c>
      <c r="F38" s="201" t="str">
        <f>LEFT(K38,4)</f>
        <v>CGMM</v>
      </c>
      <c r="G38" s="202" t="str">
        <f>TEXT(RIGHT(K38,4),"0000")</f>
        <v>9004</v>
      </c>
      <c r="H38" s="200" t="str">
        <f>IF(TEXT(RIGHT(LEFT(K38,6),2),"00")="00","20",TEXT(RIGHT(LEFT(K38,6),2),"00"))</f>
        <v>MT</v>
      </c>
      <c r="I38" s="76" t="s">
        <v>51</v>
      </c>
      <c r="J38" s="61">
        <v>2019</v>
      </c>
      <c r="K38" s="102" t="s">
        <v>143</v>
      </c>
      <c r="L38" s="66" t="s">
        <v>13</v>
      </c>
      <c r="N38" s="63">
        <f>(50000-25000)*96.2%</f>
        <v>24050.000000000004</v>
      </c>
      <c r="P38" s="63">
        <f>N38*$P$2</f>
        <v>390139100.00000006</v>
      </c>
      <c r="Q38" s="64">
        <f>'PR List 2019'!F101</f>
        <v>0</v>
      </c>
      <c r="R38" s="64">
        <f>'PR List 2019'!G101</f>
        <v>0</v>
      </c>
      <c r="S38" s="64">
        <f>'PR List 2019'!H101</f>
        <v>0</v>
      </c>
      <c r="T38" s="64">
        <f>P38-(Q38+R38+S38)</f>
        <v>390139100.00000006</v>
      </c>
      <c r="V38" s="63">
        <f>N38</f>
        <v>24050.000000000004</v>
      </c>
      <c r="W38" s="64">
        <f t="shared" ref="W38:W73" si="8">Q38/$P$2</f>
        <v>0</v>
      </c>
      <c r="X38" s="64">
        <f t="shared" ref="X38:X73" si="9">R38/$P$2</f>
        <v>0</v>
      </c>
      <c r="Y38" s="64">
        <f t="shared" ref="Y38:Y73" si="10">S38/$P$2</f>
        <v>0</v>
      </c>
      <c r="Z38" s="64">
        <f t="shared" ref="Z38:Z76" si="11">T38/$P$2</f>
        <v>24050.000000000004</v>
      </c>
      <c r="AB38" s="89">
        <v>43525</v>
      </c>
      <c r="AC38" s="65" t="s">
        <v>31</v>
      </c>
    </row>
    <row r="39" spans="2:29" x14ac:dyDescent="0.25">
      <c r="B39" s="17"/>
      <c r="C39" s="18"/>
      <c r="D39" s="18" t="s">
        <v>14</v>
      </c>
      <c r="E39" s="18"/>
      <c r="F39" s="18"/>
      <c r="G39" s="18"/>
      <c r="H39" s="18"/>
      <c r="I39" s="52"/>
      <c r="J39" s="18"/>
      <c r="K39" s="18"/>
      <c r="L39" s="52" t="s">
        <v>2</v>
      </c>
      <c r="N39" s="19">
        <f>N20+N28+N37+N38</f>
        <v>354381.49800000002</v>
      </c>
      <c r="P39" s="19">
        <f>P20+P28+P37+P38</f>
        <v>5748776660.5559998</v>
      </c>
      <c r="Q39" s="19">
        <f>Q20+Q28+Q37+Q38</f>
        <v>0</v>
      </c>
      <c r="R39" s="19">
        <f>R20+R28+R37+R38</f>
        <v>2385275000</v>
      </c>
      <c r="S39" s="19">
        <f>S20+S28+S37+S38</f>
        <v>3359575834</v>
      </c>
      <c r="T39" s="19">
        <f>T20+T28+T37+T38</f>
        <v>3925826.5560001731</v>
      </c>
      <c r="V39" s="19">
        <f>V20+V28+V37+V38</f>
        <v>354381.49800000002</v>
      </c>
      <c r="W39" s="19">
        <f>W20+W28+W37+W38</f>
        <v>0</v>
      </c>
      <c r="X39" s="19">
        <f>X20+X28+X37+X38</f>
        <v>147039.51423992109</v>
      </c>
      <c r="Y39" s="19">
        <f>Y20+Y28+Y37+Y38</f>
        <v>207099.97743804709</v>
      </c>
      <c r="Z39" s="19">
        <f>Z20+Z28+Z37+Z38</f>
        <v>242.00632203182249</v>
      </c>
      <c r="AB39" s="87"/>
      <c r="AC39" s="20">
        <f>SUM(AC20:AC38)</f>
        <v>0</v>
      </c>
    </row>
    <row r="40" spans="2:29" x14ac:dyDescent="0.25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N40" s="13"/>
      <c r="P40" s="13"/>
      <c r="Q40" s="32"/>
      <c r="R40" s="32"/>
      <c r="S40" s="32"/>
      <c r="T40" s="32"/>
      <c r="V40" s="13"/>
      <c r="W40" s="39">
        <f t="shared" si="8"/>
        <v>0</v>
      </c>
      <c r="X40" s="39">
        <f t="shared" si="9"/>
        <v>0</v>
      </c>
      <c r="Y40" s="39">
        <f t="shared" si="10"/>
        <v>0</v>
      </c>
      <c r="Z40" s="39">
        <f t="shared" si="11"/>
        <v>0</v>
      </c>
      <c r="AC40" s="13"/>
    </row>
    <row r="41" spans="2:29" outlineLevel="1" x14ac:dyDescent="0.25">
      <c r="B41" s="14" t="s">
        <v>11</v>
      </c>
      <c r="C41" s="4" t="s">
        <v>50</v>
      </c>
      <c r="D41" s="4"/>
      <c r="E41" s="4" t="s">
        <v>35</v>
      </c>
      <c r="F41" s="201" t="str">
        <f>LEFT(K41,4)</f>
        <v>CGMM</v>
      </c>
      <c r="G41" s="202" t="str">
        <f>TEXT(RIGHT(K41,4),"0000")</f>
        <v>9000</v>
      </c>
      <c r="H41" s="200" t="str">
        <f>IF(TEXT(RIGHT(LEFT(K41,6),2),"00")="00","20",TEXT(RIGHT(LEFT(K41,6),2),"00"))</f>
        <v>MT</v>
      </c>
      <c r="I41" s="75"/>
      <c r="J41" s="4">
        <v>2019</v>
      </c>
      <c r="K41" s="101" t="s">
        <v>133</v>
      </c>
      <c r="L41" s="55" t="s">
        <v>311</v>
      </c>
      <c r="N41" s="5">
        <v>23674</v>
      </c>
      <c r="P41" s="15">
        <f t="shared" ref="P41:P49" si="12">N41*$P$2</f>
        <v>384039628</v>
      </c>
      <c r="Q41" s="5">
        <f>'PR List 2019'!F108</f>
        <v>0</v>
      </c>
      <c r="R41" s="5">
        <f>'PR List 2019'!G108</f>
        <v>144130000</v>
      </c>
      <c r="S41" s="5">
        <f>'PR List 2019'!H108</f>
        <v>251770000</v>
      </c>
      <c r="T41" s="15">
        <f>P41-(Q41+R41+S41)</f>
        <v>-11860372</v>
      </c>
      <c r="V41" s="15">
        <f>N41</f>
        <v>23674</v>
      </c>
      <c r="W41" s="15">
        <f t="shared" si="8"/>
        <v>0</v>
      </c>
      <c r="X41" s="15">
        <f t="shared" si="9"/>
        <v>8884.8477376402425</v>
      </c>
      <c r="Y41" s="15">
        <f t="shared" si="10"/>
        <v>15520.281099741092</v>
      </c>
      <c r="Z41" s="15">
        <f>T41/$P$2</f>
        <v>-731.12883738133394</v>
      </c>
      <c r="AB41" s="88"/>
      <c r="AC41" s="16" t="s">
        <v>31</v>
      </c>
    </row>
    <row r="42" spans="2:29" s="59" customFormat="1" outlineLevel="1" x14ac:dyDescent="0.25">
      <c r="B42" s="60"/>
      <c r="C42" s="61"/>
      <c r="D42" s="61"/>
      <c r="E42" s="61"/>
      <c r="F42" s="61"/>
      <c r="G42" s="61"/>
      <c r="H42" s="61"/>
      <c r="I42" s="76"/>
      <c r="J42" s="61"/>
      <c r="K42" s="61"/>
      <c r="L42" s="83" t="s">
        <v>313</v>
      </c>
      <c r="N42" s="63">
        <f>11200*96.2%*0</f>
        <v>0</v>
      </c>
      <c r="P42" s="15">
        <f t="shared" si="12"/>
        <v>0</v>
      </c>
      <c r="Q42" s="112"/>
      <c r="R42" s="112"/>
      <c r="S42" s="112"/>
      <c r="T42" s="112"/>
      <c r="V42" s="15">
        <f t="shared" ref="V42:V48" si="13">N42</f>
        <v>0</v>
      </c>
      <c r="W42" s="112"/>
      <c r="X42" s="112"/>
      <c r="Y42" s="112"/>
      <c r="Z42" s="112"/>
      <c r="AB42" s="89">
        <v>43525</v>
      </c>
      <c r="AC42" s="65"/>
    </row>
    <row r="43" spans="2:29" s="59" customFormat="1" outlineLevel="1" x14ac:dyDescent="0.25">
      <c r="B43" s="60"/>
      <c r="C43" s="61"/>
      <c r="D43" s="61"/>
      <c r="E43" s="61"/>
      <c r="F43" s="61"/>
      <c r="G43" s="61"/>
      <c r="H43" s="61"/>
      <c r="I43" s="76"/>
      <c r="J43" s="61"/>
      <c r="K43" s="61"/>
      <c r="L43" s="83" t="s">
        <v>314</v>
      </c>
      <c r="N43" s="63">
        <v>23674</v>
      </c>
      <c r="P43" s="15">
        <f t="shared" si="12"/>
        <v>384039628</v>
      </c>
      <c r="Q43" s="112"/>
      <c r="R43" s="112"/>
      <c r="S43" s="112"/>
      <c r="T43" s="112"/>
      <c r="V43" s="15">
        <f t="shared" si="13"/>
        <v>23674</v>
      </c>
      <c r="W43" s="112"/>
      <c r="X43" s="112"/>
      <c r="Y43" s="112"/>
      <c r="Z43" s="112"/>
      <c r="AB43" s="89">
        <v>43586</v>
      </c>
      <c r="AC43" s="65"/>
    </row>
    <row r="44" spans="2:29" s="59" customFormat="1" outlineLevel="1" x14ac:dyDescent="0.25">
      <c r="B44" s="60"/>
      <c r="C44" s="61"/>
      <c r="D44" s="61"/>
      <c r="E44" s="61"/>
      <c r="F44" s="61"/>
      <c r="G44" s="61"/>
      <c r="H44" s="61"/>
      <c r="I44" s="76"/>
      <c r="J44" s="61"/>
      <c r="K44" s="61"/>
      <c r="L44" s="83" t="s">
        <v>315</v>
      </c>
      <c r="N44" s="63">
        <f>((143300*96.2%)-54700)*0</f>
        <v>0</v>
      </c>
      <c r="P44" s="15">
        <f t="shared" si="12"/>
        <v>0</v>
      </c>
      <c r="Q44" s="112"/>
      <c r="R44" s="112"/>
      <c r="S44" s="112"/>
      <c r="T44" s="112"/>
      <c r="V44" s="15">
        <f t="shared" si="13"/>
        <v>0</v>
      </c>
      <c r="W44" s="112"/>
      <c r="X44" s="112"/>
      <c r="Y44" s="112"/>
      <c r="Z44" s="112"/>
      <c r="AB44" s="89">
        <v>43647</v>
      </c>
      <c r="AC44" s="65"/>
    </row>
    <row r="45" spans="2:29" s="59" customFormat="1" outlineLevel="1" x14ac:dyDescent="0.25">
      <c r="B45" s="60"/>
      <c r="C45" s="61"/>
      <c r="D45" s="61"/>
      <c r="E45" s="61" t="s">
        <v>35</v>
      </c>
      <c r="F45" s="201" t="str">
        <f>LEFT(K45,4)</f>
        <v>CGMM</v>
      </c>
      <c r="G45" s="202" t="str">
        <f>TEXT(RIGHT(K45,4),"0000")</f>
        <v>9006</v>
      </c>
      <c r="H45" s="200" t="str">
        <f>IF(TEXT(RIGHT(LEFT(K45,6),2),"00")="00","20",TEXT(RIGHT(LEFT(K45,6),2),"00"))</f>
        <v>MT</v>
      </c>
      <c r="I45" s="76"/>
      <c r="J45" s="61">
        <v>2019</v>
      </c>
      <c r="K45" s="102" t="s">
        <v>309</v>
      </c>
      <c r="L45" s="62" t="s">
        <v>310</v>
      </c>
      <c r="N45" s="63">
        <f>61200*96.2%*0</f>
        <v>0</v>
      </c>
      <c r="P45" s="15">
        <f t="shared" si="12"/>
        <v>0</v>
      </c>
      <c r="Q45" s="63">
        <f>'PR List 2019'!F115</f>
        <v>0</v>
      </c>
      <c r="R45" s="63">
        <f>'PR List 2019'!G115</f>
        <v>0</v>
      </c>
      <c r="S45" s="63">
        <f>'PR List 2019'!H115</f>
        <v>0</v>
      </c>
      <c r="T45" s="15">
        <f>P45-(Q45+R45+S45)</f>
        <v>0</v>
      </c>
      <c r="V45" s="15">
        <f t="shared" si="13"/>
        <v>0</v>
      </c>
      <c r="W45" s="15">
        <f>Q45/$P$2</f>
        <v>0</v>
      </c>
      <c r="X45" s="15">
        <f>R45/$P$2</f>
        <v>0</v>
      </c>
      <c r="Y45" s="15">
        <f>S45/$P$2</f>
        <v>0</v>
      </c>
      <c r="Z45" s="15">
        <f>T45/$P$2</f>
        <v>0</v>
      </c>
      <c r="AB45" s="89"/>
      <c r="AC45" s="65"/>
    </row>
    <row r="46" spans="2:29" s="59" customFormat="1" outlineLevel="1" x14ac:dyDescent="0.25">
      <c r="B46" s="60"/>
      <c r="C46" s="61"/>
      <c r="D46" s="61"/>
      <c r="E46" s="61"/>
      <c r="F46" s="61"/>
      <c r="G46" s="61"/>
      <c r="H46" s="61"/>
      <c r="I46" s="76"/>
      <c r="J46" s="61"/>
      <c r="K46" s="61"/>
      <c r="L46" s="83" t="s">
        <v>313</v>
      </c>
      <c r="N46" s="63">
        <f>11200*96.2%*0</f>
        <v>0</v>
      </c>
      <c r="P46" s="15">
        <f t="shared" si="12"/>
        <v>0</v>
      </c>
      <c r="Q46" s="112"/>
      <c r="R46" s="112"/>
      <c r="S46" s="112"/>
      <c r="T46" s="112"/>
      <c r="V46" s="15">
        <f t="shared" si="13"/>
        <v>0</v>
      </c>
      <c r="W46" s="112"/>
      <c r="X46" s="112"/>
      <c r="Y46" s="112"/>
      <c r="Z46" s="112"/>
      <c r="AB46" s="89">
        <v>43525</v>
      </c>
      <c r="AC46" s="65"/>
    </row>
    <row r="47" spans="2:29" s="59" customFormat="1" outlineLevel="1" x14ac:dyDescent="0.25">
      <c r="B47" s="60"/>
      <c r="C47" s="61"/>
      <c r="D47" s="61"/>
      <c r="E47" s="61"/>
      <c r="F47" s="61"/>
      <c r="G47" s="61"/>
      <c r="H47" s="61"/>
      <c r="I47" s="76"/>
      <c r="J47" s="61"/>
      <c r="K47" s="61"/>
      <c r="L47" s="83" t="s">
        <v>316</v>
      </c>
      <c r="N47" s="63">
        <f>50000*96.2%*0</f>
        <v>0</v>
      </c>
      <c r="P47" s="15">
        <f t="shared" si="12"/>
        <v>0</v>
      </c>
      <c r="Q47" s="112"/>
      <c r="R47" s="112"/>
      <c r="S47" s="112"/>
      <c r="T47" s="112"/>
      <c r="V47" s="15">
        <f t="shared" si="13"/>
        <v>0</v>
      </c>
      <c r="W47" s="112"/>
      <c r="X47" s="112"/>
      <c r="Y47" s="112"/>
      <c r="Z47" s="112"/>
      <c r="AB47" s="89">
        <v>43678</v>
      </c>
      <c r="AC47" s="65"/>
    </row>
    <row r="48" spans="2:29" s="59" customFormat="1" outlineLevel="1" x14ac:dyDescent="0.25">
      <c r="B48" s="60"/>
      <c r="C48" s="61"/>
      <c r="D48" s="61"/>
      <c r="E48" s="61" t="s">
        <v>35</v>
      </c>
      <c r="F48" s="201" t="str">
        <f>LEFT(K48,4)</f>
        <v>CGMM</v>
      </c>
      <c r="G48" s="202" t="str">
        <f>TEXT(RIGHT(K48,4),"0000")</f>
        <v>9007</v>
      </c>
      <c r="H48" s="200" t="str">
        <f>IF(TEXT(RIGHT(LEFT(K48,6),2),"00")="00","20",TEXT(RIGHT(LEFT(K48,6),2),"00"))</f>
        <v>MT</v>
      </c>
      <c r="I48" s="76"/>
      <c r="J48" s="61">
        <v>2019</v>
      </c>
      <c r="K48" s="102" t="s">
        <v>342</v>
      </c>
      <c r="L48" s="62" t="s">
        <v>343</v>
      </c>
      <c r="N48" s="63">
        <f>(2000*96.2%)-1015</f>
        <v>909.00000000000023</v>
      </c>
      <c r="P48" s="15">
        <f t="shared" si="12"/>
        <v>14745798.000000004</v>
      </c>
      <c r="Q48" s="63">
        <f>'PR List 2019'!F122</f>
        <v>0</v>
      </c>
      <c r="R48" s="63">
        <f>'PR List 2019'!G122</f>
        <v>0</v>
      </c>
      <c r="S48" s="63">
        <f>'PR List 2019'!H122</f>
        <v>15195000</v>
      </c>
      <c r="T48" s="15">
        <f>P48-(Q48+R48+S48)</f>
        <v>-449201.99999999627</v>
      </c>
      <c r="V48" s="15">
        <f t="shared" si="13"/>
        <v>909.00000000000023</v>
      </c>
      <c r="W48" s="15">
        <f>Q48/$P$2</f>
        <v>0</v>
      </c>
      <c r="X48" s="15">
        <f>R48/$P$2</f>
        <v>0</v>
      </c>
      <c r="Y48" s="15">
        <f>S48/$P$2</f>
        <v>936.69091357415857</v>
      </c>
      <c r="Z48" s="15">
        <f>T48/$P$2</f>
        <v>-27.690913574158319</v>
      </c>
      <c r="AB48" s="89">
        <v>43678</v>
      </c>
      <c r="AC48" s="65"/>
    </row>
    <row r="49" spans="2:29" outlineLevel="1" x14ac:dyDescent="0.25">
      <c r="B49" s="17"/>
      <c r="C49" s="18"/>
      <c r="D49" s="18" t="s">
        <v>14</v>
      </c>
      <c r="E49" s="18"/>
      <c r="F49" s="18"/>
      <c r="G49" s="18"/>
      <c r="H49" s="18"/>
      <c r="I49" s="52"/>
      <c r="J49" s="18"/>
      <c r="K49" s="18"/>
      <c r="L49" s="52" t="s">
        <v>73</v>
      </c>
      <c r="M49" s="21"/>
      <c r="N49" s="19">
        <f>N41+N45+N48</f>
        <v>24583</v>
      </c>
      <c r="P49" s="19">
        <f t="shared" si="12"/>
        <v>398785426</v>
      </c>
      <c r="Q49" s="19">
        <f>Q41+Q45+Q48</f>
        <v>0</v>
      </c>
      <c r="R49" s="19">
        <f>R41+R45+R48</f>
        <v>144130000</v>
      </c>
      <c r="S49" s="19">
        <f>S41+S45+S48</f>
        <v>266965000</v>
      </c>
      <c r="T49" s="19">
        <f>T41+T45+T48</f>
        <v>-12309573.999999996</v>
      </c>
      <c r="V49" s="19">
        <f>N49</f>
        <v>24583</v>
      </c>
      <c r="W49" s="19">
        <f t="shared" si="8"/>
        <v>0</v>
      </c>
      <c r="X49" s="19">
        <f t="shared" si="9"/>
        <v>8884.8477376402425</v>
      </c>
      <c r="Y49" s="19">
        <f t="shared" si="10"/>
        <v>16456.972013315251</v>
      </c>
      <c r="Z49" s="19">
        <f>T49/$P$2</f>
        <v>-758.81975095549228</v>
      </c>
      <c r="AB49" s="87"/>
      <c r="AC49" s="20"/>
    </row>
    <row r="50" spans="2:29" x14ac:dyDescent="0.25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N50" s="13"/>
      <c r="P50" s="13"/>
      <c r="Q50" s="32"/>
      <c r="R50" s="32"/>
      <c r="S50" s="32"/>
      <c r="T50" s="32"/>
      <c r="V50" s="13"/>
      <c r="W50" s="32">
        <f t="shared" si="8"/>
        <v>0</v>
      </c>
      <c r="X50" s="32">
        <f t="shared" si="9"/>
        <v>0</v>
      </c>
      <c r="Y50" s="32">
        <f t="shared" si="10"/>
        <v>0</v>
      </c>
      <c r="Z50" s="32">
        <f t="shared" si="11"/>
        <v>0</v>
      </c>
      <c r="AC50" s="13"/>
    </row>
    <row r="51" spans="2:29" ht="30" x14ac:dyDescent="0.25">
      <c r="B51" s="14" t="s">
        <v>11</v>
      </c>
      <c r="C51" s="4" t="s">
        <v>50</v>
      </c>
      <c r="D51" s="4" t="s">
        <v>18</v>
      </c>
      <c r="E51" s="4" t="s">
        <v>35</v>
      </c>
      <c r="F51" s="201" t="str">
        <f>LEFT(K51,4)</f>
        <v>CGMM</v>
      </c>
      <c r="G51" s="202" t="str">
        <f>TEXT(RIGHT(K51,4),"0000")</f>
        <v>9001</v>
      </c>
      <c r="H51" s="200" t="str">
        <f>IF(TEXT(RIGHT(LEFT(K51,6),2),"00")="00","20",TEXT(RIGHT(LEFT(K51,6),2),"00"))</f>
        <v>QP</v>
      </c>
      <c r="I51" s="75" t="s">
        <v>74</v>
      </c>
      <c r="J51" s="4">
        <v>2019</v>
      </c>
      <c r="K51" s="101" t="s">
        <v>129</v>
      </c>
      <c r="L51" s="53" t="s">
        <v>157</v>
      </c>
      <c r="M51" s="21"/>
      <c r="N51" s="15">
        <f>(7500+7500)*96.2%</f>
        <v>14430.000000000002</v>
      </c>
      <c r="P51" s="15">
        <f>N51*$P$2</f>
        <v>234083460.00000003</v>
      </c>
      <c r="Q51" s="5">
        <f>'PR List 2019'!F129</f>
        <v>0</v>
      </c>
      <c r="R51" s="5">
        <f>'PR List 2019'!G129</f>
        <v>130996141</v>
      </c>
      <c r="S51" s="5">
        <f>'PR List 2019'!H129</f>
        <v>135045436</v>
      </c>
      <c r="T51" s="15">
        <f>P51-(Q51+R51+S51)</f>
        <v>-31958116.99999997</v>
      </c>
      <c r="V51" s="15">
        <f>N51</f>
        <v>14430.000000000002</v>
      </c>
      <c r="W51" s="15">
        <f t="shared" si="8"/>
        <v>0</v>
      </c>
      <c r="X51" s="15">
        <f t="shared" si="9"/>
        <v>8075.2152015781039</v>
      </c>
      <c r="Y51" s="15">
        <f t="shared" si="10"/>
        <v>8324.8326963383061</v>
      </c>
      <c r="Z51" s="15">
        <f t="shared" si="11"/>
        <v>-1970.0478979164079</v>
      </c>
      <c r="AB51" s="88">
        <v>43556</v>
      </c>
      <c r="AC51" s="16" t="s">
        <v>31</v>
      </c>
    </row>
    <row r="52" spans="2:29" x14ac:dyDescent="0.25">
      <c r="B52" s="14" t="s">
        <v>11</v>
      </c>
      <c r="C52" s="4" t="s">
        <v>50</v>
      </c>
      <c r="D52" s="4" t="s">
        <v>18</v>
      </c>
      <c r="E52" s="4" t="s">
        <v>35</v>
      </c>
      <c r="F52" s="201" t="str">
        <f>LEFT(K52,4)</f>
        <v>CGMM</v>
      </c>
      <c r="G52" s="202" t="str">
        <f>TEXT(RIGHT(K52,4),"0000")</f>
        <v>9002</v>
      </c>
      <c r="H52" s="200" t="str">
        <f>IF(TEXT(RIGHT(LEFT(K52,6),2),"00")="00","20",TEXT(RIGHT(LEFT(K52,6),2),"00"))</f>
        <v>QP</v>
      </c>
      <c r="I52" s="75" t="s">
        <v>74</v>
      </c>
      <c r="J52" s="4">
        <v>2019</v>
      </c>
      <c r="K52" s="101" t="s">
        <v>130</v>
      </c>
      <c r="L52" s="53" t="s">
        <v>19</v>
      </c>
      <c r="M52" s="21"/>
      <c r="N52" s="5">
        <f>(200000-100000)*96.2%</f>
        <v>96200.000000000015</v>
      </c>
      <c r="P52" s="5">
        <f>N52*$P$2</f>
        <v>1560556400.0000002</v>
      </c>
      <c r="Q52" s="5">
        <f>'PR List 2019'!F142</f>
        <v>0</v>
      </c>
      <c r="R52" s="5">
        <f>'PR List 2019'!G142</f>
        <v>1044631381</v>
      </c>
      <c r="S52" s="5">
        <f>'PR List 2019'!H142</f>
        <v>132180000</v>
      </c>
      <c r="T52" s="15">
        <f>P52-(Q52+R52+S52)</f>
        <v>383745019.00000024</v>
      </c>
      <c r="V52" s="5">
        <f>N52</f>
        <v>96200.000000000015</v>
      </c>
      <c r="W52" s="15">
        <f t="shared" si="8"/>
        <v>0</v>
      </c>
      <c r="X52" s="15">
        <f t="shared" si="9"/>
        <v>64395.967266674888</v>
      </c>
      <c r="Y52" s="15">
        <f t="shared" si="10"/>
        <v>8148.1938108741215</v>
      </c>
      <c r="Z52" s="15">
        <f t="shared" si="11"/>
        <v>23655.838922451007</v>
      </c>
      <c r="AB52" s="88">
        <v>43525</v>
      </c>
      <c r="AC52" s="16" t="s">
        <v>31</v>
      </c>
    </row>
    <row r="53" spans="2:29" ht="30" x14ac:dyDescent="0.25">
      <c r="B53" s="14" t="s">
        <v>11</v>
      </c>
      <c r="C53" s="4" t="s">
        <v>50</v>
      </c>
      <c r="D53" s="4" t="s">
        <v>21</v>
      </c>
      <c r="E53" s="22" t="s">
        <v>35</v>
      </c>
      <c r="F53" s="201" t="str">
        <f>LEFT(K53,4)</f>
        <v>CGMM</v>
      </c>
      <c r="G53" s="202" t="str">
        <f>TEXT(RIGHT(K53,4),"0000")</f>
        <v>9003</v>
      </c>
      <c r="H53" s="200" t="str">
        <f>IF(TEXT(RIGHT(LEFT(K53,6),2),"00")="00","20",TEXT(RIGHT(LEFT(K53,6),2),"00"))</f>
        <v>QP</v>
      </c>
      <c r="I53" s="74" t="s">
        <v>94</v>
      </c>
      <c r="J53" s="22">
        <v>2019</v>
      </c>
      <c r="K53" s="101" t="s">
        <v>132</v>
      </c>
      <c r="L53" s="51" t="s">
        <v>22</v>
      </c>
      <c r="M53" s="21"/>
      <c r="N53" s="5">
        <f>20000-20000</f>
        <v>0</v>
      </c>
      <c r="P53" s="5">
        <f>N53*$P$2</f>
        <v>0</v>
      </c>
      <c r="Q53" s="5">
        <f>'PR List 2019'!F149</f>
        <v>0</v>
      </c>
      <c r="R53" s="5">
        <f>'PR List 2019'!G149</f>
        <v>0</v>
      </c>
      <c r="S53" s="5">
        <f>'PR List 2019'!H149</f>
        <v>0</v>
      </c>
      <c r="T53" s="15">
        <f>P53-(Q53+R53+S53)</f>
        <v>0</v>
      </c>
      <c r="V53" s="5">
        <f>N53</f>
        <v>0</v>
      </c>
      <c r="W53" s="15">
        <f t="shared" si="8"/>
        <v>0</v>
      </c>
      <c r="X53" s="15">
        <f t="shared" si="9"/>
        <v>0</v>
      </c>
      <c r="Y53" s="15">
        <f t="shared" si="10"/>
        <v>0</v>
      </c>
      <c r="Z53" s="15">
        <f t="shared" si="11"/>
        <v>0</v>
      </c>
      <c r="AB53" s="88"/>
      <c r="AC53" s="16" t="s">
        <v>30</v>
      </c>
    </row>
    <row r="54" spans="2:29" x14ac:dyDescent="0.25">
      <c r="B54" s="14" t="s">
        <v>11</v>
      </c>
      <c r="C54" s="4" t="s">
        <v>93</v>
      </c>
      <c r="D54" s="4" t="s">
        <v>18</v>
      </c>
      <c r="E54" s="22" t="s">
        <v>35</v>
      </c>
      <c r="F54" s="201" t="str">
        <f>LEFT(K54,4)</f>
        <v>EGMM</v>
      </c>
      <c r="G54" s="202" t="str">
        <f>TEXT(RIGHT(K54,4),"0000")</f>
        <v>9001</v>
      </c>
      <c r="H54" s="200" t="str">
        <f>IF(TEXT(RIGHT(LEFT(K54,6),2),"00")="00","20",TEXT(RIGHT(LEFT(K54,6),2),"00"))</f>
        <v>QP</v>
      </c>
      <c r="I54" s="74" t="s">
        <v>74</v>
      </c>
      <c r="J54" s="22">
        <v>2019</v>
      </c>
      <c r="K54" s="22" t="s">
        <v>131</v>
      </c>
      <c r="L54" s="53" t="s">
        <v>20</v>
      </c>
      <c r="M54" s="21"/>
      <c r="N54" s="5">
        <f>7500*96.2%</f>
        <v>7215.0000000000009</v>
      </c>
      <c r="P54" s="5">
        <f>N54*$P$2</f>
        <v>117041730.00000001</v>
      </c>
      <c r="Q54" s="5">
        <f>'PR List 2019'!F449</f>
        <v>16492125</v>
      </c>
      <c r="R54" s="5">
        <f>'PR List 2019'!G449</f>
        <v>0</v>
      </c>
      <c r="S54" s="5">
        <f>'PR List 2019'!H449</f>
        <v>39136012</v>
      </c>
      <c r="T54" s="15">
        <f>P54-(Q54+R54+S54)</f>
        <v>61413593.000000015</v>
      </c>
      <c r="V54" s="5">
        <f>N54</f>
        <v>7215.0000000000009</v>
      </c>
      <c r="W54" s="15">
        <f t="shared" si="8"/>
        <v>1016.6517692023178</v>
      </c>
      <c r="X54" s="15">
        <f t="shared" si="9"/>
        <v>0</v>
      </c>
      <c r="Y54" s="15">
        <f t="shared" si="10"/>
        <v>2412.5269387251878</v>
      </c>
      <c r="Z54" s="15">
        <f t="shared" si="11"/>
        <v>3785.821292072495</v>
      </c>
      <c r="AB54" s="88">
        <v>43525</v>
      </c>
      <c r="AC54" s="16" t="s">
        <v>31</v>
      </c>
    </row>
    <row r="55" spans="2:29" x14ac:dyDescent="0.25">
      <c r="B55" s="17"/>
      <c r="C55" s="18"/>
      <c r="D55" s="18" t="s">
        <v>14</v>
      </c>
      <c r="E55" s="18"/>
      <c r="F55" s="18"/>
      <c r="G55" s="18"/>
      <c r="H55" s="18"/>
      <c r="I55" s="52"/>
      <c r="J55" s="18"/>
      <c r="K55" s="18"/>
      <c r="L55" s="52" t="s">
        <v>3</v>
      </c>
      <c r="M55" s="21"/>
      <c r="N55" s="19">
        <f>SUM(N51:N54)</f>
        <v>117845.00000000001</v>
      </c>
      <c r="P55" s="19">
        <f>N55*$P$2</f>
        <v>1911681590.0000002</v>
      </c>
      <c r="Q55" s="19">
        <f>SUM(Q51:Q54)</f>
        <v>16492125</v>
      </c>
      <c r="R55" s="19">
        <f>SUM(R51:R54)</f>
        <v>1175627522</v>
      </c>
      <c r="S55" s="19">
        <f>SUM(S51:S54)</f>
        <v>306361448</v>
      </c>
      <c r="T55" s="19">
        <f>P55-(Q55+R55+S55)</f>
        <v>413200495.00000024</v>
      </c>
      <c r="V55" s="19">
        <f>N55</f>
        <v>117845.00000000001</v>
      </c>
      <c r="W55" s="19">
        <f t="shared" si="8"/>
        <v>1016.6517692023178</v>
      </c>
      <c r="X55" s="19">
        <f t="shared" si="9"/>
        <v>72471.182468252984</v>
      </c>
      <c r="Y55" s="19">
        <f t="shared" si="10"/>
        <v>18885.553445937614</v>
      </c>
      <c r="Z55" s="19">
        <f t="shared" si="11"/>
        <v>25471.61231660709</v>
      </c>
      <c r="AB55" s="87"/>
      <c r="AC55" s="20">
        <f>SUM(AC51:AC54)</f>
        <v>0</v>
      </c>
    </row>
    <row r="56" spans="2:29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N56" s="13"/>
      <c r="P56" s="13"/>
      <c r="Q56" s="39"/>
      <c r="R56" s="39"/>
      <c r="S56" s="39"/>
      <c r="T56" s="39"/>
      <c r="V56" s="13"/>
      <c r="W56" s="39">
        <f t="shared" si="8"/>
        <v>0</v>
      </c>
      <c r="X56" s="39">
        <f t="shared" si="9"/>
        <v>0</v>
      </c>
      <c r="Y56" s="39">
        <f t="shared" si="10"/>
        <v>0</v>
      </c>
      <c r="Z56" s="39">
        <f t="shared" si="11"/>
        <v>0</v>
      </c>
      <c r="AC56" s="13"/>
    </row>
    <row r="57" spans="2:29" x14ac:dyDescent="0.25">
      <c r="B57" s="14" t="s">
        <v>11</v>
      </c>
      <c r="C57" s="4" t="s">
        <v>50</v>
      </c>
      <c r="D57" s="4" t="s">
        <v>23</v>
      </c>
      <c r="E57" s="4" t="s">
        <v>33</v>
      </c>
      <c r="F57" s="201" t="str">
        <f>LEFT(K57,4)</f>
        <v>CGMM</v>
      </c>
      <c r="G57" s="202" t="str">
        <f>TEXT(RIGHT(K57,4),"0000")</f>
        <v>9001</v>
      </c>
      <c r="H57" s="200" t="str">
        <f>IF(TEXT(RIGHT(LEFT(K57,6),2),"00")="00","20",TEXT(RIGHT(LEFT(K57,6),2),"00"))</f>
        <v>LO</v>
      </c>
      <c r="I57" s="75" t="s">
        <v>75</v>
      </c>
      <c r="J57" s="4">
        <v>2019</v>
      </c>
      <c r="K57" s="103" t="s">
        <v>108</v>
      </c>
      <c r="L57" s="55" t="s">
        <v>159</v>
      </c>
      <c r="N57" s="5">
        <f>((0+70000-48000-11000)+20000)*84%</f>
        <v>26040</v>
      </c>
      <c r="P57" s="5">
        <f>N57*$P$2</f>
        <v>422420880</v>
      </c>
      <c r="Q57" s="5">
        <f>'PR List 2019'!F161</f>
        <v>0</v>
      </c>
      <c r="R57" s="5">
        <f>'PR List 2019'!G161</f>
        <v>0</v>
      </c>
      <c r="S57" s="5">
        <f>'PR List 2019'!H161</f>
        <v>383102975</v>
      </c>
      <c r="T57" s="15">
        <f>P57-(Q57+R57+S57)</f>
        <v>39317905</v>
      </c>
      <c r="V57" s="5">
        <f>N57</f>
        <v>26040</v>
      </c>
      <c r="W57" s="15">
        <f t="shared" si="8"/>
        <v>0</v>
      </c>
      <c r="X57" s="15">
        <f t="shared" si="9"/>
        <v>0</v>
      </c>
      <c r="Y57" s="15">
        <f t="shared" si="10"/>
        <v>23616.260325483912</v>
      </c>
      <c r="Z57" s="15">
        <f t="shared" si="11"/>
        <v>2423.7396745160891</v>
      </c>
      <c r="AB57" s="88">
        <v>43617</v>
      </c>
      <c r="AC57" s="16" t="s">
        <v>31</v>
      </c>
    </row>
    <row r="58" spans="2:29" x14ac:dyDescent="0.25">
      <c r="B58" s="14" t="s">
        <v>11</v>
      </c>
      <c r="C58" s="4" t="s">
        <v>50</v>
      </c>
      <c r="D58" s="4" t="s">
        <v>23</v>
      </c>
      <c r="E58" s="4" t="s">
        <v>33</v>
      </c>
      <c r="F58" s="201" t="str">
        <f>LEFT(K58,4)</f>
        <v>CGMM</v>
      </c>
      <c r="G58" s="202" t="str">
        <f>TEXT(RIGHT(K58,4),"0000")</f>
        <v>9002</v>
      </c>
      <c r="H58" s="200" t="str">
        <f>IF(TEXT(RIGHT(LEFT(K58,6),2),"00")="00","20",TEXT(RIGHT(LEFT(K58,6),2),"00"))</f>
        <v>LO</v>
      </c>
      <c r="I58" s="75" t="s">
        <v>75</v>
      </c>
      <c r="J58" s="4">
        <v>2019</v>
      </c>
      <c r="K58" s="103" t="s">
        <v>109</v>
      </c>
      <c r="L58" s="55" t="s">
        <v>158</v>
      </c>
      <c r="N58" s="5">
        <f>((0+70000-48000-11000)+(0+28000-19000))*84%</f>
        <v>16800</v>
      </c>
      <c r="P58" s="5">
        <f>N58*$P$2</f>
        <v>272529600</v>
      </c>
      <c r="Q58" s="5">
        <f>'PR List 2019'!F168</f>
        <v>0</v>
      </c>
      <c r="R58" s="5">
        <f>'PR List 2019'!G168</f>
        <v>0</v>
      </c>
      <c r="S58" s="5">
        <f>'PR List 2019'!H168</f>
        <v>318750000</v>
      </c>
      <c r="T58" s="15">
        <f>P58-(Q58+R58+S58)</f>
        <v>-46220400</v>
      </c>
      <c r="V58" s="5">
        <f>N58</f>
        <v>16800</v>
      </c>
      <c r="W58" s="15">
        <f t="shared" si="8"/>
        <v>0</v>
      </c>
      <c r="X58" s="15">
        <f t="shared" si="9"/>
        <v>0</v>
      </c>
      <c r="Y58" s="15">
        <f t="shared" si="10"/>
        <v>19649.241770435212</v>
      </c>
      <c r="Z58" s="15">
        <f t="shared" si="11"/>
        <v>-2849.2417704352115</v>
      </c>
      <c r="AB58" s="88">
        <v>43497</v>
      </c>
      <c r="AC58" s="16" t="s">
        <v>31</v>
      </c>
    </row>
    <row r="59" spans="2:29" x14ac:dyDescent="0.25">
      <c r="B59" s="17"/>
      <c r="C59" s="18"/>
      <c r="D59" s="18" t="s">
        <v>14</v>
      </c>
      <c r="E59" s="18"/>
      <c r="F59" s="18"/>
      <c r="G59" s="18"/>
      <c r="H59" s="18"/>
      <c r="I59" s="52"/>
      <c r="J59" s="18"/>
      <c r="K59" s="18"/>
      <c r="L59" s="52" t="s">
        <v>4</v>
      </c>
      <c r="N59" s="19">
        <f>SUM(N57:N58)</f>
        <v>42840</v>
      </c>
      <c r="P59" s="19">
        <f>N59*$P$2</f>
        <v>694950480</v>
      </c>
      <c r="Q59" s="19">
        <f>SUM(Q57:Q58)</f>
        <v>0</v>
      </c>
      <c r="R59" s="19">
        <f>SUM(R57:R58)</f>
        <v>0</v>
      </c>
      <c r="S59" s="19">
        <f>SUM(S57:S58)</f>
        <v>701852975</v>
      </c>
      <c r="T59" s="19">
        <f>P59-(Q59+R59+S59)</f>
        <v>-6902495</v>
      </c>
      <c r="V59" s="19">
        <f>N59</f>
        <v>42840</v>
      </c>
      <c r="W59" s="19">
        <f t="shared" si="8"/>
        <v>0</v>
      </c>
      <c r="X59" s="19">
        <f t="shared" si="9"/>
        <v>0</v>
      </c>
      <c r="Y59" s="19">
        <f t="shared" si="10"/>
        <v>43265.502095919124</v>
      </c>
      <c r="Z59" s="19">
        <f t="shared" si="11"/>
        <v>-425.50209591912216</v>
      </c>
      <c r="AB59" s="87"/>
      <c r="AC59" s="20">
        <f>SUM(AC57:AC58)</f>
        <v>0</v>
      </c>
    </row>
    <row r="60" spans="2:29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N60" s="13"/>
      <c r="P60" s="13"/>
      <c r="Q60" s="39"/>
      <c r="R60" s="39"/>
      <c r="S60" s="39"/>
      <c r="T60" s="39"/>
      <c r="V60" s="13"/>
      <c r="W60" s="39">
        <f t="shared" si="8"/>
        <v>0</v>
      </c>
      <c r="X60" s="39">
        <f t="shared" si="9"/>
        <v>0</v>
      </c>
      <c r="Y60" s="39">
        <f t="shared" si="10"/>
        <v>0</v>
      </c>
      <c r="Z60" s="39">
        <f t="shared" si="11"/>
        <v>0</v>
      </c>
      <c r="AC60" s="13"/>
    </row>
    <row r="61" spans="2:29" s="59" customFormat="1" ht="45" x14ac:dyDescent="0.25">
      <c r="B61" s="60" t="s">
        <v>11</v>
      </c>
      <c r="C61" s="61" t="s">
        <v>50</v>
      </c>
      <c r="D61" s="61" t="s">
        <v>40</v>
      </c>
      <c r="E61" s="61" t="s">
        <v>35</v>
      </c>
      <c r="F61" s="201" t="str">
        <f>LEFT(K61,4)</f>
        <v>CGMM</v>
      </c>
      <c r="G61" s="202" t="str">
        <f>TEXT(RIGHT(K61,4),"0000")</f>
        <v>9000</v>
      </c>
      <c r="H61" s="200" t="str">
        <f>IF(TEXT(RIGHT(LEFT(K61,6),2),"00")="00","20",TEXT(RIGHT(LEFT(K61,6),2),"00"))</f>
        <v>PR</v>
      </c>
      <c r="I61" s="76" t="s">
        <v>191</v>
      </c>
      <c r="J61" s="61">
        <v>2019</v>
      </c>
      <c r="K61" s="104" t="s">
        <v>149</v>
      </c>
      <c r="L61" s="67" t="s">
        <v>160</v>
      </c>
      <c r="M61" s="68"/>
      <c r="N61" s="63">
        <f>((10000+(3500+3500)+10000)*96.2%)+5000+6269-1000</f>
        <v>36243</v>
      </c>
      <c r="P61" s="63">
        <f t="shared" ref="P61:P69" si="14">N61*$P$2</f>
        <v>587933946</v>
      </c>
      <c r="Q61" s="63">
        <f>'PR List 2019'!F182</f>
        <v>15000000</v>
      </c>
      <c r="R61" s="63">
        <f>'PR List 2019'!G182</f>
        <v>187785000</v>
      </c>
      <c r="S61" s="63">
        <f>'PR List 2019'!H182</f>
        <v>407248587</v>
      </c>
      <c r="T61" s="64">
        <f>P61-(Q61+R61+S61)</f>
        <v>-22099641</v>
      </c>
      <c r="V61" s="63">
        <f>N61</f>
        <v>36243</v>
      </c>
      <c r="W61" s="64">
        <f t="shared" si="8"/>
        <v>924.67020096165697</v>
      </c>
      <c r="X61" s="64">
        <f t="shared" si="9"/>
        <v>11575.946245838984</v>
      </c>
      <c r="Y61" s="64">
        <f t="shared" si="10"/>
        <v>25104.708852176056</v>
      </c>
      <c r="Z61" s="64">
        <f>T61/$P$2</f>
        <v>-1362.3252989766984</v>
      </c>
      <c r="AB61" s="89"/>
      <c r="AC61" s="65" t="s">
        <v>31</v>
      </c>
    </row>
    <row r="62" spans="2:29" x14ac:dyDescent="0.25">
      <c r="B62" s="14"/>
      <c r="C62" s="4"/>
      <c r="D62" s="4"/>
      <c r="E62" s="4"/>
      <c r="F62" s="4"/>
      <c r="G62" s="4"/>
      <c r="H62" s="4"/>
      <c r="I62" s="75"/>
      <c r="J62" s="4"/>
      <c r="K62" s="43"/>
      <c r="L62" s="53" t="s">
        <v>188</v>
      </c>
      <c r="M62" s="21"/>
      <c r="N62" s="5">
        <f>(10000*96.2%)+3757</f>
        <v>13377</v>
      </c>
      <c r="P62" s="63">
        <f t="shared" si="14"/>
        <v>217001694</v>
      </c>
      <c r="Q62" s="112"/>
      <c r="R62" s="112"/>
      <c r="S62" s="112"/>
      <c r="T62" s="112"/>
      <c r="V62" s="63">
        <f>N62</f>
        <v>13377</v>
      </c>
      <c r="W62" s="112"/>
      <c r="X62" s="112"/>
      <c r="Y62" s="112"/>
      <c r="Z62" s="112"/>
      <c r="AB62" s="88">
        <v>43497</v>
      </c>
      <c r="AC62" s="16"/>
    </row>
    <row r="63" spans="2:29" x14ac:dyDescent="0.25">
      <c r="B63" s="14"/>
      <c r="C63" s="4"/>
      <c r="D63" s="4"/>
      <c r="E63" s="4"/>
      <c r="F63" s="4"/>
      <c r="G63" s="4"/>
      <c r="H63" s="4"/>
      <c r="I63" s="75"/>
      <c r="J63" s="4"/>
      <c r="K63" s="43"/>
      <c r="L63" s="53" t="s">
        <v>189</v>
      </c>
      <c r="M63" s="21"/>
      <c r="N63" s="5">
        <f>(7000*96.2%)+3756</f>
        <v>10490</v>
      </c>
      <c r="P63" s="63">
        <f t="shared" si="14"/>
        <v>170168780</v>
      </c>
      <c r="Q63" s="112"/>
      <c r="R63" s="112"/>
      <c r="S63" s="112"/>
      <c r="T63" s="112"/>
      <c r="V63" s="63">
        <f>N63</f>
        <v>10490</v>
      </c>
      <c r="W63" s="112"/>
      <c r="X63" s="112"/>
      <c r="Y63" s="112"/>
      <c r="Z63" s="112"/>
      <c r="AB63" s="88">
        <v>43497</v>
      </c>
      <c r="AC63" s="16"/>
    </row>
    <row r="64" spans="2:29" x14ac:dyDescent="0.25">
      <c r="B64" s="14"/>
      <c r="C64" s="4"/>
      <c r="D64" s="4"/>
      <c r="E64" s="4"/>
      <c r="F64" s="4"/>
      <c r="G64" s="4"/>
      <c r="H64" s="4"/>
      <c r="I64" s="75"/>
      <c r="J64" s="4"/>
      <c r="K64" s="43"/>
      <c r="L64" s="53" t="s">
        <v>190</v>
      </c>
      <c r="M64" s="21"/>
      <c r="N64" s="5">
        <f>(10000*96.2%)+3756-1000</f>
        <v>12376</v>
      </c>
      <c r="P64" s="63">
        <f t="shared" si="14"/>
        <v>200763472</v>
      </c>
      <c r="Q64" s="112"/>
      <c r="R64" s="112"/>
      <c r="S64" s="112"/>
      <c r="T64" s="112"/>
      <c r="V64" s="63">
        <f>N64</f>
        <v>12376</v>
      </c>
      <c r="W64" s="112"/>
      <c r="X64" s="112"/>
      <c r="Y64" s="112"/>
      <c r="Z64" s="112"/>
      <c r="AB64" s="88">
        <v>43497</v>
      </c>
      <c r="AC64" s="16"/>
    </row>
    <row r="65" spans="2:29" s="59" customFormat="1" ht="45" x14ac:dyDescent="0.25">
      <c r="B65" s="60" t="s">
        <v>11</v>
      </c>
      <c r="C65" s="61" t="s">
        <v>50</v>
      </c>
      <c r="D65" s="61">
        <v>6321</v>
      </c>
      <c r="E65" s="61" t="s">
        <v>35</v>
      </c>
      <c r="F65" s="201" t="str">
        <f>LEFT(K65,4)</f>
        <v>CGMM</v>
      </c>
      <c r="G65" s="202" t="str">
        <f>TEXT(RIGHT(K65,4),"0000")</f>
        <v>9001</v>
      </c>
      <c r="H65" s="200" t="str">
        <f>IF(TEXT(RIGHT(LEFT(K65,6),2),"00")="00","20",TEXT(RIGHT(LEFT(K65,6),2),"00"))</f>
        <v>PR</v>
      </c>
      <c r="I65" s="76" t="s">
        <v>76</v>
      </c>
      <c r="J65" s="61">
        <v>2019</v>
      </c>
      <c r="K65" s="104" t="s">
        <v>126</v>
      </c>
      <c r="L65" s="67" t="s">
        <v>161</v>
      </c>
      <c r="M65" s="68"/>
      <c r="N65" s="63">
        <f>(((8000+12000-5000-15000)+2000)*96.2%)-1924</f>
        <v>0</v>
      </c>
      <c r="P65" s="63">
        <f t="shared" si="14"/>
        <v>0</v>
      </c>
      <c r="Q65" s="63">
        <f>'PR List 2019'!F196</f>
        <v>0</v>
      </c>
      <c r="R65" s="63">
        <f>'PR List 2019'!G196</f>
        <v>0</v>
      </c>
      <c r="S65" s="63">
        <f>'PR List 2019'!H196</f>
        <v>0</v>
      </c>
      <c r="T65" s="64">
        <f t="shared" ref="T65:T70" si="15">P65-(Q65+R65+S65)</f>
        <v>0</v>
      </c>
      <c r="V65" s="63">
        <f t="shared" ref="V65:V70" si="16">N65</f>
        <v>0</v>
      </c>
      <c r="W65" s="64">
        <f t="shared" si="8"/>
        <v>0</v>
      </c>
      <c r="X65" s="64">
        <f t="shared" si="9"/>
        <v>0</v>
      </c>
      <c r="Y65" s="64">
        <f t="shared" si="10"/>
        <v>0</v>
      </c>
      <c r="Z65" s="64">
        <f t="shared" si="11"/>
        <v>0</v>
      </c>
      <c r="AB65" s="89">
        <v>43525</v>
      </c>
      <c r="AC65" s="65" t="s">
        <v>31</v>
      </c>
    </row>
    <row r="66" spans="2:29" s="59" customFormat="1" ht="45" x14ac:dyDescent="0.25">
      <c r="B66" s="60" t="s">
        <v>11</v>
      </c>
      <c r="C66" s="61" t="s">
        <v>50</v>
      </c>
      <c r="D66" s="61">
        <v>6322</v>
      </c>
      <c r="E66" s="61" t="s">
        <v>35</v>
      </c>
      <c r="F66" s="201" t="str">
        <f>LEFT(K66,4)</f>
        <v>CGMM</v>
      </c>
      <c r="G66" s="202" t="str">
        <f>TEXT(RIGHT(K66,4),"0000")</f>
        <v>9002</v>
      </c>
      <c r="H66" s="200" t="str">
        <f>IF(TEXT(RIGHT(LEFT(K66,6),2),"00")="00","20",TEXT(RIGHT(LEFT(K66,6),2),"00"))</f>
        <v>PR</v>
      </c>
      <c r="I66" s="76" t="s">
        <v>77</v>
      </c>
      <c r="J66" s="61">
        <v>2019</v>
      </c>
      <c r="K66" s="104" t="s">
        <v>146</v>
      </c>
      <c r="L66" s="67" t="s">
        <v>162</v>
      </c>
      <c r="M66" s="68"/>
      <c r="N66" s="63">
        <f>(((8000+12000-5000-15000)+2000)*96.2%)-492</f>
        <v>1432.0000000000002</v>
      </c>
      <c r="P66" s="63">
        <f t="shared" si="14"/>
        <v>23229904.000000004</v>
      </c>
      <c r="Q66" s="63">
        <f>'PR List 2019'!F203</f>
        <v>0</v>
      </c>
      <c r="R66" s="63">
        <f>'PR List 2019'!G203</f>
        <v>0</v>
      </c>
      <c r="S66" s="63">
        <f>'PR List 2019'!H203</f>
        <v>33450000</v>
      </c>
      <c r="T66" s="64">
        <f t="shared" si="15"/>
        <v>-10220095.999999996</v>
      </c>
      <c r="V66" s="63">
        <f t="shared" si="16"/>
        <v>1432.0000000000002</v>
      </c>
      <c r="W66" s="64">
        <f t="shared" si="8"/>
        <v>0</v>
      </c>
      <c r="X66" s="64">
        <f t="shared" si="9"/>
        <v>0</v>
      </c>
      <c r="Y66" s="64">
        <f t="shared" si="10"/>
        <v>2062.0145481444952</v>
      </c>
      <c r="Z66" s="64">
        <f t="shared" si="11"/>
        <v>-630.01454814449494</v>
      </c>
      <c r="AB66" s="89">
        <v>43525</v>
      </c>
      <c r="AC66" s="65" t="s">
        <v>31</v>
      </c>
    </row>
    <row r="67" spans="2:29" s="59" customFormat="1" ht="45" x14ac:dyDescent="0.25">
      <c r="B67" s="60" t="s">
        <v>11</v>
      </c>
      <c r="C67" s="61" t="s">
        <v>50</v>
      </c>
      <c r="D67" s="61">
        <v>6326</v>
      </c>
      <c r="E67" s="61" t="s">
        <v>35</v>
      </c>
      <c r="F67" s="201" t="str">
        <f>LEFT(K67,4)</f>
        <v>CGMM</v>
      </c>
      <c r="G67" s="202" t="str">
        <f>TEXT(RIGHT(K67,4),"0000")</f>
        <v>9003</v>
      </c>
      <c r="H67" s="200" t="str">
        <f>IF(TEXT(RIGHT(LEFT(K67,6),2),"00")="00","20",TEXT(RIGHT(LEFT(K67,6),2),"00"))</f>
        <v>PR</v>
      </c>
      <c r="I67" s="76" t="s">
        <v>55</v>
      </c>
      <c r="J67" s="61">
        <v>2019</v>
      </c>
      <c r="K67" s="104" t="s">
        <v>147</v>
      </c>
      <c r="L67" s="67" t="s">
        <v>163</v>
      </c>
      <c r="M67" s="68"/>
      <c r="N67" s="63">
        <f>((8000+2000)*96.2%)-5000-1929</f>
        <v>2691</v>
      </c>
      <c r="P67" s="63">
        <f t="shared" si="14"/>
        <v>43653402</v>
      </c>
      <c r="Q67" s="63">
        <f>'PR List 2019'!F210</f>
        <v>0</v>
      </c>
      <c r="R67" s="63">
        <f>'PR List 2019'!G210</f>
        <v>0</v>
      </c>
      <c r="S67" s="63">
        <f>'PR List 2019'!H210</f>
        <v>45000000</v>
      </c>
      <c r="T67" s="64">
        <f t="shared" si="15"/>
        <v>-1346598</v>
      </c>
      <c r="V67" s="63">
        <f t="shared" si="16"/>
        <v>2691</v>
      </c>
      <c r="W67" s="64">
        <f t="shared" si="8"/>
        <v>0</v>
      </c>
      <c r="X67" s="64">
        <f t="shared" si="9"/>
        <v>0</v>
      </c>
      <c r="Y67" s="64">
        <f t="shared" si="10"/>
        <v>2774.0106028849709</v>
      </c>
      <c r="Z67" s="64">
        <f t="shared" si="11"/>
        <v>-83.010602884971021</v>
      </c>
      <c r="AB67" s="89">
        <v>43556</v>
      </c>
      <c r="AC67" s="65" t="s">
        <v>31</v>
      </c>
    </row>
    <row r="68" spans="2:29" s="59" customFormat="1" ht="45" x14ac:dyDescent="0.25">
      <c r="B68" s="60" t="s">
        <v>11</v>
      </c>
      <c r="C68" s="61" t="s">
        <v>50</v>
      </c>
      <c r="D68" s="61">
        <v>6328</v>
      </c>
      <c r="E68" s="61" t="s">
        <v>35</v>
      </c>
      <c r="F68" s="201" t="str">
        <f>LEFT(K68,4)</f>
        <v>CGMM</v>
      </c>
      <c r="G68" s="202" t="str">
        <f>TEXT(RIGHT(K68,4),"0000")</f>
        <v>9004</v>
      </c>
      <c r="H68" s="200" t="str">
        <f>IF(TEXT(RIGHT(LEFT(K68,6),2),"00")="00","20",TEXT(RIGHT(LEFT(K68,6),2),"00"))</f>
        <v>PR</v>
      </c>
      <c r="I68" s="76" t="s">
        <v>55</v>
      </c>
      <c r="J68" s="61">
        <v>2019</v>
      </c>
      <c r="K68" s="104" t="s">
        <v>148</v>
      </c>
      <c r="L68" s="67" t="s">
        <v>164</v>
      </c>
      <c r="M68" s="68"/>
      <c r="N68" s="63">
        <f>(((10000+10000-5000-15000)+2000)*96.2%)-1924</f>
        <v>0</v>
      </c>
      <c r="P68" s="63">
        <f t="shared" si="14"/>
        <v>0</v>
      </c>
      <c r="Q68" s="63">
        <f>'PR List 2019'!F217</f>
        <v>0</v>
      </c>
      <c r="R68" s="63">
        <f>'PR List 2019'!G217</f>
        <v>0</v>
      </c>
      <c r="S68" s="63">
        <f>'PR List 2019'!H217</f>
        <v>0</v>
      </c>
      <c r="T68" s="64">
        <f t="shared" si="15"/>
        <v>0</v>
      </c>
      <c r="V68" s="63">
        <f t="shared" si="16"/>
        <v>0</v>
      </c>
      <c r="W68" s="64">
        <f t="shared" si="8"/>
        <v>0</v>
      </c>
      <c r="X68" s="64">
        <f t="shared" si="9"/>
        <v>0</v>
      </c>
      <c r="Y68" s="64">
        <f t="shared" si="10"/>
        <v>0</v>
      </c>
      <c r="Z68" s="64">
        <f t="shared" si="11"/>
        <v>0</v>
      </c>
      <c r="AB68" s="89">
        <v>43556</v>
      </c>
      <c r="AC68" s="65" t="s">
        <v>31</v>
      </c>
    </row>
    <row r="69" spans="2:29" s="59" customFormat="1" x14ac:dyDescent="0.25">
      <c r="B69" s="60"/>
      <c r="C69" s="61"/>
      <c r="D69" s="61" t="s">
        <v>40</v>
      </c>
      <c r="E69" s="61" t="s">
        <v>35</v>
      </c>
      <c r="F69" s="201" t="str">
        <f>LEFT(K69,4)</f>
        <v>EGMM</v>
      </c>
      <c r="G69" s="202" t="str">
        <f>TEXT(RIGHT(K69,4),"0000")</f>
        <v>9000</v>
      </c>
      <c r="H69" s="200" t="str">
        <f>IF(TEXT(RIGHT(LEFT(K69,6),2),"00")="00","20",TEXT(RIGHT(LEFT(K69,6),2),"00"))</f>
        <v>PR</v>
      </c>
      <c r="I69" s="76" t="s">
        <v>683</v>
      </c>
      <c r="J69" s="61">
        <v>2019</v>
      </c>
      <c r="K69" s="182" t="s">
        <v>848</v>
      </c>
      <c r="L69" s="67" t="s">
        <v>632</v>
      </c>
      <c r="M69" s="68"/>
      <c r="N69" s="63">
        <v>1000</v>
      </c>
      <c r="P69" s="63">
        <f t="shared" si="14"/>
        <v>16222000</v>
      </c>
      <c r="Q69" s="63">
        <f>'PR List 2019'!F189</f>
        <v>0</v>
      </c>
      <c r="R69" s="63">
        <f>'PR List 2019'!G189</f>
        <v>0</v>
      </c>
      <c r="S69" s="63">
        <f>'PR List 2019'!H189</f>
        <v>0</v>
      </c>
      <c r="T69" s="64">
        <f t="shared" si="15"/>
        <v>16222000</v>
      </c>
      <c r="V69" s="63">
        <f t="shared" si="16"/>
        <v>1000</v>
      </c>
      <c r="W69" s="64">
        <f>Q69/$P$2</f>
        <v>0</v>
      </c>
      <c r="X69" s="64">
        <f>R69/$P$2</f>
        <v>0</v>
      </c>
      <c r="Y69" s="64">
        <f>S69/$P$2</f>
        <v>0</v>
      </c>
      <c r="Z69" s="64">
        <f>T69/$P$2</f>
        <v>1000</v>
      </c>
      <c r="AB69" s="89">
        <v>43497</v>
      </c>
      <c r="AC69" s="65" t="s">
        <v>31</v>
      </c>
    </row>
    <row r="70" spans="2:29" x14ac:dyDescent="0.25">
      <c r="B70" s="17"/>
      <c r="C70" s="18"/>
      <c r="D70" s="18" t="s">
        <v>14</v>
      </c>
      <c r="E70" s="18"/>
      <c r="F70" s="18"/>
      <c r="G70" s="18"/>
      <c r="H70" s="18"/>
      <c r="I70" s="52"/>
      <c r="J70" s="18"/>
      <c r="K70" s="18"/>
      <c r="L70" s="52" t="s">
        <v>5</v>
      </c>
      <c r="M70" s="21"/>
      <c r="N70" s="19">
        <f>N61+N65+N66+N67+N68+N69</f>
        <v>41366</v>
      </c>
      <c r="P70" s="19">
        <f>N70*$P$2</f>
        <v>671039252</v>
      </c>
      <c r="Q70" s="19">
        <f>SUM(Q61:Q69)</f>
        <v>15000000</v>
      </c>
      <c r="R70" s="19">
        <f>SUM(R61:R69)</f>
        <v>187785000</v>
      </c>
      <c r="S70" s="19">
        <f>SUM(S61:S69)</f>
        <v>485698587</v>
      </c>
      <c r="T70" s="19">
        <f t="shared" si="15"/>
        <v>-17444335</v>
      </c>
      <c r="V70" s="19">
        <f t="shared" si="16"/>
        <v>41366</v>
      </c>
      <c r="W70" s="19">
        <f t="shared" si="8"/>
        <v>924.67020096165697</v>
      </c>
      <c r="X70" s="19">
        <f t="shared" si="9"/>
        <v>11575.946245838984</v>
      </c>
      <c r="Y70" s="19">
        <f t="shared" si="10"/>
        <v>29940.734003205522</v>
      </c>
      <c r="Z70" s="19">
        <f t="shared" si="11"/>
        <v>-1075.3504500061645</v>
      </c>
      <c r="AB70" s="87"/>
      <c r="AC70" s="20">
        <f>SUM(AC61:AC68)</f>
        <v>0</v>
      </c>
    </row>
    <row r="71" spans="2:29" x14ac:dyDescent="0.25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N71" s="13"/>
      <c r="P71" s="13"/>
      <c r="Q71" s="39"/>
      <c r="R71" s="39"/>
      <c r="S71" s="39"/>
      <c r="T71" s="39"/>
      <c r="V71" s="13"/>
      <c r="W71" s="39">
        <f t="shared" si="8"/>
        <v>0</v>
      </c>
      <c r="X71" s="39">
        <f t="shared" si="9"/>
        <v>0</v>
      </c>
      <c r="Y71" s="39">
        <f t="shared" si="10"/>
        <v>0</v>
      </c>
      <c r="Z71" s="39">
        <f t="shared" si="11"/>
        <v>0</v>
      </c>
      <c r="AC71" s="13"/>
    </row>
    <row r="72" spans="2:29" x14ac:dyDescent="0.25">
      <c r="B72" s="14" t="s">
        <v>11</v>
      </c>
      <c r="C72" s="4" t="s">
        <v>50</v>
      </c>
      <c r="D72" s="4">
        <v>5500</v>
      </c>
      <c r="E72" s="4" t="s">
        <v>39</v>
      </c>
      <c r="F72" s="201" t="str">
        <f>LEFT(K72,4)</f>
        <v>EGMM</v>
      </c>
      <c r="G72" s="202" t="str">
        <f>TEXT(RIGHT(K72,4),"0000")</f>
        <v>9001</v>
      </c>
      <c r="H72" s="200" t="str">
        <f>IF(TEXT(RIGHT(LEFT(K72,6),2),"00")="00","20",TEXT(RIGHT(LEFT(K72,6),2),"00"))</f>
        <v>EP</v>
      </c>
      <c r="I72" s="75" t="s">
        <v>53</v>
      </c>
      <c r="J72" s="4">
        <v>2019</v>
      </c>
      <c r="K72" s="4" t="s">
        <v>127</v>
      </c>
      <c r="L72" s="55" t="s">
        <v>24</v>
      </c>
      <c r="N72" s="5">
        <f>(70000-25000)*95.3%-20000</f>
        <v>22885</v>
      </c>
      <c r="P72" s="15">
        <f>N72*$P$2</f>
        <v>371240470</v>
      </c>
      <c r="Q72" s="5">
        <f>'PR List 2019'!F465</f>
        <v>150000</v>
      </c>
      <c r="R72" s="5">
        <f>'PR List 2019'!G465</f>
        <v>0</v>
      </c>
      <c r="S72" s="5">
        <f>'PR List 2019'!H465</f>
        <v>214425077</v>
      </c>
      <c r="T72" s="15">
        <f>P72-(Q72+R72+S72)</f>
        <v>156665393</v>
      </c>
      <c r="V72" s="15">
        <f>N72</f>
        <v>22885</v>
      </c>
      <c r="W72" s="15">
        <f t="shared" si="8"/>
        <v>9.2467020096165697</v>
      </c>
      <c r="X72" s="15">
        <f t="shared" si="9"/>
        <v>0</v>
      </c>
      <c r="Y72" s="15">
        <f t="shared" si="10"/>
        <v>13218.165269387251</v>
      </c>
      <c r="Z72" s="15">
        <f t="shared" si="11"/>
        <v>9657.5880286031315</v>
      </c>
      <c r="AB72" s="88">
        <v>43678</v>
      </c>
      <c r="AC72" s="16" t="s">
        <v>31</v>
      </c>
    </row>
    <row r="73" spans="2:29" x14ac:dyDescent="0.25">
      <c r="B73" s="14" t="s">
        <v>11</v>
      </c>
      <c r="C73" s="4" t="s">
        <v>50</v>
      </c>
      <c r="D73" s="4" t="s">
        <v>25</v>
      </c>
      <c r="E73" s="4" t="s">
        <v>39</v>
      </c>
      <c r="F73" s="201" t="str">
        <f>LEFT(K73,4)</f>
        <v>EGMM</v>
      </c>
      <c r="G73" s="202" t="str">
        <f>TEXT(RIGHT(K73,4),"0000")</f>
        <v>9002</v>
      </c>
      <c r="H73" s="200" t="str">
        <f>IF(TEXT(RIGHT(LEFT(K73,6),2),"00")="00","20",TEXT(RIGHT(LEFT(K73,6),2),"00"))</f>
        <v>EP</v>
      </c>
      <c r="I73" s="75" t="s">
        <v>53</v>
      </c>
      <c r="J73" s="4">
        <v>2019</v>
      </c>
      <c r="K73" s="4" t="s">
        <v>128</v>
      </c>
      <c r="L73" s="55" t="s">
        <v>26</v>
      </c>
      <c r="N73" s="5">
        <f>(((272300-17900-8600)-45800-10000)*95.3%)-26000-15000-30000</f>
        <v>110070</v>
      </c>
      <c r="P73" s="5">
        <f>N73*$P$2</f>
        <v>1785555540</v>
      </c>
      <c r="Q73" s="5">
        <f>'PR List 2019'!F485</f>
        <v>14050000</v>
      </c>
      <c r="R73" s="5">
        <f>'PR List 2019'!G485</f>
        <v>222775500</v>
      </c>
      <c r="S73" s="5">
        <f>'PR List 2019'!H485</f>
        <v>1509818785</v>
      </c>
      <c r="T73" s="15">
        <f>P73-(Q73+R73+S73)</f>
        <v>38911255</v>
      </c>
      <c r="V73" s="5">
        <f>N73</f>
        <v>110070</v>
      </c>
      <c r="W73" s="15">
        <f t="shared" si="8"/>
        <v>866.10775490075207</v>
      </c>
      <c r="X73" s="15">
        <f t="shared" si="9"/>
        <v>13732.924423622242</v>
      </c>
      <c r="Y73" s="15">
        <f t="shared" si="10"/>
        <v>93072.295956108981</v>
      </c>
      <c r="Z73" s="15">
        <f t="shared" si="11"/>
        <v>2398.6718653680186</v>
      </c>
      <c r="AB73" s="88"/>
      <c r="AC73" s="16" t="s">
        <v>31</v>
      </c>
    </row>
    <row r="74" spans="2:29" s="21" customFormat="1" x14ac:dyDescent="0.25">
      <c r="B74" s="3"/>
      <c r="C74" s="22"/>
      <c r="D74" s="22"/>
      <c r="E74" s="22"/>
      <c r="F74" s="22"/>
      <c r="G74" s="22"/>
      <c r="H74" s="22"/>
      <c r="I74" s="74"/>
      <c r="J74" s="22"/>
      <c r="K74" s="22"/>
      <c r="L74" s="54" t="s">
        <v>192</v>
      </c>
      <c r="N74" s="5">
        <f>N73/2</f>
        <v>55035</v>
      </c>
      <c r="P74" s="5">
        <f>N74*$P$2</f>
        <v>892777770</v>
      </c>
      <c r="Q74" s="112"/>
      <c r="R74" s="112"/>
      <c r="S74" s="112"/>
      <c r="T74" s="112"/>
      <c r="V74" s="5">
        <f>N74</f>
        <v>55035</v>
      </c>
      <c r="W74" s="112"/>
      <c r="X74" s="112"/>
      <c r="Y74" s="112"/>
      <c r="Z74" s="112"/>
      <c r="AB74" s="86">
        <v>43497</v>
      </c>
      <c r="AC74" s="34"/>
    </row>
    <row r="75" spans="2:29" s="21" customFormat="1" x14ac:dyDescent="0.25">
      <c r="B75" s="3"/>
      <c r="C75" s="22"/>
      <c r="D75" s="22"/>
      <c r="E75" s="22"/>
      <c r="F75" s="22"/>
      <c r="G75" s="22"/>
      <c r="H75" s="22"/>
      <c r="I75" s="74"/>
      <c r="J75" s="22"/>
      <c r="K75" s="22"/>
      <c r="L75" s="54" t="s">
        <v>653</v>
      </c>
      <c r="N75" s="5">
        <f>N73/2</f>
        <v>55035</v>
      </c>
      <c r="P75" s="5">
        <f>N75*$P$2</f>
        <v>892777770</v>
      </c>
      <c r="Q75" s="112"/>
      <c r="R75" s="112"/>
      <c r="S75" s="112"/>
      <c r="T75" s="112"/>
      <c r="V75" s="5">
        <f>N75</f>
        <v>55035</v>
      </c>
      <c r="W75" s="112"/>
      <c r="X75" s="112"/>
      <c r="Y75" s="112"/>
      <c r="Z75" s="112"/>
      <c r="AB75" s="86">
        <v>43525</v>
      </c>
      <c r="AC75" s="34"/>
    </row>
    <row r="76" spans="2:29" ht="30" x14ac:dyDescent="0.25">
      <c r="B76" s="14" t="s">
        <v>11</v>
      </c>
      <c r="C76" s="4" t="s">
        <v>50</v>
      </c>
      <c r="D76" s="4" t="s">
        <v>25</v>
      </c>
      <c r="E76" s="4" t="s">
        <v>39</v>
      </c>
      <c r="F76" s="22" t="str">
        <f>LEFT(K76,4)</f>
        <v>EGMM</v>
      </c>
      <c r="G76" s="200" t="str">
        <f>TEXT(RIGHT(K76,4),"0000")</f>
        <v>9001</v>
      </c>
      <c r="H76" s="200" t="str">
        <f>IF(TEXT(RIGHT(LEFT(K76,6),2),"00")="00","20",TEXT(RIGHT(LEFT(K76,6),2),"00"))</f>
        <v>EN</v>
      </c>
      <c r="I76" s="75" t="s">
        <v>183</v>
      </c>
      <c r="J76" s="4">
        <v>2019</v>
      </c>
      <c r="K76" s="4" t="s">
        <v>186</v>
      </c>
      <c r="L76" s="55" t="s">
        <v>41</v>
      </c>
      <c r="N76" s="5">
        <f>(30000*95.3%)*0</f>
        <v>0</v>
      </c>
      <c r="P76" s="5">
        <f t="shared" ref="P76:P119" si="17">N76*$P$2</f>
        <v>0</v>
      </c>
      <c r="Q76" s="5">
        <f>'PR List 2019'!F492</f>
        <v>0</v>
      </c>
      <c r="R76" s="5">
        <f>'PR List 2019'!G492</f>
        <v>0</v>
      </c>
      <c r="S76" s="5">
        <f>'PR List 2019'!H492</f>
        <v>0</v>
      </c>
      <c r="T76" s="15">
        <f t="shared" ref="T76:T119" si="18">P76-(Q76+R76+S76)</f>
        <v>0</v>
      </c>
      <c r="V76" s="5">
        <f t="shared" ref="V76:V119" si="19">N76</f>
        <v>0</v>
      </c>
      <c r="W76" s="15">
        <f t="shared" ref="W76:W126" si="20">Q76/$P$2</f>
        <v>0</v>
      </c>
      <c r="X76" s="15">
        <f t="shared" ref="X76:X127" si="21">R76/$P$2</f>
        <v>0</v>
      </c>
      <c r="Y76" s="15">
        <f t="shared" ref="Y76:Y127" si="22">S76/$P$2</f>
        <v>0</v>
      </c>
      <c r="Z76" s="15">
        <f t="shared" si="11"/>
        <v>0</v>
      </c>
      <c r="AB76" s="88">
        <v>43647</v>
      </c>
      <c r="AC76" s="16" t="s">
        <v>31</v>
      </c>
    </row>
    <row r="77" spans="2:29" s="59" customFormat="1" ht="14.25" customHeight="1" x14ac:dyDescent="0.25">
      <c r="B77" s="60" t="s">
        <v>11</v>
      </c>
      <c r="C77" s="61" t="s">
        <v>50</v>
      </c>
      <c r="D77" s="61">
        <v>5500</v>
      </c>
      <c r="E77" s="61" t="s">
        <v>39</v>
      </c>
      <c r="F77" s="22" t="str">
        <f>LEFT(K77,4)</f>
        <v>EGMM</v>
      </c>
      <c r="G77" s="200" t="str">
        <f>TEXT(RIGHT(K77,4),"0000")</f>
        <v>9002</v>
      </c>
      <c r="H77" s="200" t="str">
        <f>IF(TEXT(RIGHT(LEFT(K77,6),2),"00")="00","20",TEXT(RIGHT(LEFT(K77,6),2),"00"))</f>
        <v>EN</v>
      </c>
      <c r="I77" s="76" t="s">
        <v>54</v>
      </c>
      <c r="J77" s="61">
        <v>2019</v>
      </c>
      <c r="K77" s="61" t="s">
        <v>187</v>
      </c>
      <c r="L77" s="72" t="s">
        <v>205</v>
      </c>
      <c r="N77" s="63">
        <f>30864*95.3%</f>
        <v>29413.392</v>
      </c>
      <c r="P77" s="63">
        <f t="shared" si="17"/>
        <v>477144045.02399999</v>
      </c>
      <c r="Q77" s="63">
        <f>'PR List 2019'!F499</f>
        <v>0</v>
      </c>
      <c r="R77" s="63">
        <f>'PR List 2019'!G499</f>
        <v>726800000</v>
      </c>
      <c r="S77" s="63">
        <f>'PR List 2019'!H499</f>
        <v>0</v>
      </c>
      <c r="T77" s="64">
        <f t="shared" si="18"/>
        <v>-249655954.97600001</v>
      </c>
      <c r="V77" s="63">
        <f t="shared" si="19"/>
        <v>29413.392</v>
      </c>
      <c r="W77" s="64">
        <f t="shared" si="20"/>
        <v>0</v>
      </c>
      <c r="X77" s="64">
        <f t="shared" si="21"/>
        <v>44803.353470595488</v>
      </c>
      <c r="Y77" s="64">
        <f t="shared" si="22"/>
        <v>0</v>
      </c>
      <c r="Z77" s="64">
        <f t="shared" ref="Z77:Z127" si="23">T77/$P$2</f>
        <v>-15389.961470595488</v>
      </c>
      <c r="AB77" s="89">
        <v>43497</v>
      </c>
      <c r="AC77" s="65" t="s">
        <v>31</v>
      </c>
    </row>
    <row r="78" spans="2:29" x14ac:dyDescent="0.25">
      <c r="B78" s="14"/>
      <c r="C78" s="4"/>
      <c r="D78" s="4" t="s">
        <v>25</v>
      </c>
      <c r="E78" s="4" t="s">
        <v>39</v>
      </c>
      <c r="F78" s="22" t="str">
        <f>LEFT(K78,4)</f>
        <v>CGMM</v>
      </c>
      <c r="G78" s="200" t="str">
        <f>TEXT(RIGHT(K78,4),"0000")</f>
        <v>9001</v>
      </c>
      <c r="H78" s="200" t="str">
        <f>IF(TEXT(RIGHT(LEFT(K78,6),2),"00")="00","20",TEXT(RIGHT(LEFT(K78,6),2),"00"))</f>
        <v>EN</v>
      </c>
      <c r="I78" s="75" t="s">
        <v>54</v>
      </c>
      <c r="J78" s="4">
        <v>2019</v>
      </c>
      <c r="K78" s="101" t="s">
        <v>240</v>
      </c>
      <c r="L78" s="55" t="s">
        <v>241</v>
      </c>
      <c r="N78" s="5">
        <f>(25000*96.2%)+28590</f>
        <v>52640</v>
      </c>
      <c r="P78" s="5">
        <f t="shared" si="17"/>
        <v>853926080</v>
      </c>
      <c r="Q78" s="5">
        <f>'PR List 2019'!F508</f>
        <v>0</v>
      </c>
      <c r="R78" s="5">
        <f>'PR List 2019'!G508</f>
        <v>349013500</v>
      </c>
      <c r="S78" s="5">
        <f>'PR List 2019'!H508</f>
        <v>0</v>
      </c>
      <c r="T78" s="15">
        <f t="shared" si="18"/>
        <v>504912580</v>
      </c>
      <c r="V78" s="5">
        <f t="shared" si="19"/>
        <v>52640</v>
      </c>
      <c r="W78" s="15">
        <f t="shared" si="20"/>
        <v>0</v>
      </c>
      <c r="X78" s="15">
        <f t="shared" si="21"/>
        <v>21514.825545555417</v>
      </c>
      <c r="Y78" s="15">
        <f t="shared" si="22"/>
        <v>0</v>
      </c>
      <c r="Z78" s="15">
        <f t="shared" si="23"/>
        <v>31125.174454444583</v>
      </c>
      <c r="AB78" s="88">
        <v>43466</v>
      </c>
      <c r="AC78" s="16" t="s">
        <v>31</v>
      </c>
    </row>
    <row r="79" spans="2:29" x14ac:dyDescent="0.25">
      <c r="B79" s="14"/>
      <c r="C79" s="4"/>
      <c r="D79" s="4" t="s">
        <v>25</v>
      </c>
      <c r="E79" s="4" t="s">
        <v>39</v>
      </c>
      <c r="F79" s="22" t="str">
        <f>LEFT(K79,4)</f>
        <v>CGMM</v>
      </c>
      <c r="G79" s="200" t="str">
        <f>TEXT(RIGHT(K79,4),"0000")</f>
        <v>9002</v>
      </c>
      <c r="H79" s="200" t="str">
        <f>IF(TEXT(RIGHT(LEFT(K79,6),2),"00")="00","20",TEXT(RIGHT(LEFT(K79,6),2),"00"))</f>
        <v>EN</v>
      </c>
      <c r="I79" s="75" t="s">
        <v>54</v>
      </c>
      <c r="J79" s="4">
        <v>2019</v>
      </c>
      <c r="K79" s="101" t="s">
        <v>332</v>
      </c>
      <c r="L79" s="55" t="s">
        <v>333</v>
      </c>
      <c r="N79" s="5">
        <f>((0+10000)*96.2%)+26000+15000</f>
        <v>50620</v>
      </c>
      <c r="P79" s="5">
        <f>N79*$P$2</f>
        <v>821157640</v>
      </c>
      <c r="Q79" s="5">
        <f>'PR List 2019'!F521</f>
        <v>0</v>
      </c>
      <c r="R79" s="5">
        <f>'PR List 2019'!G521</f>
        <v>0</v>
      </c>
      <c r="S79" s="5">
        <f>'PR List 2019'!H521</f>
        <v>499586246</v>
      </c>
      <c r="T79" s="15">
        <f>P79-(Q79+R79+S79)</f>
        <v>321571394</v>
      </c>
      <c r="V79" s="5">
        <f>N79</f>
        <v>50620</v>
      </c>
      <c r="W79" s="15">
        <f t="shared" ref="W79:Z80" si="24">Q79/$P$2</f>
        <v>0</v>
      </c>
      <c r="X79" s="15">
        <f t="shared" si="24"/>
        <v>0</v>
      </c>
      <c r="Y79" s="15">
        <f t="shared" si="24"/>
        <v>30796.834299099988</v>
      </c>
      <c r="Z79" s="15">
        <f t="shared" si="24"/>
        <v>19823.165700900012</v>
      </c>
      <c r="AB79" s="88">
        <v>43525</v>
      </c>
      <c r="AC79" s="16" t="s">
        <v>31</v>
      </c>
    </row>
    <row r="80" spans="2:29" x14ac:dyDescent="0.25">
      <c r="B80" s="14"/>
      <c r="C80" s="4"/>
      <c r="D80" s="4" t="s">
        <v>25</v>
      </c>
      <c r="E80" s="4" t="s">
        <v>39</v>
      </c>
      <c r="F80" s="22" t="str">
        <f>LEFT(K80,4)</f>
        <v>CGMM</v>
      </c>
      <c r="G80" s="200" t="str">
        <f>TEXT(RIGHT(K80,4),"0000")</f>
        <v>9003</v>
      </c>
      <c r="H80" s="200" t="str">
        <f>IF(TEXT(RIGHT(LEFT(K80,6),2),"00")="00","20",TEXT(RIGHT(LEFT(K80,6),2),"00"))</f>
        <v>EN</v>
      </c>
      <c r="I80" s="75" t="s">
        <v>51</v>
      </c>
      <c r="J80" s="4">
        <v>2019</v>
      </c>
      <c r="K80" s="101" t="s">
        <v>930</v>
      </c>
      <c r="L80" s="55" t="s">
        <v>931</v>
      </c>
      <c r="N80" s="5">
        <v>50000</v>
      </c>
      <c r="P80" s="5">
        <f>N80*$P$2</f>
        <v>811100000</v>
      </c>
      <c r="Q80" s="5">
        <f>'PR List 2019'!F526</f>
        <v>810000000</v>
      </c>
      <c r="R80" s="5">
        <f>'PR List 2019'!G526</f>
        <v>0</v>
      </c>
      <c r="S80" s="5">
        <f>'PR List 2019'!H526</f>
        <v>0</v>
      </c>
      <c r="T80" s="15">
        <f>P80-(Q80+R80+S80)</f>
        <v>1100000</v>
      </c>
      <c r="V80" s="5">
        <f>N80</f>
        <v>50000</v>
      </c>
      <c r="W80" s="15">
        <f t="shared" si="24"/>
        <v>49932.190851929481</v>
      </c>
      <c r="X80" s="15">
        <f t="shared" si="24"/>
        <v>0</v>
      </c>
      <c r="Y80" s="15">
        <f t="shared" si="24"/>
        <v>0</v>
      </c>
      <c r="Z80" s="15">
        <f t="shared" si="24"/>
        <v>67.809148070521516</v>
      </c>
      <c r="AB80" s="88">
        <v>43770</v>
      </c>
      <c r="AC80" s="16" t="s">
        <v>31</v>
      </c>
    </row>
    <row r="81" spans="2:29" x14ac:dyDescent="0.25">
      <c r="B81" s="17"/>
      <c r="C81" s="18"/>
      <c r="D81" s="18" t="s">
        <v>14</v>
      </c>
      <c r="E81" s="18"/>
      <c r="F81" s="18"/>
      <c r="G81" s="18"/>
      <c r="H81" s="18"/>
      <c r="I81" s="52"/>
      <c r="J81" s="18"/>
      <c r="K81" s="18"/>
      <c r="L81" s="52" t="s">
        <v>6</v>
      </c>
      <c r="N81" s="19">
        <f>N72+N73+N76+N77+N78+N79+N80</f>
        <v>315628.39199999999</v>
      </c>
      <c r="P81" s="19">
        <f t="shared" si="17"/>
        <v>5120123775.0240002</v>
      </c>
      <c r="Q81" s="19">
        <f>SUM(Q72:Q80)</f>
        <v>824200000</v>
      </c>
      <c r="R81" s="19">
        <f t="shared" ref="R81:T81" si="25">SUM(R72:R80)</f>
        <v>1298589000</v>
      </c>
      <c r="S81" s="19">
        <f t="shared" si="25"/>
        <v>2223830108</v>
      </c>
      <c r="T81" s="19">
        <f t="shared" si="25"/>
        <v>773504667.02399993</v>
      </c>
      <c r="V81" s="19">
        <f t="shared" si="19"/>
        <v>315628.39199999999</v>
      </c>
      <c r="W81" s="19">
        <f t="shared" si="20"/>
        <v>50807.54530883985</v>
      </c>
      <c r="X81" s="19">
        <f t="shared" ref="X81" si="26">R81/$P$2</f>
        <v>80051.103439773142</v>
      </c>
      <c r="Y81" s="19">
        <f t="shared" ref="Y81" si="27">S81/$P$2</f>
        <v>137087.29552459624</v>
      </c>
      <c r="Z81" s="19">
        <f t="shared" ref="Z81" si="28">T81/$P$2</f>
        <v>47682.447726790771</v>
      </c>
      <c r="AB81" s="87"/>
      <c r="AC81" s="20">
        <f>SUM(AC72:AC78)</f>
        <v>0</v>
      </c>
    </row>
    <row r="82" spans="2:29" x14ac:dyDescent="0.25">
      <c r="Q82" s="39"/>
      <c r="R82" s="39"/>
      <c r="S82" s="39"/>
      <c r="T82" s="39"/>
      <c r="W82" s="39">
        <f t="shared" si="20"/>
        <v>0</v>
      </c>
      <c r="X82" s="39">
        <f t="shared" si="21"/>
        <v>0</v>
      </c>
      <c r="Y82" s="39">
        <f t="shared" si="22"/>
        <v>0</v>
      </c>
      <c r="Z82" s="39">
        <f t="shared" si="23"/>
        <v>0</v>
      </c>
      <c r="AC82" s="16"/>
    </row>
    <row r="83" spans="2:29" x14ac:dyDescent="0.25">
      <c r="B83" s="14" t="s">
        <v>11</v>
      </c>
      <c r="C83" s="4" t="s">
        <v>56</v>
      </c>
      <c r="D83" s="4">
        <v>5500</v>
      </c>
      <c r="E83" s="4" t="s">
        <v>27</v>
      </c>
      <c r="F83" s="22" t="str">
        <f>LEFT(K83,4)</f>
        <v>CGMM</v>
      </c>
      <c r="G83" s="200" t="str">
        <f>TEXT(RIGHT(K83,4),"0000")</f>
        <v>V177</v>
      </c>
      <c r="H83" s="200" t="str">
        <f>IF(TEXT(RIGHT(LEFT(K83,6),2),"00")="00","20",TEXT(RIGHT(LEFT(K83,6),2),"00"))</f>
        <v>20</v>
      </c>
      <c r="I83" s="75" t="s">
        <v>183</v>
      </c>
      <c r="J83" s="4">
        <v>2019</v>
      </c>
      <c r="K83" s="191" t="s">
        <v>110</v>
      </c>
      <c r="L83" s="192" t="s">
        <v>79</v>
      </c>
      <c r="N83" s="5">
        <f>383000-15000</f>
        <v>368000</v>
      </c>
      <c r="P83" s="5">
        <f t="shared" si="17"/>
        <v>5969696000</v>
      </c>
      <c r="Q83" s="5">
        <f>'PR List 2019'!F233</f>
        <v>2558052016.0999999</v>
      </c>
      <c r="R83" s="5">
        <f>'PR List 2019'!G233</f>
        <v>4352238483.8000002</v>
      </c>
      <c r="S83" s="5">
        <f>'PR List 2019'!H233</f>
        <v>0</v>
      </c>
      <c r="T83" s="15">
        <f t="shared" si="18"/>
        <v>-940594499.89999962</v>
      </c>
      <c r="V83" s="5">
        <f t="shared" si="19"/>
        <v>368000</v>
      </c>
      <c r="W83" s="15">
        <f t="shared" si="20"/>
        <v>157690.29811983724</v>
      </c>
      <c r="X83" s="15">
        <f t="shared" si="21"/>
        <v>268292.34889656026</v>
      </c>
      <c r="Y83" s="15">
        <f t="shared" si="22"/>
        <v>0</v>
      </c>
      <c r="Z83" s="15">
        <f t="shared" si="23"/>
        <v>-57982.647016397459</v>
      </c>
      <c r="AB83" s="88">
        <v>43739</v>
      </c>
      <c r="AC83" s="16" t="s">
        <v>31</v>
      </c>
    </row>
    <row r="84" spans="2:29" x14ac:dyDescent="0.25">
      <c r="B84" s="14" t="s">
        <v>11</v>
      </c>
      <c r="C84" s="4" t="s">
        <v>56</v>
      </c>
      <c r="D84" s="4">
        <v>5500</v>
      </c>
      <c r="E84" s="4" t="s">
        <v>27</v>
      </c>
      <c r="F84" s="22" t="str">
        <f>LEFT(K84,4)</f>
        <v>CGMM</v>
      </c>
      <c r="G84" s="200" t="str">
        <f>TEXT(RIGHT(K84,4),"0000")</f>
        <v>X167</v>
      </c>
      <c r="H84" s="200" t="str">
        <f>IF(TEXT(RIGHT(LEFT(K84,6),2),"00")="00","20",TEXT(RIGHT(LEFT(K84,6),2),"00"))</f>
        <v>20</v>
      </c>
      <c r="I84" s="75" t="s">
        <v>183</v>
      </c>
      <c r="J84" s="4">
        <v>2019</v>
      </c>
      <c r="K84" s="325" t="s">
        <v>105</v>
      </c>
      <c r="L84" s="320" t="s">
        <v>57</v>
      </c>
      <c r="N84" s="5">
        <f>300000-50000</f>
        <v>250000</v>
      </c>
      <c r="P84" s="5">
        <f t="shared" si="17"/>
        <v>4055500000</v>
      </c>
      <c r="Q84" s="5">
        <f>'PR List 2019'!F255</f>
        <v>2017372569</v>
      </c>
      <c r="R84" s="5">
        <f>'PR List 2019'!G255</f>
        <v>449419711</v>
      </c>
      <c r="S84" s="5">
        <f>'PR List 2019'!H255</f>
        <v>2050758118</v>
      </c>
      <c r="T84" s="15">
        <f t="shared" si="18"/>
        <v>-462050398</v>
      </c>
      <c r="V84" s="5">
        <f t="shared" si="19"/>
        <v>250000</v>
      </c>
      <c r="W84" s="15">
        <f t="shared" si="20"/>
        <v>124360.28658611763</v>
      </c>
      <c r="X84" s="15">
        <f t="shared" si="21"/>
        <v>27704.334299099988</v>
      </c>
      <c r="Y84" s="15">
        <f t="shared" si="22"/>
        <v>126418.32807298731</v>
      </c>
      <c r="Z84" s="15">
        <f t="shared" si="23"/>
        <v>-28482.948958204906</v>
      </c>
      <c r="AB84" s="88">
        <v>43709</v>
      </c>
      <c r="AC84" s="16" t="s">
        <v>31</v>
      </c>
    </row>
    <row r="85" spans="2:29" x14ac:dyDescent="0.25">
      <c r="B85" s="14"/>
      <c r="C85" s="4"/>
      <c r="D85" s="4">
        <v>5500</v>
      </c>
      <c r="E85" s="4" t="s">
        <v>27</v>
      </c>
      <c r="F85" s="22" t="str">
        <f>LEFT(K85,4)</f>
        <v>CGMM</v>
      </c>
      <c r="G85" s="200" t="str">
        <f>TEXT(RIGHT(K85,4),"0000")</f>
        <v>X167</v>
      </c>
      <c r="H85" s="200" t="str">
        <f>IF(TEXT(RIGHT(LEFT(K85,6),2),"00")="00","20",TEXT(RIGHT(LEFT(K85,6),2),"00"))</f>
        <v>LA</v>
      </c>
      <c r="I85" s="75" t="s">
        <v>183</v>
      </c>
      <c r="J85" s="4">
        <v>2019</v>
      </c>
      <c r="K85" s="325" t="s">
        <v>639</v>
      </c>
      <c r="L85" s="320" t="s">
        <v>857</v>
      </c>
      <c r="N85" s="5">
        <v>100000</v>
      </c>
      <c r="P85" s="5">
        <f>N85*$P$2</f>
        <v>1622200000</v>
      </c>
      <c r="Q85" s="5">
        <f>'PR List 2019'!F271</f>
        <v>264111279</v>
      </c>
      <c r="R85" s="5">
        <f>'PR List 2019'!G271</f>
        <v>351913510</v>
      </c>
      <c r="S85" s="5">
        <f>'PR List 2019'!H271</f>
        <v>92545908</v>
      </c>
      <c r="T85" s="15">
        <f t="shared" si="18"/>
        <v>913629303</v>
      </c>
      <c r="V85" s="5">
        <f>N85</f>
        <v>100000</v>
      </c>
      <c r="W85" s="15">
        <f t="shared" ref="W85:Y86" si="29">Q85/$P$2</f>
        <v>16281.055295278018</v>
      </c>
      <c r="X85" s="15">
        <f t="shared" si="29"/>
        <v>21693.59573418814</v>
      </c>
      <c r="Y85" s="15">
        <f t="shared" si="29"/>
        <v>5704.9628899026011</v>
      </c>
      <c r="Z85" s="15">
        <f t="shared" si="23"/>
        <v>56320.386080631244</v>
      </c>
      <c r="AB85" s="88">
        <v>43678</v>
      </c>
      <c r="AC85" s="16" t="s">
        <v>31</v>
      </c>
    </row>
    <row r="86" spans="2:29" x14ac:dyDescent="0.25">
      <c r="B86" s="14"/>
      <c r="C86" s="4"/>
      <c r="D86" s="295">
        <v>5500</v>
      </c>
      <c r="E86" s="295" t="s">
        <v>27</v>
      </c>
      <c r="F86" s="296" t="str">
        <f>LEFT(K86,4)</f>
        <v>CGMM</v>
      </c>
      <c r="G86" s="297" t="str">
        <f>TEXT(RIGHT(K86,4),"0000")</f>
        <v>X167</v>
      </c>
      <c r="H86" s="297" t="str">
        <f>IF(TEXT(RIGHT(LEFT(K86,6),2),"00")="00","20",TEXT(RIGHT(LEFT(K86,6),2),"00"))</f>
        <v>LA</v>
      </c>
      <c r="I86" s="298" t="s">
        <v>183</v>
      </c>
      <c r="J86" s="295">
        <v>2019</v>
      </c>
      <c r="K86" s="326" t="s">
        <v>639</v>
      </c>
      <c r="L86" s="321" t="s">
        <v>771</v>
      </c>
      <c r="M86" s="301"/>
      <c r="N86" s="300">
        <f>-50000*0</f>
        <v>0</v>
      </c>
      <c r="O86" s="301"/>
      <c r="P86" s="300">
        <f>N86*$P$2</f>
        <v>0</v>
      </c>
      <c r="Q86" s="300"/>
      <c r="R86" s="300"/>
      <c r="S86" s="300"/>
      <c r="T86" s="302">
        <f>P86-(Q86+R86+S86)</f>
        <v>0</v>
      </c>
      <c r="U86" s="301"/>
      <c r="V86" s="300">
        <f>N86</f>
        <v>0</v>
      </c>
      <c r="W86" s="302">
        <f t="shared" si="29"/>
        <v>0</v>
      </c>
      <c r="X86" s="302">
        <f t="shared" si="29"/>
        <v>0</v>
      </c>
      <c r="Y86" s="302">
        <f t="shared" si="29"/>
        <v>0</v>
      </c>
      <c r="Z86" s="302">
        <f>T86/$P$2</f>
        <v>0</v>
      </c>
      <c r="AA86" s="301"/>
      <c r="AB86" s="303">
        <v>43709</v>
      </c>
      <c r="AC86" s="304" t="s">
        <v>30</v>
      </c>
    </row>
    <row r="87" spans="2:29" x14ac:dyDescent="0.25">
      <c r="B87" s="14" t="s">
        <v>11</v>
      </c>
      <c r="C87" s="4" t="s">
        <v>56</v>
      </c>
      <c r="D87" s="4">
        <v>5500</v>
      </c>
      <c r="E87" s="4" t="s">
        <v>27</v>
      </c>
      <c r="F87" s="22" t="str">
        <f>LEFT(K87,4)</f>
        <v>CGMM</v>
      </c>
      <c r="G87" s="200" t="str">
        <f>TEXT(RIGHT(K87,4),"0000")</f>
        <v>V167</v>
      </c>
      <c r="H87" s="200" t="str">
        <f>IF(TEXT(RIGHT(LEFT(K87,6),2),"00")="00","20",TEXT(RIGHT(LEFT(K87,6),2),"00"))</f>
        <v>20</v>
      </c>
      <c r="I87" s="75" t="s">
        <v>183</v>
      </c>
      <c r="J87" s="4">
        <v>2019</v>
      </c>
      <c r="K87" s="191" t="s">
        <v>106</v>
      </c>
      <c r="L87" s="192" t="s">
        <v>125</v>
      </c>
      <c r="N87" s="5">
        <f>(750000+568000+352000)</f>
        <v>1670000</v>
      </c>
      <c r="P87" s="5">
        <f t="shared" si="17"/>
        <v>27090740000</v>
      </c>
      <c r="Q87" s="5">
        <f>'PR List 2019'!F354</f>
        <v>0</v>
      </c>
      <c r="R87" s="5">
        <f>'PR List 2019'!G354</f>
        <v>1977087557</v>
      </c>
      <c r="S87" s="5">
        <f>'PR List 2019'!H354</f>
        <v>21948270265</v>
      </c>
      <c r="T87" s="15">
        <f t="shared" si="18"/>
        <v>3165382178</v>
      </c>
      <c r="V87" s="5">
        <f t="shared" si="19"/>
        <v>1670000</v>
      </c>
      <c r="W87" s="15">
        <f t="shared" si="20"/>
        <v>0</v>
      </c>
      <c r="X87" s="15">
        <f t="shared" si="21"/>
        <v>121876.92990999877</v>
      </c>
      <c r="Y87" s="15">
        <f t="shared" si="22"/>
        <v>1352994.098446554</v>
      </c>
      <c r="Z87" s="15">
        <f t="shared" si="23"/>
        <v>195128.97164344718</v>
      </c>
      <c r="AB87" s="88"/>
      <c r="AC87" s="16" t="s">
        <v>31</v>
      </c>
    </row>
    <row r="88" spans="2:29" x14ac:dyDescent="0.25">
      <c r="B88" s="14"/>
      <c r="C88" s="4"/>
      <c r="D88" s="4"/>
      <c r="E88" s="4"/>
      <c r="F88" s="4"/>
      <c r="G88" s="4"/>
      <c r="H88" s="200"/>
      <c r="I88" s="75"/>
      <c r="J88" s="4"/>
      <c r="K88" s="191"/>
      <c r="L88" s="192" t="s">
        <v>237</v>
      </c>
      <c r="N88" s="5">
        <v>1000000</v>
      </c>
      <c r="P88" s="5">
        <f t="shared" si="17"/>
        <v>16222000000</v>
      </c>
      <c r="Q88" s="112"/>
      <c r="R88" s="112"/>
      <c r="S88" s="112"/>
      <c r="T88" s="112"/>
      <c r="V88" s="5">
        <f t="shared" si="19"/>
        <v>1000000</v>
      </c>
      <c r="W88" s="112"/>
      <c r="X88" s="112"/>
      <c r="Y88" s="112"/>
      <c r="Z88" s="112"/>
      <c r="AB88" s="88">
        <v>43465</v>
      </c>
      <c r="AC88" s="16"/>
    </row>
    <row r="89" spans="2:29" x14ac:dyDescent="0.25">
      <c r="B89" s="14"/>
      <c r="C89" s="4"/>
      <c r="D89" s="4"/>
      <c r="E89" s="4"/>
      <c r="F89" s="4"/>
      <c r="G89" s="4"/>
      <c r="H89" s="200"/>
      <c r="I89" s="75"/>
      <c r="J89" s="4"/>
      <c r="K89" s="191"/>
      <c r="L89" s="192" t="s">
        <v>238</v>
      </c>
      <c r="N89" s="5">
        <v>670000</v>
      </c>
      <c r="P89" s="5">
        <f t="shared" si="17"/>
        <v>10868740000</v>
      </c>
      <c r="Q89" s="319"/>
      <c r="R89" s="319"/>
      <c r="S89" s="319"/>
      <c r="T89" s="319"/>
      <c r="V89" s="5">
        <f t="shared" si="19"/>
        <v>670000</v>
      </c>
      <c r="W89" s="319"/>
      <c r="X89" s="319"/>
      <c r="Y89" s="319"/>
      <c r="Z89" s="319"/>
      <c r="AB89" s="88">
        <v>43586</v>
      </c>
      <c r="AC89" s="16"/>
    </row>
    <row r="90" spans="2:29" x14ac:dyDescent="0.25">
      <c r="B90" s="14"/>
      <c r="C90" s="4"/>
      <c r="D90" s="4">
        <v>5500</v>
      </c>
      <c r="E90" s="4" t="s">
        <v>27</v>
      </c>
      <c r="F90" s="4" t="s">
        <v>672</v>
      </c>
      <c r="G90" s="4" t="s">
        <v>562</v>
      </c>
      <c r="H90" s="200" t="str">
        <f>IF(TEXT(RIGHT(LEFT(K90,6),2),"00")="00","20",TEXT(RIGHT(LEFT(K90,6),2),"00"))</f>
        <v>LA</v>
      </c>
      <c r="I90" s="75" t="s">
        <v>183</v>
      </c>
      <c r="J90" s="4">
        <v>2019</v>
      </c>
      <c r="K90" s="191" t="s">
        <v>714</v>
      </c>
      <c r="L90" s="192" t="s">
        <v>786</v>
      </c>
      <c r="N90" s="5">
        <v>100000</v>
      </c>
      <c r="P90" s="5">
        <f t="shared" si="17"/>
        <v>1622200000</v>
      </c>
      <c r="Q90" s="5">
        <f>'PR List 2019'!F362</f>
        <v>1455545000</v>
      </c>
      <c r="R90" s="5">
        <f>'PR List 2019'!G362</f>
        <v>0</v>
      </c>
      <c r="S90" s="5">
        <f>'PR List 2019'!H362</f>
        <v>0</v>
      </c>
      <c r="T90" s="5">
        <f t="shared" si="18"/>
        <v>166655000</v>
      </c>
      <c r="V90" s="5">
        <f t="shared" si="19"/>
        <v>100000</v>
      </c>
      <c r="W90" s="5">
        <f>Q90/$P$2</f>
        <v>89726.605843915677</v>
      </c>
      <c r="X90" s="5">
        <f>R90/$P$2</f>
        <v>0</v>
      </c>
      <c r="Y90" s="5">
        <f>S90/$P$2</f>
        <v>0</v>
      </c>
      <c r="Z90" s="5">
        <f>T90/$P$2</f>
        <v>10273.39415608433</v>
      </c>
      <c r="AB90" s="88">
        <v>43465</v>
      </c>
      <c r="AC90" s="16" t="s">
        <v>31</v>
      </c>
    </row>
    <row r="91" spans="2:29" s="313" customFormat="1" x14ac:dyDescent="0.25">
      <c r="B91" s="306" t="s">
        <v>11</v>
      </c>
      <c r="C91" s="307" t="s">
        <v>56</v>
      </c>
      <c r="D91" s="307">
        <v>5500</v>
      </c>
      <c r="E91" s="307" t="s">
        <v>27</v>
      </c>
      <c r="F91" s="308" t="str">
        <f>LEFT(K91,4)</f>
        <v>CGMM</v>
      </c>
      <c r="G91" s="309" t="str">
        <f>TEXT(RIGHT(K91,4),"0000")</f>
        <v>M264</v>
      </c>
      <c r="H91" s="309" t="str">
        <f>IF(TEXT(RIGHT(LEFT(K91,6),2),"00")="00","20",TEXT(RIGHT(LEFT(K91,6),2),"00"))</f>
        <v>20</v>
      </c>
      <c r="I91" s="310" t="s">
        <v>183</v>
      </c>
      <c r="J91" s="307">
        <v>2019</v>
      </c>
      <c r="K91" s="308" t="s">
        <v>107</v>
      </c>
      <c r="L91" s="312" t="s">
        <v>58</v>
      </c>
      <c r="N91" s="314">
        <f>(1000000+1000000-400000)-500000-10000</f>
        <v>1090000</v>
      </c>
      <c r="P91" s="314">
        <f t="shared" si="17"/>
        <v>17681980000</v>
      </c>
      <c r="Q91" s="314">
        <f>'PR List 2019'!F410</f>
        <v>1352432690</v>
      </c>
      <c r="R91" s="314">
        <f>'PR List 2019'!G410</f>
        <v>1745632793</v>
      </c>
      <c r="S91" s="314">
        <f>'PR List 2019'!H410</f>
        <v>12189544791</v>
      </c>
      <c r="T91" s="315">
        <f t="shared" si="18"/>
        <v>2394369726</v>
      </c>
      <c r="V91" s="314">
        <f t="shared" si="19"/>
        <v>1090000</v>
      </c>
      <c r="W91" s="315">
        <f t="shared" si="20"/>
        <v>83370.280483294293</v>
      </c>
      <c r="X91" s="315">
        <f t="shared" si="21"/>
        <v>107608.97503390457</v>
      </c>
      <c r="Y91" s="315">
        <f t="shared" si="22"/>
        <v>751420.58876833925</v>
      </c>
      <c r="Z91" s="315">
        <f t="shared" si="23"/>
        <v>147600.15571446184</v>
      </c>
      <c r="AB91" s="316"/>
      <c r="AC91" s="317" t="s">
        <v>31</v>
      </c>
    </row>
    <row r="92" spans="2:29" x14ac:dyDescent="0.25">
      <c r="B92" s="14"/>
      <c r="C92" s="4"/>
      <c r="D92" s="4"/>
      <c r="E92" s="4"/>
      <c r="F92" s="4"/>
      <c r="G92" s="4"/>
      <c r="H92" s="4"/>
      <c r="I92" s="75"/>
      <c r="J92" s="4"/>
      <c r="K92" s="4"/>
      <c r="L92" s="55" t="s">
        <v>239</v>
      </c>
      <c r="N92" s="5">
        <v>350000</v>
      </c>
      <c r="P92" s="5">
        <f t="shared" si="17"/>
        <v>5677700000</v>
      </c>
      <c r="Q92" s="112"/>
      <c r="R92" s="112"/>
      <c r="S92" s="112"/>
      <c r="T92" s="112"/>
      <c r="V92" s="5">
        <f t="shared" si="19"/>
        <v>350000</v>
      </c>
      <c r="W92" s="112"/>
      <c r="X92" s="112"/>
      <c r="Y92" s="112"/>
      <c r="Z92" s="112"/>
      <c r="AB92" s="88">
        <v>43465</v>
      </c>
      <c r="AC92" s="16"/>
    </row>
    <row r="93" spans="2:29" x14ac:dyDescent="0.25">
      <c r="B93" s="14"/>
      <c r="C93" s="4"/>
      <c r="D93" s="4"/>
      <c r="E93" s="4"/>
      <c r="F93" s="4"/>
      <c r="G93" s="4"/>
      <c r="H93" s="4"/>
      <c r="I93" s="75"/>
      <c r="J93" s="4"/>
      <c r="K93" s="4"/>
      <c r="L93" s="55" t="s">
        <v>301</v>
      </c>
      <c r="N93" s="5">
        <f>400000-10000</f>
        <v>390000</v>
      </c>
      <c r="P93" s="5">
        <f t="shared" si="17"/>
        <v>6326580000</v>
      </c>
      <c r="Q93" s="112"/>
      <c r="R93" s="112"/>
      <c r="S93" s="112"/>
      <c r="T93" s="112"/>
      <c r="V93" s="5">
        <f t="shared" si="19"/>
        <v>390000</v>
      </c>
      <c r="W93" s="112"/>
      <c r="X93" s="112"/>
      <c r="Y93" s="112"/>
      <c r="Z93" s="112"/>
      <c r="AB93" s="88">
        <v>43678</v>
      </c>
      <c r="AC93" s="16"/>
    </row>
    <row r="94" spans="2:29" x14ac:dyDescent="0.25">
      <c r="B94" s="14"/>
      <c r="C94" s="4"/>
      <c r="D94" s="4"/>
      <c r="E94" s="4"/>
      <c r="F94" s="4"/>
      <c r="G94" s="4"/>
      <c r="H94" s="4"/>
      <c r="I94" s="75"/>
      <c r="J94" s="4"/>
      <c r="K94" s="4"/>
      <c r="L94" s="55" t="s">
        <v>302</v>
      </c>
      <c r="N94" s="5">
        <v>350000</v>
      </c>
      <c r="P94" s="5">
        <f t="shared" si="17"/>
        <v>5677700000</v>
      </c>
      <c r="Q94" s="112"/>
      <c r="R94" s="112"/>
      <c r="S94" s="112"/>
      <c r="T94" s="112"/>
      <c r="V94" s="5">
        <f t="shared" si="19"/>
        <v>350000</v>
      </c>
      <c r="W94" s="112"/>
      <c r="X94" s="112"/>
      <c r="Y94" s="112"/>
      <c r="Z94" s="112"/>
      <c r="AB94" s="88">
        <v>43647</v>
      </c>
      <c r="AC94" s="16"/>
    </row>
    <row r="95" spans="2:29" x14ac:dyDescent="0.25">
      <c r="B95" s="14" t="s">
        <v>11</v>
      </c>
      <c r="C95" s="4" t="s">
        <v>56</v>
      </c>
      <c r="D95" s="4">
        <v>5500</v>
      </c>
      <c r="E95" s="4" t="s">
        <v>27</v>
      </c>
      <c r="F95" s="22" t="str">
        <f>LEFT(K95,4)</f>
        <v>CGMM</v>
      </c>
      <c r="G95" s="200" t="str">
        <f>TEXT(RIGHT(K95,4),"0000")</f>
        <v>W213</v>
      </c>
      <c r="H95" s="200" t="str">
        <f>IF(TEXT(RIGHT(LEFT(K95,6),2),"00")="00","20",TEXT(RIGHT(LEFT(K95,6),2),"00"))</f>
        <v>20</v>
      </c>
      <c r="I95" s="75" t="s">
        <v>183</v>
      </c>
      <c r="J95" s="4">
        <v>2019</v>
      </c>
      <c r="K95" s="22" t="s">
        <v>111</v>
      </c>
      <c r="L95" s="55" t="s">
        <v>80</v>
      </c>
      <c r="N95" s="5">
        <v>15000</v>
      </c>
      <c r="P95" s="15">
        <f t="shared" si="17"/>
        <v>243330000</v>
      </c>
      <c r="Q95" s="5">
        <f>'PR List 2019'!F418</f>
        <v>0</v>
      </c>
      <c r="R95" s="5">
        <f>'PR List 2019'!G418</f>
        <v>0</v>
      </c>
      <c r="S95" s="5">
        <f>'PR List 2019'!H418</f>
        <v>199298142</v>
      </c>
      <c r="T95" s="15">
        <f t="shared" si="18"/>
        <v>44031858</v>
      </c>
      <c r="V95" s="15">
        <f t="shared" si="19"/>
        <v>15000</v>
      </c>
      <c r="W95" s="15">
        <f t="shared" si="20"/>
        <v>0</v>
      </c>
      <c r="X95" s="15">
        <f t="shared" si="21"/>
        <v>0</v>
      </c>
      <c r="Y95" s="15">
        <f t="shared" si="22"/>
        <v>12285.670200961657</v>
      </c>
      <c r="Z95" s="15">
        <f t="shared" si="23"/>
        <v>2714.329799038343</v>
      </c>
      <c r="AB95" s="88">
        <v>43678</v>
      </c>
      <c r="AC95" s="16" t="s">
        <v>31</v>
      </c>
    </row>
    <row r="96" spans="2:29" x14ac:dyDescent="0.25">
      <c r="B96" s="14" t="s">
        <v>11</v>
      </c>
      <c r="C96" s="4" t="s">
        <v>56</v>
      </c>
      <c r="D96" s="4">
        <v>5500</v>
      </c>
      <c r="E96" s="4" t="s">
        <v>27</v>
      </c>
      <c r="F96" s="22" t="str">
        <f>LEFT(K96,4)</f>
        <v>CGMM</v>
      </c>
      <c r="G96" s="200" t="str">
        <f>TEXT(RIGHT(K96,4),"0000")</f>
        <v>V222</v>
      </c>
      <c r="H96" s="200" t="str">
        <f>IF(TEXT(RIGHT(LEFT(K96,6),2),"00")="00","20",TEXT(RIGHT(LEFT(K96,6),2),"00"))</f>
        <v>20</v>
      </c>
      <c r="I96" s="75" t="s">
        <v>183</v>
      </c>
      <c r="J96" s="4">
        <v>2019</v>
      </c>
      <c r="K96" s="22" t="s">
        <v>112</v>
      </c>
      <c r="L96" s="55" t="s">
        <v>81</v>
      </c>
      <c r="N96" s="5">
        <v>15000</v>
      </c>
      <c r="P96" s="15">
        <f t="shared" si="17"/>
        <v>243330000</v>
      </c>
      <c r="Q96" s="5">
        <f>'PR List 2019'!F425</f>
        <v>0</v>
      </c>
      <c r="R96" s="5">
        <f>'PR List 2019'!G425</f>
        <v>0</v>
      </c>
      <c r="S96" s="5">
        <f>'PR List 2019'!H425</f>
        <v>0</v>
      </c>
      <c r="T96" s="15">
        <f t="shared" si="18"/>
        <v>243330000</v>
      </c>
      <c r="V96" s="15">
        <f t="shared" si="19"/>
        <v>15000</v>
      </c>
      <c r="W96" s="15">
        <f t="shared" si="20"/>
        <v>0</v>
      </c>
      <c r="X96" s="15">
        <f t="shared" si="21"/>
        <v>0</v>
      </c>
      <c r="Y96" s="15">
        <f t="shared" si="22"/>
        <v>0</v>
      </c>
      <c r="Z96" s="15">
        <f t="shared" si="23"/>
        <v>15000</v>
      </c>
      <c r="AB96" s="88">
        <v>43678</v>
      </c>
      <c r="AC96" s="16" t="s">
        <v>31</v>
      </c>
    </row>
    <row r="97" spans="2:29" x14ac:dyDescent="0.25">
      <c r="B97" s="14" t="s">
        <v>11</v>
      </c>
      <c r="C97" s="4" t="s">
        <v>56</v>
      </c>
      <c r="D97" s="4">
        <v>5500</v>
      </c>
      <c r="E97" s="4" t="s">
        <v>27</v>
      </c>
      <c r="F97" s="22" t="str">
        <f>LEFT(K97,4)</f>
        <v>CGMM</v>
      </c>
      <c r="G97" s="200" t="str">
        <f>TEXT(RIGHT(K97,4),"0000")</f>
        <v>W205</v>
      </c>
      <c r="H97" s="200" t="str">
        <f>IF(TEXT(RIGHT(LEFT(K97,6),2),"00")="00","20",TEXT(RIGHT(LEFT(K97,6),2),"00"))</f>
        <v>20</v>
      </c>
      <c r="I97" s="75" t="s">
        <v>183</v>
      </c>
      <c r="J97" s="4">
        <v>2019</v>
      </c>
      <c r="K97" s="22" t="s">
        <v>113</v>
      </c>
      <c r="L97" s="55" t="s">
        <v>193</v>
      </c>
      <c r="N97" s="5">
        <v>15000</v>
      </c>
      <c r="P97" s="15">
        <f t="shared" si="17"/>
        <v>243330000</v>
      </c>
      <c r="Q97" s="5">
        <f>'PR List 2019'!F434</f>
        <v>0</v>
      </c>
      <c r="R97" s="5">
        <f>'PR List 2019'!G434</f>
        <v>0</v>
      </c>
      <c r="S97" s="5">
        <f>'PR List 2019'!H434</f>
        <v>120576554</v>
      </c>
      <c r="T97" s="15">
        <f t="shared" si="18"/>
        <v>122753446</v>
      </c>
      <c r="V97" s="15">
        <f t="shared" si="19"/>
        <v>15000</v>
      </c>
      <c r="W97" s="15">
        <f t="shared" si="20"/>
        <v>0</v>
      </c>
      <c r="X97" s="15">
        <f t="shared" si="21"/>
        <v>0</v>
      </c>
      <c r="Y97" s="15">
        <f t="shared" si="22"/>
        <v>7432.9030945629393</v>
      </c>
      <c r="Z97" s="15">
        <f t="shared" si="23"/>
        <v>7567.0969054370607</v>
      </c>
      <c r="AB97" s="88">
        <v>43678</v>
      </c>
      <c r="AC97" s="16" t="s">
        <v>31</v>
      </c>
    </row>
    <row r="98" spans="2:29" x14ac:dyDescent="0.25">
      <c r="B98" s="14" t="s">
        <v>11</v>
      </c>
      <c r="C98" s="4" t="s">
        <v>56</v>
      </c>
      <c r="D98" s="4">
        <v>5500</v>
      </c>
      <c r="E98" s="4" t="s">
        <v>27</v>
      </c>
      <c r="F98" s="22" t="str">
        <f>LEFT(K98,4)</f>
        <v>CGMM</v>
      </c>
      <c r="G98" s="200" t="str">
        <f>TEXT(RIGHT(K98,4),"0000")</f>
        <v>X253</v>
      </c>
      <c r="H98" s="200" t="str">
        <f>IF(TEXT(RIGHT(LEFT(K98,6),2),"00")="00","20",TEXT(RIGHT(LEFT(K98,6),2),"00"))</f>
        <v>20</v>
      </c>
      <c r="I98" s="75" t="s">
        <v>183</v>
      </c>
      <c r="J98" s="4">
        <v>2019</v>
      </c>
      <c r="K98" s="22" t="s">
        <v>114</v>
      </c>
      <c r="L98" s="55" t="s">
        <v>59</v>
      </c>
      <c r="N98" s="5">
        <v>15000</v>
      </c>
      <c r="P98" s="15">
        <f t="shared" si="17"/>
        <v>243330000</v>
      </c>
      <c r="Q98" s="5">
        <f>'PR List 2019'!F443</f>
        <v>0</v>
      </c>
      <c r="R98" s="5">
        <f>'PR List 2019'!G443</f>
        <v>207560000</v>
      </c>
      <c r="S98" s="5">
        <f>'PR List 2019'!H443</f>
        <v>163800880</v>
      </c>
      <c r="T98" s="15">
        <f t="shared" si="18"/>
        <v>-128030880</v>
      </c>
      <c r="V98" s="15">
        <f t="shared" si="19"/>
        <v>15000</v>
      </c>
      <c r="W98" s="15">
        <f t="shared" si="20"/>
        <v>0</v>
      </c>
      <c r="X98" s="15">
        <f t="shared" si="21"/>
        <v>12794.969794106768</v>
      </c>
      <c r="Y98" s="15">
        <f t="shared" si="22"/>
        <v>10097.452841819751</v>
      </c>
      <c r="Z98" s="15">
        <f t="shared" si="23"/>
        <v>-7892.4226359265194</v>
      </c>
      <c r="AB98" s="88">
        <v>43678</v>
      </c>
      <c r="AC98" s="16" t="s">
        <v>31</v>
      </c>
    </row>
    <row r="99" spans="2:29" x14ac:dyDescent="0.25">
      <c r="B99" s="17"/>
      <c r="C99" s="18"/>
      <c r="D99" s="18" t="s">
        <v>14</v>
      </c>
      <c r="E99" s="18"/>
      <c r="F99" s="18"/>
      <c r="G99" s="18"/>
      <c r="H99" s="18"/>
      <c r="I99" s="52"/>
      <c r="J99" s="18"/>
      <c r="K99" s="18"/>
      <c r="L99" s="52" t="s">
        <v>78</v>
      </c>
      <c r="N99" s="19">
        <f>N83+N84+N87+N91+N95+N96+N97+N98+N85+N86+N90</f>
        <v>3638000</v>
      </c>
      <c r="P99" s="19">
        <f>SUM(P83:P98)</f>
        <v>103788356000</v>
      </c>
      <c r="Q99" s="19">
        <f>SUM(Q83:Q98)</f>
        <v>7647513554.1000004</v>
      </c>
      <c r="R99" s="19">
        <f>SUM(R83:R98)</f>
        <v>9083852054.7999992</v>
      </c>
      <c r="S99" s="19">
        <f>S83+S84+S87+S91+S95+S96+S97+S98</f>
        <v>36672248750</v>
      </c>
      <c r="T99" s="19">
        <f>SUM(T83:T98)</f>
        <v>5519475733.1000004</v>
      </c>
      <c r="V99" s="19">
        <f>SUM(V83:V98)</f>
        <v>6398000</v>
      </c>
      <c r="W99" s="19">
        <f>SUM(W83:W98)</f>
        <v>471428.52632844285</v>
      </c>
      <c r="X99" s="19">
        <f>SUM(X83:X98)</f>
        <v>559971.15366785857</v>
      </c>
      <c r="Y99" s="19">
        <f>SUM(Y83:Y98)</f>
        <v>2266354.0043151276</v>
      </c>
      <c r="Z99" s="19">
        <f>SUM(Z83:Z98)</f>
        <v>340246.31568857119</v>
      </c>
      <c r="AB99" s="87"/>
      <c r="AC99" s="20">
        <f>SUM(AC95:AC98)</f>
        <v>0</v>
      </c>
    </row>
    <row r="100" spans="2:29" s="30" customFormat="1" x14ac:dyDescent="0.25">
      <c r="C100" s="31"/>
      <c r="D100" s="31"/>
      <c r="E100" s="31"/>
      <c r="F100" s="31"/>
      <c r="G100" s="31"/>
      <c r="H100" s="31"/>
      <c r="I100" s="77"/>
      <c r="J100" s="31"/>
      <c r="K100" s="31"/>
      <c r="L100" s="56"/>
      <c r="N100" s="32"/>
      <c r="P100" s="32">
        <f t="shared" si="17"/>
        <v>0</v>
      </c>
      <c r="Q100" s="32"/>
      <c r="R100" s="32"/>
      <c r="S100" s="32"/>
      <c r="T100" s="32"/>
      <c r="V100" s="32"/>
      <c r="W100" s="32">
        <f t="shared" si="20"/>
        <v>0</v>
      </c>
      <c r="X100" s="32">
        <f t="shared" si="21"/>
        <v>0</v>
      </c>
      <c r="Y100" s="32">
        <f t="shared" si="22"/>
        <v>0</v>
      </c>
      <c r="Z100" s="32">
        <f t="shared" si="23"/>
        <v>0</v>
      </c>
      <c r="AB100" s="90"/>
      <c r="AC100" s="33"/>
    </row>
    <row r="101" spans="2:29" s="10" customFormat="1" x14ac:dyDescent="0.25">
      <c r="B101" s="2" t="s">
        <v>11</v>
      </c>
      <c r="C101" s="4" t="s">
        <v>52</v>
      </c>
      <c r="D101" s="4">
        <v>5500</v>
      </c>
      <c r="E101" s="4" t="s">
        <v>28</v>
      </c>
      <c r="F101" s="22" t="str">
        <f t="shared" ref="F101:F110" si="30">LEFT(K101,4)</f>
        <v>EGMM</v>
      </c>
      <c r="G101" s="200" t="str">
        <f t="shared" ref="G101:G110" si="31">TEXT(RIGHT(K101,4),"0000")</f>
        <v>W213</v>
      </c>
      <c r="H101" s="200" t="str">
        <f>IF(TEXT(RIGHT(LEFT(K101,6),2),"00")="00","20",TEXT(RIGHT(LEFT(K101,6),2),"00"))</f>
        <v>20</v>
      </c>
      <c r="I101" s="75" t="s">
        <v>183</v>
      </c>
      <c r="J101" s="4">
        <v>2019</v>
      </c>
      <c r="K101" s="96" t="s">
        <v>115</v>
      </c>
      <c r="L101" s="55" t="s">
        <v>82</v>
      </c>
      <c r="N101" s="34">
        <v>5000</v>
      </c>
      <c r="P101" s="16">
        <f t="shared" si="17"/>
        <v>81110000</v>
      </c>
      <c r="Q101" s="34">
        <f>'PR List 2019'!F535</f>
        <v>1107000</v>
      </c>
      <c r="R101" s="34">
        <f>'PR List 2019'!G535</f>
        <v>0</v>
      </c>
      <c r="S101" s="34">
        <f>'PR List 2019'!H535</f>
        <v>79960705</v>
      </c>
      <c r="T101" s="16">
        <f t="shared" si="18"/>
        <v>42295</v>
      </c>
      <c r="V101" s="16">
        <f t="shared" si="19"/>
        <v>5000</v>
      </c>
      <c r="W101" s="16">
        <f t="shared" si="20"/>
        <v>68.240660830970285</v>
      </c>
      <c r="X101" s="16">
        <f t="shared" si="21"/>
        <v>0</v>
      </c>
      <c r="Y101" s="16">
        <f t="shared" si="22"/>
        <v>4929.1520774257178</v>
      </c>
      <c r="Z101" s="16">
        <f t="shared" si="23"/>
        <v>2.6072617433115521</v>
      </c>
      <c r="AB101" s="88">
        <v>43617</v>
      </c>
      <c r="AC101" s="4" t="s">
        <v>31</v>
      </c>
    </row>
    <row r="102" spans="2:29" x14ac:dyDescent="0.25">
      <c r="B102" s="14" t="s">
        <v>11</v>
      </c>
      <c r="C102" s="4" t="s">
        <v>52</v>
      </c>
      <c r="D102" s="4">
        <v>5500</v>
      </c>
      <c r="E102" s="4" t="s">
        <v>28</v>
      </c>
      <c r="F102" s="22" t="str">
        <f t="shared" si="30"/>
        <v>EGMM</v>
      </c>
      <c r="G102" s="200" t="str">
        <f t="shared" si="31"/>
        <v>V222</v>
      </c>
      <c r="H102" s="200" t="str">
        <f t="shared" ref="H102:H110" si="32">IF(TEXT(RIGHT(LEFT(K102,6),2),"00")="00","20",TEXT(RIGHT(LEFT(K102,6),2),"00"))</f>
        <v>20</v>
      </c>
      <c r="I102" s="75" t="s">
        <v>183</v>
      </c>
      <c r="J102" s="4">
        <v>2019</v>
      </c>
      <c r="K102" s="96" t="s">
        <v>116</v>
      </c>
      <c r="L102" s="55" t="s">
        <v>83</v>
      </c>
      <c r="N102" s="5">
        <v>5000</v>
      </c>
      <c r="P102" s="16">
        <f t="shared" si="17"/>
        <v>81110000</v>
      </c>
      <c r="Q102" s="5">
        <f>'PR List 2019'!F542</f>
        <v>25562054</v>
      </c>
      <c r="R102" s="5">
        <f>'PR List 2019'!G542</f>
        <v>0</v>
      </c>
      <c r="S102" s="5">
        <f>'PR List 2019'!H542</f>
        <v>70688780</v>
      </c>
      <c r="T102" s="15">
        <f t="shared" si="18"/>
        <v>-15140834</v>
      </c>
      <c r="V102" s="5">
        <f t="shared" si="19"/>
        <v>5000</v>
      </c>
      <c r="W102" s="15">
        <f t="shared" si="20"/>
        <v>1575.7646406115152</v>
      </c>
      <c r="X102" s="15">
        <f t="shared" si="21"/>
        <v>0</v>
      </c>
      <c r="Y102" s="15">
        <f t="shared" si="22"/>
        <v>4357.5872272222905</v>
      </c>
      <c r="Z102" s="15">
        <f t="shared" si="23"/>
        <v>-933.35186783380595</v>
      </c>
      <c r="AB102" s="88">
        <v>43617</v>
      </c>
      <c r="AC102" s="16" t="s">
        <v>31</v>
      </c>
    </row>
    <row r="103" spans="2:29" x14ac:dyDescent="0.25">
      <c r="B103" s="14" t="s">
        <v>11</v>
      </c>
      <c r="C103" s="4" t="s">
        <v>52</v>
      </c>
      <c r="D103" s="4">
        <v>5500</v>
      </c>
      <c r="E103" s="4" t="s">
        <v>28</v>
      </c>
      <c r="F103" s="22" t="str">
        <f t="shared" si="30"/>
        <v>EGMM</v>
      </c>
      <c r="G103" s="200" t="str">
        <f t="shared" si="31"/>
        <v>W205</v>
      </c>
      <c r="H103" s="200" t="str">
        <f t="shared" si="32"/>
        <v>20</v>
      </c>
      <c r="I103" s="75" t="s">
        <v>183</v>
      </c>
      <c r="J103" s="4">
        <v>2019</v>
      </c>
      <c r="K103" s="96" t="s">
        <v>117</v>
      </c>
      <c r="L103" s="55" t="s">
        <v>84</v>
      </c>
      <c r="N103" s="5">
        <f>5000</f>
        <v>5000</v>
      </c>
      <c r="P103" s="16">
        <f t="shared" si="17"/>
        <v>81110000</v>
      </c>
      <c r="Q103" s="5">
        <f>'PR List 2019'!F560</f>
        <v>12310539</v>
      </c>
      <c r="R103" s="5">
        <f>'PR List 2019'!G560</f>
        <v>0</v>
      </c>
      <c r="S103" s="5">
        <f>'PR List 2019'!H560</f>
        <v>90770790</v>
      </c>
      <c r="T103" s="15">
        <f t="shared" si="18"/>
        <v>-21971329</v>
      </c>
      <c r="V103" s="5">
        <f t="shared" si="19"/>
        <v>5000</v>
      </c>
      <c r="W103" s="15">
        <f t="shared" si="20"/>
        <v>758.87923807175446</v>
      </c>
      <c r="X103" s="15">
        <f t="shared" si="21"/>
        <v>0</v>
      </c>
      <c r="Y103" s="15">
        <f t="shared" si="22"/>
        <v>5595.5363087165579</v>
      </c>
      <c r="Z103" s="15">
        <f t="shared" si="23"/>
        <v>-1354.4155467883122</v>
      </c>
      <c r="AB103" s="88">
        <v>43678</v>
      </c>
      <c r="AC103" s="16" t="s">
        <v>31</v>
      </c>
    </row>
    <row r="104" spans="2:29" x14ac:dyDescent="0.25">
      <c r="B104" s="14"/>
      <c r="C104" s="4"/>
      <c r="D104" s="22">
        <v>5500</v>
      </c>
      <c r="E104" s="22" t="s">
        <v>28</v>
      </c>
      <c r="F104" s="22" t="str">
        <f t="shared" si="30"/>
        <v>EGMM</v>
      </c>
      <c r="G104" s="200" t="str">
        <f t="shared" si="31"/>
        <v>W206</v>
      </c>
      <c r="H104" s="200" t="str">
        <f t="shared" si="32"/>
        <v>TE</v>
      </c>
      <c r="I104" s="74" t="s">
        <v>183</v>
      </c>
      <c r="J104" s="22">
        <v>2019</v>
      </c>
      <c r="K104" s="43" t="s">
        <v>698</v>
      </c>
      <c r="L104" s="54" t="s">
        <v>545</v>
      </c>
      <c r="M104" s="21"/>
      <c r="N104" s="5">
        <v>24817</v>
      </c>
      <c r="P104" s="16">
        <f t="shared" si="17"/>
        <v>402581374</v>
      </c>
      <c r="Q104" s="5">
        <f>'PR List 2019'!F578</f>
        <v>0</v>
      </c>
      <c r="R104" s="5">
        <f>'PR List 2019'!G578</f>
        <v>0</v>
      </c>
      <c r="S104" s="5">
        <f>'PR List 2019'!H578</f>
        <v>0</v>
      </c>
      <c r="T104" s="15">
        <f t="shared" si="18"/>
        <v>402581374</v>
      </c>
      <c r="V104" s="5">
        <f t="shared" si="19"/>
        <v>24817</v>
      </c>
      <c r="W104" s="15">
        <f>Q104/$P$2</f>
        <v>0</v>
      </c>
      <c r="X104" s="15">
        <f>R104/$P$2</f>
        <v>0</v>
      </c>
      <c r="Y104" s="15">
        <f>S104/$P$2</f>
        <v>0</v>
      </c>
      <c r="Z104" s="15">
        <f>T104/$P$2</f>
        <v>24817</v>
      </c>
      <c r="AB104" s="88">
        <v>43709</v>
      </c>
      <c r="AC104" s="16" t="s">
        <v>31</v>
      </c>
    </row>
    <row r="105" spans="2:29" x14ac:dyDescent="0.25">
      <c r="B105" s="14" t="s">
        <v>11</v>
      </c>
      <c r="C105" s="4" t="s">
        <v>52</v>
      </c>
      <c r="D105" s="4">
        <v>5500</v>
      </c>
      <c r="E105" s="4" t="s">
        <v>28</v>
      </c>
      <c r="F105" s="22" t="str">
        <f t="shared" si="30"/>
        <v>EGMM</v>
      </c>
      <c r="G105" s="200" t="str">
        <f t="shared" si="31"/>
        <v>X253</v>
      </c>
      <c r="H105" s="200" t="str">
        <f t="shared" si="32"/>
        <v>20</v>
      </c>
      <c r="I105" s="75" t="s">
        <v>183</v>
      </c>
      <c r="J105" s="4">
        <v>2019</v>
      </c>
      <c r="K105" s="96" t="s">
        <v>118</v>
      </c>
      <c r="L105" s="55" t="s">
        <v>85</v>
      </c>
      <c r="N105" s="5">
        <f>(35000+23000)*0</f>
        <v>0</v>
      </c>
      <c r="P105" s="16">
        <f t="shared" si="17"/>
        <v>0</v>
      </c>
      <c r="Q105" s="5">
        <f>'PR List 2019'!F593</f>
        <v>8019500</v>
      </c>
      <c r="R105" s="5">
        <f>'PR List 2019'!G593</f>
        <v>0</v>
      </c>
      <c r="S105" s="5">
        <f>'PR List 2019'!H593</f>
        <v>41522136</v>
      </c>
      <c r="T105" s="15">
        <f t="shared" si="18"/>
        <v>-49541636</v>
      </c>
      <c r="V105" s="5">
        <f t="shared" si="19"/>
        <v>0</v>
      </c>
      <c r="W105" s="15">
        <f t="shared" si="20"/>
        <v>494.35951177413386</v>
      </c>
      <c r="X105" s="15">
        <f t="shared" si="21"/>
        <v>0</v>
      </c>
      <c r="Y105" s="15">
        <f t="shared" si="22"/>
        <v>2559.6187892984835</v>
      </c>
      <c r="Z105" s="15">
        <f t="shared" si="23"/>
        <v>-3053.9783010726173</v>
      </c>
      <c r="AB105" s="88">
        <v>43617</v>
      </c>
      <c r="AC105" s="16" t="s">
        <v>31</v>
      </c>
    </row>
    <row r="106" spans="2:29" s="313" customFormat="1" x14ac:dyDescent="0.25">
      <c r="B106" s="306" t="s">
        <v>11</v>
      </c>
      <c r="C106" s="307" t="s">
        <v>52</v>
      </c>
      <c r="D106" s="307">
        <v>5500</v>
      </c>
      <c r="E106" s="307" t="s">
        <v>28</v>
      </c>
      <c r="F106" s="308" t="str">
        <f t="shared" si="30"/>
        <v>EGMM</v>
      </c>
      <c r="G106" s="309" t="str">
        <f t="shared" si="31"/>
        <v>M264</v>
      </c>
      <c r="H106" s="309" t="str">
        <f t="shared" si="32"/>
        <v>20</v>
      </c>
      <c r="I106" s="310" t="s">
        <v>183</v>
      </c>
      <c r="J106" s="307">
        <v>2019</v>
      </c>
      <c r="K106" s="311" t="s">
        <v>119</v>
      </c>
      <c r="L106" s="312" t="s">
        <v>86</v>
      </c>
      <c r="N106" s="314">
        <f>180000+10000</f>
        <v>190000</v>
      </c>
      <c r="P106" s="314">
        <f t="shared" si="17"/>
        <v>3082180000</v>
      </c>
      <c r="Q106" s="314">
        <f>'PR List 2019'!F637</f>
        <v>184776858</v>
      </c>
      <c r="R106" s="314">
        <f>'PR List 2019'!G637</f>
        <v>224017838</v>
      </c>
      <c r="S106" s="314">
        <f>'PR List 2019'!H637</f>
        <v>2840056647</v>
      </c>
      <c r="T106" s="315">
        <f t="shared" si="18"/>
        <v>-166671343</v>
      </c>
      <c r="V106" s="314">
        <f t="shared" si="19"/>
        <v>190000</v>
      </c>
      <c r="W106" s="315">
        <f t="shared" si="20"/>
        <v>11390.510294661572</v>
      </c>
      <c r="X106" s="315">
        <f t="shared" si="21"/>
        <v>13809.507952163729</v>
      </c>
      <c r="Y106" s="315">
        <f t="shared" si="22"/>
        <v>175074.38336826532</v>
      </c>
      <c r="Z106" s="315">
        <f t="shared" si="23"/>
        <v>-10274.401615090617</v>
      </c>
      <c r="AB106" s="316">
        <v>43497</v>
      </c>
      <c r="AC106" s="317" t="s">
        <v>31</v>
      </c>
    </row>
    <row r="107" spans="2:29" x14ac:dyDescent="0.25">
      <c r="B107" s="14" t="s">
        <v>11</v>
      </c>
      <c r="C107" s="4" t="s">
        <v>52</v>
      </c>
      <c r="D107" s="4">
        <v>5500</v>
      </c>
      <c r="E107" s="4" t="s">
        <v>28</v>
      </c>
      <c r="F107" s="22" t="str">
        <f t="shared" si="30"/>
        <v>EGMM</v>
      </c>
      <c r="G107" s="200" t="str">
        <f t="shared" si="31"/>
        <v>H247</v>
      </c>
      <c r="H107" s="200" t="str">
        <f t="shared" si="32"/>
        <v>20</v>
      </c>
      <c r="I107" s="75" t="s">
        <v>183</v>
      </c>
      <c r="J107" s="4">
        <v>2019</v>
      </c>
      <c r="K107" s="96" t="s">
        <v>120</v>
      </c>
      <c r="L107" s="55" t="s">
        <v>87</v>
      </c>
      <c r="N107" s="5">
        <f>74000+80000</f>
        <v>154000</v>
      </c>
      <c r="P107" s="5">
        <f t="shared" si="17"/>
        <v>2498188000</v>
      </c>
      <c r="Q107" s="5">
        <f>'PR List 2019'!F644</f>
        <v>0</v>
      </c>
      <c r="R107" s="5">
        <f>'PR List 2019'!G644</f>
        <v>2465386000</v>
      </c>
      <c r="S107" s="5">
        <f>'PR List 2019'!H644</f>
        <v>0</v>
      </c>
      <c r="T107" s="15">
        <f t="shared" si="18"/>
        <v>32802000</v>
      </c>
      <c r="V107" s="5">
        <f t="shared" si="19"/>
        <v>154000</v>
      </c>
      <c r="W107" s="15">
        <f t="shared" si="20"/>
        <v>0</v>
      </c>
      <c r="X107" s="15">
        <f t="shared" si="21"/>
        <v>151977.93120453705</v>
      </c>
      <c r="Y107" s="15">
        <f t="shared" si="22"/>
        <v>0</v>
      </c>
      <c r="Z107" s="15">
        <f t="shared" si="23"/>
        <v>2022.0687954629516</v>
      </c>
      <c r="AB107" s="88">
        <v>43617</v>
      </c>
      <c r="AC107" s="16" t="s">
        <v>31</v>
      </c>
    </row>
    <row r="108" spans="2:29" x14ac:dyDescent="0.25">
      <c r="B108" s="14" t="s">
        <v>11</v>
      </c>
      <c r="C108" s="4" t="s">
        <v>52</v>
      </c>
      <c r="D108" s="4">
        <v>5500</v>
      </c>
      <c r="E108" s="4" t="s">
        <v>28</v>
      </c>
      <c r="F108" s="22" t="str">
        <f t="shared" si="30"/>
        <v>EGMM</v>
      </c>
      <c r="G108" s="200" t="str">
        <f t="shared" si="31"/>
        <v>V167</v>
      </c>
      <c r="H108" s="200" t="str">
        <f t="shared" si="32"/>
        <v>20</v>
      </c>
      <c r="I108" s="75" t="s">
        <v>183</v>
      </c>
      <c r="J108" s="4">
        <v>2019</v>
      </c>
      <c r="K108" s="96" t="s">
        <v>121</v>
      </c>
      <c r="L108" s="55" t="s">
        <v>679</v>
      </c>
      <c r="N108" s="5">
        <f>186500-185000</f>
        <v>1500</v>
      </c>
      <c r="P108" s="5">
        <f t="shared" si="17"/>
        <v>24333000</v>
      </c>
      <c r="Q108" s="5">
        <f>'PR List 2019'!F714</f>
        <v>47020298</v>
      </c>
      <c r="R108" s="5">
        <f>'PR List 2019'!G714</f>
        <v>91894688</v>
      </c>
      <c r="S108" s="5">
        <f>'PR List 2019'!H714</f>
        <v>2392926368</v>
      </c>
      <c r="T108" s="15">
        <f t="shared" si="18"/>
        <v>-2507508354</v>
      </c>
      <c r="V108" s="5">
        <f t="shared" si="19"/>
        <v>1500</v>
      </c>
      <c r="W108" s="15">
        <f t="shared" si="20"/>
        <v>2898.5512267291333</v>
      </c>
      <c r="X108" s="15">
        <f t="shared" si="21"/>
        <v>5664.8186413512512</v>
      </c>
      <c r="Y108" s="15">
        <f t="shared" si="22"/>
        <v>147511.18037233388</v>
      </c>
      <c r="Z108" s="15">
        <f t="shared" si="23"/>
        <v>-154574.55024041425</v>
      </c>
      <c r="AB108" s="88">
        <v>43556</v>
      </c>
      <c r="AC108" s="16" t="s">
        <v>31</v>
      </c>
    </row>
    <row r="109" spans="2:29" x14ac:dyDescent="0.25">
      <c r="B109" s="14"/>
      <c r="C109" s="4"/>
      <c r="D109" s="4">
        <v>5500</v>
      </c>
      <c r="E109" s="4" t="s">
        <v>28</v>
      </c>
      <c r="F109" s="22" t="str">
        <f>LEFT(K109,4)</f>
        <v>EGMM</v>
      </c>
      <c r="G109" s="200" t="str">
        <f>TEXT(RIGHT(K109,4),"0000")</f>
        <v>V167</v>
      </c>
      <c r="H109" s="200" t="str">
        <f>IF(TEXT(RIGHT(LEFT(K109,6),2),"00")="00","20",TEXT(RIGHT(LEFT(K109,6),2),"00"))</f>
        <v>TA</v>
      </c>
      <c r="I109" s="75" t="s">
        <v>183</v>
      </c>
      <c r="J109" s="4">
        <v>2019</v>
      </c>
      <c r="K109" s="96" t="s">
        <v>681</v>
      </c>
      <c r="L109" s="55" t="s">
        <v>680</v>
      </c>
      <c r="N109" s="5">
        <v>185000</v>
      </c>
      <c r="P109" s="5">
        <f t="shared" si="17"/>
        <v>3001070000</v>
      </c>
      <c r="Q109" s="5">
        <f>'PR List 2019'!F733</f>
        <v>0</v>
      </c>
      <c r="R109" s="5">
        <f>'PR List 2019'!G733</f>
        <v>2960160154</v>
      </c>
      <c r="S109" s="5">
        <f>'PR List 2019'!H733</f>
        <v>0</v>
      </c>
      <c r="T109" s="15">
        <f t="shared" si="18"/>
        <v>40909846</v>
      </c>
      <c r="V109" s="5">
        <f t="shared" si="19"/>
        <v>185000</v>
      </c>
      <c r="W109" s="15">
        <f>Q109/$P$2</f>
        <v>0</v>
      </c>
      <c r="X109" s="15">
        <f>R109/$P$2</f>
        <v>182478.12563185798</v>
      </c>
      <c r="Y109" s="15">
        <f>S109/$P$2</f>
        <v>0</v>
      </c>
      <c r="Z109" s="15">
        <f>T109/$P$2</f>
        <v>2521.8743681420292</v>
      </c>
      <c r="AB109" s="88">
        <v>43678</v>
      </c>
      <c r="AC109" s="16" t="s">
        <v>31</v>
      </c>
    </row>
    <row r="110" spans="2:29" x14ac:dyDescent="0.25">
      <c r="B110" s="14"/>
      <c r="C110" s="4"/>
      <c r="D110" s="4">
        <v>5500</v>
      </c>
      <c r="E110" s="4" t="s">
        <v>28</v>
      </c>
      <c r="F110" s="22" t="str">
        <f t="shared" si="30"/>
        <v>EGMM</v>
      </c>
      <c r="G110" s="200" t="str">
        <f t="shared" si="31"/>
        <v>V167</v>
      </c>
      <c r="H110" s="200" t="str">
        <f t="shared" si="32"/>
        <v>LA</v>
      </c>
      <c r="I110" s="75" t="s">
        <v>183</v>
      </c>
      <c r="J110" s="4">
        <v>2019</v>
      </c>
      <c r="K110" s="96" t="s">
        <v>326</v>
      </c>
      <c r="L110" s="55" t="s">
        <v>787</v>
      </c>
      <c r="N110" s="5">
        <f>200000-100000</f>
        <v>100000</v>
      </c>
      <c r="P110" s="5">
        <f t="shared" si="17"/>
        <v>1622200000</v>
      </c>
      <c r="Q110" s="5">
        <f>'PR List 2019'!F728</f>
        <v>243654882</v>
      </c>
      <c r="R110" s="5">
        <f>'PR List 2019'!G728</f>
        <v>4545754</v>
      </c>
      <c r="S110" s="5">
        <f>'PR List 2019'!H728</f>
        <v>1033718227</v>
      </c>
      <c r="T110" s="15">
        <f t="shared" si="18"/>
        <v>340281137</v>
      </c>
      <c r="V110" s="5">
        <f t="shared" si="19"/>
        <v>100000</v>
      </c>
      <c r="W110" s="15">
        <f t="shared" si="20"/>
        <v>15020.027246948588</v>
      </c>
      <c r="X110" s="15">
        <f t="shared" si="21"/>
        <v>280.22155098015043</v>
      </c>
      <c r="Y110" s="15">
        <f t="shared" si="22"/>
        <v>63723.229379854522</v>
      </c>
      <c r="Z110" s="15">
        <f t="shared" si="23"/>
        <v>20976.521822216742</v>
      </c>
      <c r="AB110" s="88">
        <v>43617</v>
      </c>
      <c r="AC110" s="16" t="s">
        <v>31</v>
      </c>
    </row>
    <row r="111" spans="2:29" x14ac:dyDescent="0.25">
      <c r="B111" s="14" t="s">
        <v>11</v>
      </c>
      <c r="C111" s="4" t="s">
        <v>52</v>
      </c>
      <c r="D111" s="4">
        <v>5500</v>
      </c>
      <c r="E111" s="4" t="s">
        <v>28</v>
      </c>
      <c r="F111" s="22" t="str">
        <f t="shared" ref="F111:F117" si="33">LEFT(K111,4)</f>
        <v>EGMM</v>
      </c>
      <c r="G111" s="200" t="str">
        <f t="shared" ref="G111:G117" si="34">TEXT(RIGHT(K111,4),"0000")</f>
        <v>V177</v>
      </c>
      <c r="H111" s="200" t="str">
        <f t="shared" ref="H111:H117" si="35">IF(TEXT(RIGHT(LEFT(K111,6),2),"00")="00","20",TEXT(RIGHT(LEFT(K111,6),2),"00"))</f>
        <v>20</v>
      </c>
      <c r="I111" s="75" t="s">
        <v>183</v>
      </c>
      <c r="J111" s="4">
        <v>2019</v>
      </c>
      <c r="K111" s="96" t="s">
        <v>122</v>
      </c>
      <c r="L111" s="55" t="s">
        <v>88</v>
      </c>
      <c r="N111" s="5">
        <f>238700+15000</f>
        <v>253700</v>
      </c>
      <c r="P111" s="5">
        <f t="shared" si="17"/>
        <v>4115521400</v>
      </c>
      <c r="Q111" s="5">
        <f>'PR List 2019'!F740</f>
        <v>0</v>
      </c>
      <c r="R111" s="5">
        <f>'PR List 2019'!G740</f>
        <v>2808078</v>
      </c>
      <c r="S111" s="5">
        <f>'PR List 2019'!H740</f>
        <v>3837338922</v>
      </c>
      <c r="T111" s="15">
        <f t="shared" si="18"/>
        <v>275374400</v>
      </c>
      <c r="V111" s="5">
        <f t="shared" si="19"/>
        <v>253700</v>
      </c>
      <c r="W111" s="15">
        <f t="shared" si="20"/>
        <v>0</v>
      </c>
      <c r="X111" s="15">
        <f t="shared" si="21"/>
        <v>173.1030699050672</v>
      </c>
      <c r="Y111" s="15">
        <f t="shared" si="22"/>
        <v>236551.53014424857</v>
      </c>
      <c r="Z111" s="15">
        <f t="shared" si="23"/>
        <v>16975.366785846381</v>
      </c>
      <c r="AB111" s="88">
        <v>43647</v>
      </c>
      <c r="AC111" s="16" t="s">
        <v>31</v>
      </c>
    </row>
    <row r="112" spans="2:29" x14ac:dyDescent="0.25">
      <c r="B112" s="14" t="s">
        <v>11</v>
      </c>
      <c r="C112" s="4" t="s">
        <v>52</v>
      </c>
      <c r="D112" s="4">
        <v>5500</v>
      </c>
      <c r="E112" s="4" t="s">
        <v>28</v>
      </c>
      <c r="F112" s="22" t="str">
        <f t="shared" si="33"/>
        <v>EGMM</v>
      </c>
      <c r="G112" s="200" t="str">
        <f t="shared" si="34"/>
        <v>V223</v>
      </c>
      <c r="H112" s="200" t="str">
        <f t="shared" si="35"/>
        <v>20</v>
      </c>
      <c r="I112" s="75" t="s">
        <v>183</v>
      </c>
      <c r="J112" s="4">
        <v>2019</v>
      </c>
      <c r="K112" s="96" t="s">
        <v>123</v>
      </c>
      <c r="L112" s="55" t="s">
        <v>89</v>
      </c>
      <c r="N112" s="5">
        <v>0</v>
      </c>
      <c r="P112" s="5">
        <f t="shared" si="17"/>
        <v>0</v>
      </c>
      <c r="Q112" s="5">
        <f>'PR List 2019'!F747</f>
        <v>0</v>
      </c>
      <c r="R112" s="5">
        <f>'PR List 2019'!G747</f>
        <v>0</v>
      </c>
      <c r="S112" s="5">
        <f>'PR List 2019'!H747</f>
        <v>0</v>
      </c>
      <c r="T112" s="15">
        <f t="shared" si="18"/>
        <v>0</v>
      </c>
      <c r="V112" s="5">
        <f t="shared" si="19"/>
        <v>0</v>
      </c>
      <c r="W112" s="15">
        <f t="shared" si="20"/>
        <v>0</v>
      </c>
      <c r="X112" s="15">
        <f t="shared" si="21"/>
        <v>0</v>
      </c>
      <c r="Y112" s="15">
        <f t="shared" si="22"/>
        <v>0</v>
      </c>
      <c r="Z112" s="15">
        <f t="shared" si="23"/>
        <v>0</v>
      </c>
      <c r="AB112" s="88">
        <v>43647</v>
      </c>
      <c r="AC112" s="16" t="s">
        <v>31</v>
      </c>
    </row>
    <row r="113" spans="2:29" x14ac:dyDescent="0.25">
      <c r="B113" s="14"/>
      <c r="C113" s="4"/>
      <c r="D113" s="4">
        <v>5500</v>
      </c>
      <c r="E113" s="4" t="s">
        <v>28</v>
      </c>
      <c r="F113" s="22" t="str">
        <f t="shared" si="33"/>
        <v>EGMM</v>
      </c>
      <c r="G113" s="200" t="str">
        <f t="shared" si="34"/>
        <v>X167</v>
      </c>
      <c r="H113" s="200" t="str">
        <f t="shared" si="35"/>
        <v>20</v>
      </c>
      <c r="I113" s="75" t="s">
        <v>183</v>
      </c>
      <c r="J113" s="4">
        <v>2019</v>
      </c>
      <c r="K113" s="322" t="s">
        <v>303</v>
      </c>
      <c r="L113" s="192" t="s">
        <v>727</v>
      </c>
      <c r="N113" s="5">
        <v>50000</v>
      </c>
      <c r="P113" s="5">
        <f t="shared" si="17"/>
        <v>811100000</v>
      </c>
      <c r="Q113" s="5">
        <f>'PR List 2019'!F767</f>
        <v>25003460</v>
      </c>
      <c r="R113" s="5">
        <f>'PR List 2019'!G767</f>
        <v>106744044</v>
      </c>
      <c r="S113" s="5">
        <f>'PR List 2019'!H767</f>
        <v>216003750</v>
      </c>
      <c r="T113" s="15">
        <f t="shared" si="18"/>
        <v>463348746</v>
      </c>
      <c r="V113" s="5">
        <f t="shared" si="19"/>
        <v>50000</v>
      </c>
      <c r="W113" s="15">
        <f t="shared" ref="W113:Z114" si="36">Q113/$P$2</f>
        <v>1541.3302921957836</v>
      </c>
      <c r="X113" s="15">
        <f t="shared" si="36"/>
        <v>6580.2024411293305</v>
      </c>
      <c r="Y113" s="15">
        <f t="shared" si="36"/>
        <v>13315.482061398101</v>
      </c>
      <c r="Z113" s="15">
        <f t="shared" si="36"/>
        <v>28562.985205276786</v>
      </c>
      <c r="AB113" s="88">
        <v>43556</v>
      </c>
      <c r="AC113" s="16" t="s">
        <v>31</v>
      </c>
    </row>
    <row r="114" spans="2:29" x14ac:dyDescent="0.25">
      <c r="B114" s="14"/>
      <c r="C114" s="4"/>
      <c r="D114" s="4">
        <v>5500</v>
      </c>
      <c r="E114" s="4" t="s">
        <v>28</v>
      </c>
      <c r="F114" s="22" t="str">
        <f t="shared" si="33"/>
        <v>EGMM</v>
      </c>
      <c r="G114" s="200" t="str">
        <f t="shared" si="34"/>
        <v>X167</v>
      </c>
      <c r="H114" s="200" t="str">
        <f t="shared" si="35"/>
        <v>LA</v>
      </c>
      <c r="I114" s="75" t="s">
        <v>183</v>
      </c>
      <c r="J114" s="4">
        <v>2019</v>
      </c>
      <c r="K114" s="322" t="s">
        <v>546</v>
      </c>
      <c r="L114" s="192" t="s">
        <v>682</v>
      </c>
      <c r="M114" s="109"/>
      <c r="N114" s="5">
        <v>100000</v>
      </c>
      <c r="P114" s="5">
        <f t="shared" si="17"/>
        <v>1622200000</v>
      </c>
      <c r="Q114" s="5">
        <f>'PR List 2019'!F778</f>
        <v>2879695938</v>
      </c>
      <c r="R114" s="5">
        <f>'PR List 2019'!G778</f>
        <v>376942744</v>
      </c>
      <c r="S114" s="5">
        <f>'PR List 2019'!H778</f>
        <v>115454492</v>
      </c>
      <c r="T114" s="15">
        <f t="shared" si="18"/>
        <v>-1749893174</v>
      </c>
      <c r="V114" s="5">
        <f t="shared" si="19"/>
        <v>100000</v>
      </c>
      <c r="W114" s="15">
        <f t="shared" si="36"/>
        <v>177517.9347799285</v>
      </c>
      <c r="X114" s="15">
        <f t="shared" si="36"/>
        <v>23236.514856367896</v>
      </c>
      <c r="Y114" s="15">
        <f t="shared" si="36"/>
        <v>7117.1552213044015</v>
      </c>
      <c r="Z114" s="15">
        <f t="shared" si="36"/>
        <v>-107871.60485760079</v>
      </c>
      <c r="AB114" s="88">
        <v>43709</v>
      </c>
      <c r="AC114" s="16" t="s">
        <v>31</v>
      </c>
    </row>
    <row r="115" spans="2:29" x14ac:dyDescent="0.25">
      <c r="B115" s="14"/>
      <c r="C115" s="4"/>
      <c r="D115" s="295">
        <v>5500</v>
      </c>
      <c r="E115" s="295" t="s">
        <v>28</v>
      </c>
      <c r="F115" s="296" t="str">
        <f>LEFT(K115,4)</f>
        <v>EGMM</v>
      </c>
      <c r="G115" s="297" t="str">
        <f>TEXT(RIGHT(K115,4),"0000")</f>
        <v>X167</v>
      </c>
      <c r="H115" s="297" t="str">
        <f>IF(TEXT(RIGHT(LEFT(K115,6),2),"00")="00","20",TEXT(RIGHT(LEFT(K115,6),2),"00"))</f>
        <v>LA</v>
      </c>
      <c r="I115" s="298" t="s">
        <v>183</v>
      </c>
      <c r="J115" s="295">
        <v>2019</v>
      </c>
      <c r="K115" s="323" t="s">
        <v>546</v>
      </c>
      <c r="L115" s="324" t="s">
        <v>771</v>
      </c>
      <c r="M115" s="299"/>
      <c r="N115" s="300">
        <f>-50000*0</f>
        <v>0</v>
      </c>
      <c r="O115" s="301"/>
      <c r="P115" s="300">
        <f t="shared" si="17"/>
        <v>0</v>
      </c>
      <c r="Q115" s="300"/>
      <c r="R115" s="300"/>
      <c r="S115" s="300"/>
      <c r="T115" s="302">
        <f>P115-(Q115+R115+S115)</f>
        <v>0</v>
      </c>
      <c r="U115" s="301"/>
      <c r="V115" s="300">
        <f t="shared" si="19"/>
        <v>0</v>
      </c>
      <c r="W115" s="302"/>
      <c r="X115" s="302"/>
      <c r="Y115" s="302"/>
      <c r="Z115" s="302">
        <f>T115/$P$2</f>
        <v>0</v>
      </c>
      <c r="AA115" s="301"/>
      <c r="AB115" s="303">
        <v>43709</v>
      </c>
      <c r="AC115" s="304" t="s">
        <v>30</v>
      </c>
    </row>
    <row r="116" spans="2:29" x14ac:dyDescent="0.25">
      <c r="B116" s="14" t="s">
        <v>11</v>
      </c>
      <c r="C116" s="4" t="s">
        <v>52</v>
      </c>
      <c r="D116" s="4">
        <v>5500</v>
      </c>
      <c r="E116" s="4" t="s">
        <v>28</v>
      </c>
      <c r="F116" s="22" t="str">
        <f t="shared" si="33"/>
        <v>EGMM</v>
      </c>
      <c r="G116" s="200" t="str">
        <f t="shared" si="34"/>
        <v>X167</v>
      </c>
      <c r="H116" s="200" t="str">
        <f t="shared" si="35"/>
        <v>TE</v>
      </c>
      <c r="I116" s="75" t="s">
        <v>183</v>
      </c>
      <c r="J116" s="4">
        <v>2019</v>
      </c>
      <c r="K116" s="96" t="s">
        <v>325</v>
      </c>
      <c r="L116" s="55" t="s">
        <v>134</v>
      </c>
      <c r="N116" s="5">
        <v>88000</v>
      </c>
      <c r="P116" s="5">
        <f t="shared" si="17"/>
        <v>1427536000</v>
      </c>
      <c r="Q116" s="5">
        <f>'PR List 2019'!F786</f>
        <v>0</v>
      </c>
      <c r="R116" s="5">
        <f>'PR List 2019'!G786</f>
        <v>1408792000</v>
      </c>
      <c r="S116" s="5">
        <f>'PR List 2019'!H786</f>
        <v>0</v>
      </c>
      <c r="T116" s="15">
        <f t="shared" si="18"/>
        <v>18744000</v>
      </c>
      <c r="V116" s="15">
        <f t="shared" si="19"/>
        <v>88000</v>
      </c>
      <c r="W116" s="15">
        <f t="shared" si="20"/>
        <v>0</v>
      </c>
      <c r="X116" s="15">
        <f t="shared" si="21"/>
        <v>86844.532116878312</v>
      </c>
      <c r="Y116" s="15">
        <f t="shared" si="22"/>
        <v>0</v>
      </c>
      <c r="Z116" s="15">
        <f t="shared" si="23"/>
        <v>1155.4678831216866</v>
      </c>
      <c r="AB116" s="88">
        <v>43525</v>
      </c>
      <c r="AC116" s="16" t="s">
        <v>31</v>
      </c>
    </row>
    <row r="117" spans="2:29" x14ac:dyDescent="0.25">
      <c r="B117" s="14"/>
      <c r="C117" s="4"/>
      <c r="D117" s="4">
        <v>5500</v>
      </c>
      <c r="E117" s="4" t="s">
        <v>28</v>
      </c>
      <c r="F117" s="22" t="str">
        <f t="shared" si="33"/>
        <v>EGMM</v>
      </c>
      <c r="G117" s="200" t="str">
        <f t="shared" si="34"/>
        <v>X167</v>
      </c>
      <c r="H117" s="200" t="str">
        <f t="shared" si="35"/>
        <v>TA</v>
      </c>
      <c r="I117" s="75" t="s">
        <v>183</v>
      </c>
      <c r="J117" s="4">
        <v>2019</v>
      </c>
      <c r="K117" s="322" t="s">
        <v>327</v>
      </c>
      <c r="L117" s="192" t="s">
        <v>135</v>
      </c>
      <c r="N117" s="5">
        <v>155000</v>
      </c>
      <c r="P117" s="15">
        <f t="shared" si="17"/>
        <v>2514410000</v>
      </c>
      <c r="Q117" s="5">
        <f>'PR List 2019'!F793</f>
        <v>0</v>
      </c>
      <c r="R117" s="5">
        <f>'PR List 2019'!G793</f>
        <v>775950000</v>
      </c>
      <c r="S117" s="5">
        <f>'PR List 2019'!H793</f>
        <v>0</v>
      </c>
      <c r="T117" s="15">
        <f t="shared" si="18"/>
        <v>1738460000</v>
      </c>
      <c r="V117" s="15">
        <f t="shared" si="19"/>
        <v>155000</v>
      </c>
      <c r="W117" s="15">
        <f t="shared" si="20"/>
        <v>0</v>
      </c>
      <c r="X117" s="15">
        <f t="shared" si="21"/>
        <v>47833.189495746519</v>
      </c>
      <c r="Y117" s="15">
        <f t="shared" si="22"/>
        <v>0</v>
      </c>
      <c r="Z117" s="15">
        <f t="shared" si="23"/>
        <v>107166.81050425349</v>
      </c>
      <c r="AB117" s="88">
        <v>43770</v>
      </c>
      <c r="AC117" s="16" t="s">
        <v>31</v>
      </c>
    </row>
    <row r="118" spans="2:29" x14ac:dyDescent="0.25">
      <c r="B118" s="14"/>
      <c r="C118" s="4"/>
      <c r="D118" s="295">
        <v>5500</v>
      </c>
      <c r="E118" s="295" t="s">
        <v>28</v>
      </c>
      <c r="F118" s="296" t="s">
        <v>673</v>
      </c>
      <c r="G118" s="297" t="s">
        <v>304</v>
      </c>
      <c r="H118" s="297" t="s">
        <v>676</v>
      </c>
      <c r="I118" s="298" t="s">
        <v>183</v>
      </c>
      <c r="J118" s="295">
        <v>2019</v>
      </c>
      <c r="K118" s="323" t="s">
        <v>327</v>
      </c>
      <c r="L118" s="324" t="s">
        <v>771</v>
      </c>
      <c r="M118" s="301"/>
      <c r="N118" s="300">
        <f>-105000</f>
        <v>-105000</v>
      </c>
      <c r="O118" s="301"/>
      <c r="P118" s="302">
        <f t="shared" si="17"/>
        <v>-1703310000</v>
      </c>
      <c r="Q118" s="300"/>
      <c r="R118" s="300"/>
      <c r="S118" s="300"/>
      <c r="T118" s="302">
        <f t="shared" si="18"/>
        <v>-1703310000</v>
      </c>
      <c r="U118" s="301"/>
      <c r="V118" s="302">
        <f t="shared" si="19"/>
        <v>-105000</v>
      </c>
      <c r="W118" s="302"/>
      <c r="X118" s="302"/>
      <c r="Y118" s="302"/>
      <c r="Z118" s="302">
        <f t="shared" si="23"/>
        <v>-105000</v>
      </c>
      <c r="AA118" s="301"/>
      <c r="AB118" s="303">
        <v>43770</v>
      </c>
      <c r="AC118" s="304" t="s">
        <v>30</v>
      </c>
    </row>
    <row r="119" spans="2:29" x14ac:dyDescent="0.25">
      <c r="B119" s="17"/>
      <c r="C119" s="18"/>
      <c r="D119" s="18" t="s">
        <v>14</v>
      </c>
      <c r="E119" s="18"/>
      <c r="F119" s="18"/>
      <c r="G119" s="18"/>
      <c r="H119" s="18"/>
      <c r="I119" s="52"/>
      <c r="J119" s="18"/>
      <c r="K119" s="18"/>
      <c r="L119" s="52" t="s">
        <v>90</v>
      </c>
      <c r="N119" s="19">
        <f>N101+N102+N103+N104+N105+N106+N107+N108+N110+N111+N112+N113+N114+N116+N117+N109+N115+N118</f>
        <v>1212017</v>
      </c>
      <c r="P119" s="19">
        <f t="shared" si="17"/>
        <v>19661339774</v>
      </c>
      <c r="Q119" s="19">
        <f>SUM(Q101:Q117)</f>
        <v>3427150529</v>
      </c>
      <c r="R119" s="19">
        <f>SUM(R101:R117)</f>
        <v>8417241300</v>
      </c>
      <c r="S119" s="19">
        <f>SUM(S101:S117)</f>
        <v>10718440817</v>
      </c>
      <c r="T119" s="19">
        <f t="shared" si="18"/>
        <v>-2901492872</v>
      </c>
      <c r="V119" s="19">
        <f t="shared" si="19"/>
        <v>1212017</v>
      </c>
      <c r="W119" s="19">
        <f t="shared" si="20"/>
        <v>211265.59789175194</v>
      </c>
      <c r="X119" s="19">
        <f t="shared" si="21"/>
        <v>518878.14696091728</v>
      </c>
      <c r="Y119" s="19">
        <f t="shared" si="22"/>
        <v>660734.85495006782</v>
      </c>
      <c r="Z119" s="19">
        <f t="shared" si="23"/>
        <v>-178861.59980273704</v>
      </c>
      <c r="AB119" s="87"/>
      <c r="AC119" s="20">
        <f>SUM(AC107:AC116)</f>
        <v>0</v>
      </c>
    </row>
    <row r="120" spans="2:29" ht="15.75" thickBot="1" x14ac:dyDescent="0.3">
      <c r="P120" s="23"/>
      <c r="Q120" s="24"/>
      <c r="R120" s="24"/>
      <c r="S120" s="39"/>
      <c r="T120" s="39"/>
      <c r="W120" s="24">
        <f t="shared" si="20"/>
        <v>0</v>
      </c>
      <c r="X120" s="24">
        <f t="shared" si="21"/>
        <v>0</v>
      </c>
      <c r="Y120" s="39">
        <f t="shared" si="22"/>
        <v>0</v>
      </c>
      <c r="Z120" s="39">
        <f t="shared" si="23"/>
        <v>0</v>
      </c>
    </row>
    <row r="121" spans="2:29" ht="15.75" thickBot="1" x14ac:dyDescent="0.3">
      <c r="B121" s="25"/>
      <c r="C121" s="26"/>
      <c r="D121" s="27"/>
      <c r="E121" s="27"/>
      <c r="F121" s="27"/>
      <c r="G121" s="27"/>
      <c r="H121" s="27"/>
      <c r="I121" s="57"/>
      <c r="J121" s="27"/>
      <c r="K121" s="27"/>
      <c r="L121" s="57" t="s">
        <v>91</v>
      </c>
      <c r="N121" s="28">
        <f>N14+N39+N49+N55+N59+N70+N81</f>
        <v>896643.89</v>
      </c>
      <c r="P121" s="28">
        <f>P14+P39+P49+P55+P59+P70+P81</f>
        <v>14545357183.58</v>
      </c>
      <c r="Q121" s="28">
        <f>Q14+Q39+Q49+Q55+Q59+Q70+Q81</f>
        <v>855692125</v>
      </c>
      <c r="R121" s="28">
        <f>R14+R39+R49+R55+R59+R70+R81</f>
        <v>5191406522</v>
      </c>
      <c r="S121" s="28">
        <f>S14+S39+S49+S55+S59+S70+S81</f>
        <v>7344283952</v>
      </c>
      <c r="T121" s="28">
        <f>T14+T39+T49+T55+T59+T70+T81</f>
        <v>1153974584.5800004</v>
      </c>
      <c r="V121" s="28">
        <f>V14+V39+V49+V55+V59+V70+V81</f>
        <v>896643.89</v>
      </c>
      <c r="W121" s="28">
        <f>W14+W39+W49+W55+W59+W70+W81</f>
        <v>52748.867279003825</v>
      </c>
      <c r="X121" s="28">
        <f>X14+X39+X49+X55+X59+X70+X81</f>
        <v>320022.59413142642</v>
      </c>
      <c r="Y121" s="28">
        <f>Y14+Y39+Y49+Y55+Y59+Y70+Y81</f>
        <v>452736.03452102083</v>
      </c>
      <c r="Z121" s="28">
        <f>Z14+Z39+Z49+Z55+Z59+Z70+Z81</f>
        <v>71136.394068548907</v>
      </c>
    </row>
    <row r="122" spans="2:29" ht="15.75" thickBot="1" x14ac:dyDescent="0.3">
      <c r="B122" s="25"/>
      <c r="C122" s="26"/>
      <c r="D122" s="27"/>
      <c r="E122" s="27"/>
      <c r="F122" s="27"/>
      <c r="G122" s="27"/>
      <c r="H122" s="27"/>
      <c r="I122" s="57"/>
      <c r="J122" s="27"/>
      <c r="K122" s="27"/>
      <c r="L122" s="57" t="s">
        <v>62</v>
      </c>
      <c r="N122" s="28">
        <f>N11</f>
        <v>257417.38922442147</v>
      </c>
      <c r="P122" s="28">
        <f>P11</f>
        <v>4175824887.9985652</v>
      </c>
      <c r="Q122" s="28">
        <f>Q11</f>
        <v>0</v>
      </c>
      <c r="R122" s="28">
        <f>R11</f>
        <v>4059296621</v>
      </c>
      <c r="S122" s="28">
        <f>S11</f>
        <v>31780000</v>
      </c>
      <c r="T122" s="28">
        <f>T11</f>
        <v>84748266.998565197</v>
      </c>
      <c r="V122" s="28">
        <f>V11</f>
        <v>257417.38922442147</v>
      </c>
      <c r="W122" s="28">
        <f>W11</f>
        <v>0</v>
      </c>
      <c r="X122" s="28">
        <f>X11</f>
        <v>250234.04148686968</v>
      </c>
      <c r="Y122" s="28">
        <f>Y11</f>
        <v>1959.0679324374307</v>
      </c>
      <c r="Z122" s="28">
        <f>Z11</f>
        <v>5224.2798051143627</v>
      </c>
    </row>
    <row r="123" spans="2:29" ht="15.75" thickBot="1" x14ac:dyDescent="0.3">
      <c r="B123" s="25"/>
      <c r="C123" s="26"/>
      <c r="D123" s="27"/>
      <c r="E123" s="27"/>
      <c r="F123" s="27"/>
      <c r="G123" s="27"/>
      <c r="H123" s="27"/>
      <c r="I123" s="57"/>
      <c r="J123" s="27"/>
      <c r="K123" s="27"/>
      <c r="L123" s="57" t="s">
        <v>63</v>
      </c>
      <c r="N123" s="28">
        <f>N18</f>
        <v>79996</v>
      </c>
      <c r="P123" s="28">
        <f>P18</f>
        <v>1297695112</v>
      </c>
      <c r="Q123" s="28">
        <f>Q18</f>
        <v>18275000</v>
      </c>
      <c r="R123" s="28">
        <f>R18</f>
        <v>131040000</v>
      </c>
      <c r="S123" s="28">
        <f>S18</f>
        <v>1131976000</v>
      </c>
      <c r="T123" s="28">
        <f>T18</f>
        <v>16404112</v>
      </c>
      <c r="V123" s="28">
        <f>V18</f>
        <v>79996</v>
      </c>
      <c r="W123" s="28">
        <f>W18</f>
        <v>1126.5565281716188</v>
      </c>
      <c r="X123" s="28">
        <f>X18</f>
        <v>8077.9188756010353</v>
      </c>
      <c r="Y123" s="28">
        <f>Y18</f>
        <v>69780.298360251516</v>
      </c>
      <c r="Z123" s="28">
        <f>Z18</f>
        <v>1011.2262359758353</v>
      </c>
    </row>
    <row r="124" spans="2:29" ht="15.75" thickBot="1" x14ac:dyDescent="0.3">
      <c r="B124" s="25"/>
      <c r="C124" s="26" t="s">
        <v>27</v>
      </c>
      <c r="D124" s="27"/>
      <c r="E124" s="27"/>
      <c r="F124" s="27"/>
      <c r="G124" s="27"/>
      <c r="H124" s="27"/>
      <c r="I124" s="57"/>
      <c r="J124" s="27"/>
      <c r="K124" s="27"/>
      <c r="L124" s="57" t="s">
        <v>60</v>
      </c>
      <c r="N124" s="28">
        <f>N99</f>
        <v>3638000</v>
      </c>
      <c r="P124" s="28">
        <f>P99</f>
        <v>103788356000</v>
      </c>
      <c r="Q124" s="28">
        <f>Q99</f>
        <v>7647513554.1000004</v>
      </c>
      <c r="R124" s="28">
        <f>R99</f>
        <v>9083852054.7999992</v>
      </c>
      <c r="S124" s="28">
        <f>S99</f>
        <v>36672248750</v>
      </c>
      <c r="T124" s="28">
        <f>T99</f>
        <v>5519475733.1000004</v>
      </c>
      <c r="V124" s="28">
        <f>V99</f>
        <v>6398000</v>
      </c>
      <c r="W124" s="28">
        <f>W99</f>
        <v>471428.52632844285</v>
      </c>
      <c r="X124" s="28">
        <f>X99</f>
        <v>559971.15366785857</v>
      </c>
      <c r="Y124" s="28">
        <f>Y99</f>
        <v>2266354.0043151276</v>
      </c>
      <c r="Z124" s="28">
        <f>Z99</f>
        <v>340246.31568857119</v>
      </c>
    </row>
    <row r="125" spans="2:29" ht="15.75" thickBot="1" x14ac:dyDescent="0.3">
      <c r="B125" s="25"/>
      <c r="C125" s="26" t="s">
        <v>28</v>
      </c>
      <c r="D125" s="27"/>
      <c r="E125" s="27"/>
      <c r="F125" s="27"/>
      <c r="G125" s="27"/>
      <c r="H125" s="27"/>
      <c r="I125" s="57"/>
      <c r="J125" s="27"/>
      <c r="K125" s="27"/>
      <c r="L125" s="57" t="s">
        <v>61</v>
      </c>
      <c r="N125" s="28">
        <f>N119</f>
        <v>1212017</v>
      </c>
      <c r="P125" s="28">
        <f>P119</f>
        <v>19661339774</v>
      </c>
      <c r="Q125" s="28">
        <f>Q119</f>
        <v>3427150529</v>
      </c>
      <c r="R125" s="28">
        <f>R119</f>
        <v>8417241300</v>
      </c>
      <c r="S125" s="28">
        <f>S119</f>
        <v>10718440817</v>
      </c>
      <c r="T125" s="28">
        <f>T119</f>
        <v>-2901492872</v>
      </c>
      <c r="V125" s="28">
        <f>V119</f>
        <v>1212017</v>
      </c>
      <c r="W125" s="28">
        <f>W119</f>
        <v>211265.59789175194</v>
      </c>
      <c r="X125" s="28">
        <f>X119</f>
        <v>518878.14696091728</v>
      </c>
      <c r="Y125" s="28">
        <f>Y119</f>
        <v>660734.85495006782</v>
      </c>
      <c r="Z125" s="28">
        <f>Z119</f>
        <v>-178861.59980273704</v>
      </c>
    </row>
    <row r="126" spans="2:29" ht="15.75" thickBot="1" x14ac:dyDescent="0.3">
      <c r="P126" s="23"/>
      <c r="Q126" s="24"/>
      <c r="R126" s="24"/>
      <c r="S126" s="39"/>
      <c r="T126" s="39"/>
      <c r="W126" s="24">
        <f t="shared" si="20"/>
        <v>0</v>
      </c>
      <c r="X126" s="24">
        <f t="shared" si="21"/>
        <v>0</v>
      </c>
      <c r="Y126" s="39">
        <f t="shared" si="22"/>
        <v>0</v>
      </c>
      <c r="Z126" s="39">
        <f t="shared" si="23"/>
        <v>0</v>
      </c>
    </row>
    <row r="127" spans="2:29" ht="15.75" thickBot="1" x14ac:dyDescent="0.3">
      <c r="L127" s="58" t="s">
        <v>29</v>
      </c>
      <c r="N127" s="29">
        <f>N121+N122+N123+N124+N125</f>
        <v>6084074.2792244218</v>
      </c>
      <c r="P127" s="29">
        <f>SUM(P121:P125)</f>
        <v>143468572957.57855</v>
      </c>
      <c r="Q127" s="29">
        <f t="shared" ref="Q127:T127" si="37">SUM(Q121:Q125)</f>
        <v>11948631208.1</v>
      </c>
      <c r="R127" s="29">
        <f t="shared" si="37"/>
        <v>26882836497.799999</v>
      </c>
      <c r="S127" s="29">
        <f t="shared" si="37"/>
        <v>55898729519</v>
      </c>
      <c r="T127" s="29">
        <f t="shared" si="37"/>
        <v>3873109824.678566</v>
      </c>
      <c r="V127" s="29">
        <f>N127</f>
        <v>6084074.2792244218</v>
      </c>
      <c r="W127" s="40">
        <f>Q127/$P$2</f>
        <v>736569.54802737024</v>
      </c>
      <c r="X127" s="40">
        <f t="shared" si="21"/>
        <v>1657183.8551226729</v>
      </c>
      <c r="Y127" s="40">
        <f t="shared" si="22"/>
        <v>3445859.2971890024</v>
      </c>
      <c r="Z127" s="40">
        <f t="shared" si="23"/>
        <v>238756.61599547317</v>
      </c>
    </row>
    <row r="128" spans="2:29" x14ac:dyDescent="0.25">
      <c r="N128" s="42"/>
      <c r="P128" s="46"/>
      <c r="Q128" s="23"/>
      <c r="R128" s="23"/>
      <c r="W128" s="71">
        <f>W127/V127</f>
        <v>0.12106518004597172</v>
      </c>
      <c r="X128" s="71">
        <f>X127/V127</f>
        <v>0.27238060862957203</v>
      </c>
      <c r="Y128" s="71">
        <f>Y127/V127</f>
        <v>0.5663736402686177</v>
      </c>
      <c r="Z128" s="71">
        <f>Z127/V127</f>
        <v>3.9242883146704301E-2</v>
      </c>
    </row>
    <row r="129" spans="11:26" hidden="1" x14ac:dyDescent="0.25">
      <c r="N129" s="44"/>
      <c r="P129" s="23"/>
      <c r="Q129" s="23"/>
      <c r="R129" s="23"/>
      <c r="W129" s="71">
        <f>(W127+X127)/V127</f>
        <v>0.39344578867554375</v>
      </c>
      <c r="X129" s="23"/>
    </row>
    <row r="130" spans="11:26" hidden="1" x14ac:dyDescent="0.25">
      <c r="L130" s="50" t="s">
        <v>39</v>
      </c>
      <c r="N130" s="39">
        <f t="shared" ref="N130:N136" si="38">SUMIF($E$6:$E$119,L130,$N$6:$N$119)</f>
        <v>417602.53</v>
      </c>
      <c r="V130" s="42"/>
      <c r="X130" s="41"/>
    </row>
    <row r="131" spans="11:26" hidden="1" x14ac:dyDescent="0.25">
      <c r="L131" s="50" t="s">
        <v>35</v>
      </c>
      <c r="N131" s="39">
        <f t="shared" si="38"/>
        <v>465261.38922442147</v>
      </c>
      <c r="X131" s="42"/>
    </row>
    <row r="132" spans="11:26" hidden="1" x14ac:dyDescent="0.25">
      <c r="L132" s="50" t="s">
        <v>33</v>
      </c>
      <c r="N132" s="39">
        <f t="shared" si="38"/>
        <v>271197.36</v>
      </c>
    </row>
    <row r="133" spans="11:26" hidden="1" x14ac:dyDescent="0.25">
      <c r="L133" s="50" t="s">
        <v>38</v>
      </c>
      <c r="N133" s="39">
        <f t="shared" si="38"/>
        <v>79996</v>
      </c>
    </row>
    <row r="134" spans="11:26" hidden="1" x14ac:dyDescent="0.25">
      <c r="L134" s="50" t="s">
        <v>34</v>
      </c>
      <c r="N134" s="39">
        <f t="shared" si="38"/>
        <v>0</v>
      </c>
    </row>
    <row r="135" spans="11:26" hidden="1" x14ac:dyDescent="0.25">
      <c r="L135" s="50" t="s">
        <v>27</v>
      </c>
      <c r="N135" s="39">
        <f t="shared" si="38"/>
        <v>3638000</v>
      </c>
    </row>
    <row r="136" spans="11:26" hidden="1" x14ac:dyDescent="0.25">
      <c r="L136" s="50" t="s">
        <v>28</v>
      </c>
      <c r="N136" s="39">
        <f t="shared" si="38"/>
        <v>1212017</v>
      </c>
    </row>
    <row r="137" spans="11:26" hidden="1" x14ac:dyDescent="0.25"/>
    <row r="138" spans="11:26" hidden="1" x14ac:dyDescent="0.25"/>
    <row r="139" spans="11:26" hidden="1" x14ac:dyDescent="0.25">
      <c r="N139" s="45">
        <f>SUM(N130:N138)</f>
        <v>6084074.2792244218</v>
      </c>
    </row>
    <row r="140" spans="11:26" x14ac:dyDescent="0.25">
      <c r="K140" s="107" t="s">
        <v>532</v>
      </c>
      <c r="L140" s="100" t="s">
        <v>39</v>
      </c>
      <c r="N140" s="39">
        <f>SUMIF($E$6:$E$119,L140,$N$6:$N$119)</f>
        <v>417602.53</v>
      </c>
      <c r="V140" s="42"/>
      <c r="W140" s="39">
        <f t="shared" ref="W140:W145" si="39">SUMIF($E$6:$E$119,L140,$W$6:$W$119)</f>
        <v>50807.54530883985</v>
      </c>
      <c r="X140" s="39">
        <f t="shared" ref="X140:X145" si="40">SUMIF($E$6:$E$119,L140,$X$6:$X$119)</f>
        <v>80051.103439773142</v>
      </c>
      <c r="Y140" s="39">
        <f t="shared" ref="Y140:Y145" si="41">SUMIF($E$6:$E$119,L140,$Y$6:$Y$119)</f>
        <v>259557.86105289112</v>
      </c>
      <c r="Z140" s="39">
        <f t="shared" ref="Z140:Z145" si="42">SUMIF($E$6:$E$119,L140,$Z$6:$Z$119)</f>
        <v>27186.02019849588</v>
      </c>
    </row>
    <row r="141" spans="11:26" x14ac:dyDescent="0.25">
      <c r="K141" s="107" t="s">
        <v>533</v>
      </c>
      <c r="L141" s="100" t="s">
        <v>35</v>
      </c>
      <c r="N141" s="39">
        <f>SUMIF($E$6:$E$119,L141,$N$6:$N$119)</f>
        <v>465261.38922442147</v>
      </c>
      <c r="W141" s="39">
        <f t="shared" si="39"/>
        <v>1941.3219701639748</v>
      </c>
      <c r="X141" s="39">
        <f t="shared" si="40"/>
        <v>343166.01793860196</v>
      </c>
      <c r="Y141" s="39">
        <f t="shared" si="41"/>
        <v>65283.259462458387</v>
      </c>
      <c r="Z141" s="39">
        <f t="shared" si="42"/>
        <v>54870.789853197246</v>
      </c>
    </row>
    <row r="142" spans="11:26" x14ac:dyDescent="0.25">
      <c r="K142" s="107" t="s">
        <v>529</v>
      </c>
      <c r="L142" s="100" t="s">
        <v>33</v>
      </c>
      <c r="N142" s="39">
        <f>SUMIF($E$6:$E$119,L142,$N$6:$N$119)</f>
        <v>271197.36</v>
      </c>
      <c r="W142" s="39">
        <f t="shared" si="39"/>
        <v>0</v>
      </c>
      <c r="X142" s="39">
        <f t="shared" si="40"/>
        <v>147039.51423992109</v>
      </c>
      <c r="Y142" s="39">
        <f t="shared" si="41"/>
        <v>127894.91400567131</v>
      </c>
      <c r="Z142" s="39">
        <f t="shared" si="42"/>
        <v>-3737.0682455924079</v>
      </c>
    </row>
    <row r="143" spans="11:26" x14ac:dyDescent="0.25">
      <c r="K143" s="107" t="s">
        <v>530</v>
      </c>
      <c r="L143" s="100" t="s">
        <v>38</v>
      </c>
      <c r="N143" s="39">
        <f>SUMIF($E$6:$E$119,L143,$N$6:$N$119)</f>
        <v>79996</v>
      </c>
      <c r="W143" s="39">
        <f t="shared" si="39"/>
        <v>1126.5565281716188</v>
      </c>
      <c r="X143" s="39">
        <f t="shared" si="40"/>
        <v>8077.9188756010353</v>
      </c>
      <c r="Y143" s="39">
        <f t="shared" si="41"/>
        <v>69780.298360251501</v>
      </c>
      <c r="Z143" s="39">
        <f t="shared" si="42"/>
        <v>1011.2262359758352</v>
      </c>
    </row>
    <row r="144" spans="11:26" x14ac:dyDescent="0.25">
      <c r="K144" s="107" t="s">
        <v>531</v>
      </c>
      <c r="L144" s="100" t="s">
        <v>34</v>
      </c>
      <c r="N144" s="39">
        <f>SUMIF($E$6:$E$119,L144,$N$6:$N$119)</f>
        <v>0</v>
      </c>
      <c r="W144" s="39">
        <f t="shared" si="39"/>
        <v>0</v>
      </c>
      <c r="X144" s="39">
        <f t="shared" si="40"/>
        <v>0</v>
      </c>
      <c r="Y144" s="39">
        <f t="shared" si="41"/>
        <v>1959.0679324374307</v>
      </c>
      <c r="Z144" s="39">
        <f t="shared" si="42"/>
        <v>-1959.0679324374307</v>
      </c>
    </row>
    <row r="145" spans="12:26" ht="15.75" x14ac:dyDescent="0.25">
      <c r="L145" s="100" t="s">
        <v>534</v>
      </c>
      <c r="N145" s="108">
        <f>SUM(N140:N144)</f>
        <v>1234057.2792244214</v>
      </c>
      <c r="W145" s="9">
        <f t="shared" si="39"/>
        <v>0</v>
      </c>
      <c r="X145" s="9">
        <f t="shared" si="40"/>
        <v>0</v>
      </c>
      <c r="Y145" s="9">
        <f t="shared" si="41"/>
        <v>0</v>
      </c>
      <c r="Z145" s="9">
        <f t="shared" si="42"/>
        <v>0</v>
      </c>
    </row>
    <row r="146" spans="12:26" x14ac:dyDescent="0.25">
      <c r="Y146" s="42">
        <f>Y127*V3</f>
        <v>55898729519</v>
      </c>
    </row>
  </sheetData>
  <printOptions horizontalCentered="1"/>
  <pageMargins left="0" right="0" top="0.1" bottom="0" header="0.3" footer="0.3"/>
  <pageSetup paperSize="9" scale="6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798"/>
  <sheetViews>
    <sheetView tabSelected="1" zoomScaleNormal="100"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G18" sqref="G18"/>
    </sheetView>
  </sheetViews>
  <sheetFormatPr defaultColWidth="9.140625" defaultRowHeight="12.75" x14ac:dyDescent="0.25"/>
  <cols>
    <col min="1" max="1" width="9" style="141" customWidth="1"/>
    <col min="2" max="2" width="19.140625" style="142" customWidth="1"/>
    <col min="3" max="4" width="14.42578125" style="141" customWidth="1"/>
    <col min="5" max="5" width="46.85546875" style="139" customWidth="1"/>
    <col min="6" max="6" width="14.7109375" style="139" customWidth="1"/>
    <col min="7" max="7" width="16.140625" style="139" customWidth="1"/>
    <col min="8" max="8" width="20" style="139" bestFit="1" customWidth="1"/>
    <col min="9" max="9" width="1.85546875" style="168" customWidth="1"/>
    <col min="10" max="10" width="9.5703125" style="139" bestFit="1" customWidth="1"/>
    <col min="11" max="12" width="11.140625" style="139" bestFit="1" customWidth="1"/>
    <col min="13" max="13" width="1.5703125" style="168" customWidth="1"/>
    <col min="14" max="14" width="13.140625" style="139" bestFit="1" customWidth="1"/>
    <col min="15" max="15" width="10.28515625" style="145" bestFit="1" customWidth="1"/>
    <col min="16" max="16" width="9.42578125" style="145" bestFit="1" customWidth="1"/>
    <col min="17" max="17" width="4.5703125" style="145" customWidth="1"/>
    <col min="18" max="18" width="9.7109375" style="145" customWidth="1"/>
    <col min="19" max="19" width="3.5703125" style="139" customWidth="1"/>
    <col min="20" max="22" width="13.85546875" style="139" customWidth="1"/>
    <col min="23" max="23" width="16.140625" style="139" customWidth="1"/>
    <col min="24" max="24" width="18.42578125" style="139" customWidth="1"/>
    <col min="25" max="16384" width="9.140625" style="139"/>
  </cols>
  <sheetData>
    <row r="2" spans="1:25" x14ac:dyDescent="0.25">
      <c r="J2" s="143">
        <v>16222</v>
      </c>
      <c r="K2" s="144"/>
    </row>
    <row r="3" spans="1:25" s="6" customFormat="1" ht="43.5" customHeight="1" x14ac:dyDescent="0.25">
      <c r="A3" s="7" t="s">
        <v>43</v>
      </c>
      <c r="B3" s="69" t="s">
        <v>64</v>
      </c>
      <c r="C3" s="7" t="s">
        <v>65</v>
      </c>
      <c r="D3" s="7" t="s">
        <v>66</v>
      </c>
      <c r="E3" s="7" t="s">
        <v>10</v>
      </c>
      <c r="F3" s="8" t="s">
        <v>67</v>
      </c>
      <c r="G3" s="48" t="s">
        <v>68</v>
      </c>
      <c r="H3" s="48" t="s">
        <v>69</v>
      </c>
      <c r="I3" s="276"/>
      <c r="J3" s="48" t="s">
        <v>100</v>
      </c>
      <c r="K3" s="48" t="s">
        <v>101</v>
      </c>
      <c r="L3" s="48" t="s">
        <v>150</v>
      </c>
      <c r="M3" s="276"/>
      <c r="N3" s="48" t="s">
        <v>151</v>
      </c>
      <c r="O3" s="70" t="s">
        <v>71</v>
      </c>
      <c r="P3" s="427" t="s">
        <v>70</v>
      </c>
      <c r="Q3" s="428"/>
      <c r="R3" s="429" t="s">
        <v>72</v>
      </c>
      <c r="S3" s="430"/>
      <c r="T3" s="70" t="s">
        <v>594</v>
      </c>
      <c r="U3" s="289"/>
      <c r="V3" s="289"/>
      <c r="W3" s="289"/>
      <c r="X3" s="6" t="s">
        <v>792</v>
      </c>
      <c r="Y3" s="6" t="s">
        <v>713</v>
      </c>
    </row>
    <row r="4" spans="1:25" ht="18.75" x14ac:dyDescent="0.25">
      <c r="A4" s="146" t="str">
        <f>'Funding 2019'!L11</f>
        <v>GENERAL-HR for Wanaherang</v>
      </c>
      <c r="B4" s="113" t="str">
        <f>'Funding 2019'!L6</f>
        <v>General Facility for Wanaherang Plant</v>
      </c>
      <c r="C4" s="147"/>
      <c r="D4" s="147"/>
      <c r="E4" s="148"/>
      <c r="F4" s="148"/>
      <c r="G4" s="148"/>
      <c r="H4" s="148"/>
      <c r="J4" s="149">
        <f t="shared" ref="J4:L9" si="0">F4/$J$2</f>
        <v>0</v>
      </c>
      <c r="K4" s="149">
        <f t="shared" si="0"/>
        <v>0</v>
      </c>
      <c r="L4" s="149">
        <f t="shared" si="0"/>
        <v>0</v>
      </c>
      <c r="N4" s="148"/>
      <c r="O4" s="150"/>
      <c r="P4" s="150"/>
      <c r="Q4" s="150"/>
      <c r="R4" s="150"/>
      <c r="S4" s="150"/>
      <c r="T4" s="140" t="str">
        <f t="shared" ref="T4:T69" ca="1" si="1">IF(R4="",IF(O4="",IF(P4="","",IF(P4-TODAY()&lt;=0,TODAY()-P4,"")),IF(O4-TODAY()&lt;=0,TODAY()-O4,"")),IF(SUM(F4:G4)&lt;&gt;0,IF(O4="",IF(P4="","",IF(P4-TODAY()&lt;=0,TODAY()-P4,"")),IF(O4-TODAY()&lt;=0,TODAY()-O4,"")),""))</f>
        <v/>
      </c>
      <c r="U4" s="139" t="str">
        <f t="shared" ref="U4" si="2">IF(A4="","",IF(AND(J4&gt;0,Q4=""), "RED",""))</f>
        <v/>
      </c>
      <c r="V4" s="139" t="str">
        <f t="shared" ref="V4" si="3">IF(A4="","",IF(AND(K4&gt;0,Q4=""), "BLUE",""))</f>
        <v/>
      </c>
      <c r="W4" s="139" t="str">
        <f t="shared" ref="W4" si="4">IF(A4="","",IF(AND(L4&gt;0,S4=""), "YELLOW",""))</f>
        <v/>
      </c>
      <c r="X4" s="327"/>
    </row>
    <row r="5" spans="1:25" ht="18.75" x14ac:dyDescent="0.25">
      <c r="A5" s="151">
        <v>1</v>
      </c>
      <c r="B5" s="106" t="str">
        <f>'Funding 2019'!$K$6</f>
        <v>CGMMHRM19001</v>
      </c>
      <c r="C5" s="151">
        <v>2100011613</v>
      </c>
      <c r="D5" s="151">
        <v>4500134776</v>
      </c>
      <c r="E5" s="152" t="s">
        <v>368</v>
      </c>
      <c r="F5" s="153">
        <f>31780000*0</f>
        <v>0</v>
      </c>
      <c r="G5" s="153"/>
      <c r="H5" s="153">
        <v>31780000</v>
      </c>
      <c r="J5" s="154">
        <f t="shared" si="0"/>
        <v>0</v>
      </c>
      <c r="K5" s="154">
        <f t="shared" si="0"/>
        <v>0</v>
      </c>
      <c r="L5" s="154">
        <f t="shared" si="0"/>
        <v>1959.0679324374307</v>
      </c>
      <c r="N5" s="152" t="s">
        <v>337</v>
      </c>
      <c r="O5" s="155">
        <v>43585</v>
      </c>
      <c r="P5" s="155">
        <v>43557</v>
      </c>
      <c r="Q5" s="156">
        <f t="shared" ref="Q5:S21" si="5">IF(P5="","",IF(YEAR(P5)&lt;=2018,DATE(2018,12,31),EOMONTH(P5,-1)+1))</f>
        <v>43556</v>
      </c>
      <c r="R5" s="155">
        <v>43586</v>
      </c>
      <c r="S5" s="156">
        <f t="shared" si="5"/>
        <v>43586</v>
      </c>
      <c r="T5" s="140" t="str">
        <f t="shared" ca="1" si="1"/>
        <v/>
      </c>
      <c r="U5" s="139" t="str">
        <f t="shared" ref="U5:U68" si="6">IF(A5="","",IF(AND(J5&gt;0,Q5=""), "RED",""))</f>
        <v/>
      </c>
      <c r="V5" s="139" t="str">
        <f t="shared" ref="V5:V68" si="7">IF(A5="","",IF(AND(K5&gt;0,Q5=""), "BLUE",""))</f>
        <v/>
      </c>
      <c r="W5" s="139" t="str">
        <f t="shared" ref="W5:W68" si="8">IF(A5="","",IF(AND(L5&gt;0,S5=""), "YELLOW",""))</f>
        <v/>
      </c>
      <c r="X5" s="327"/>
    </row>
    <row r="6" spans="1:25" ht="18.75" x14ac:dyDescent="0.25">
      <c r="A6" s="151">
        <v>2</v>
      </c>
      <c r="B6" s="106" t="str">
        <f>'Funding 2019'!$K$6</f>
        <v>CGMMHRM19001</v>
      </c>
      <c r="C6" s="151"/>
      <c r="D6" s="151"/>
      <c r="E6" s="152"/>
      <c r="F6" s="153"/>
      <c r="G6" s="153"/>
      <c r="H6" s="153"/>
      <c r="J6" s="154">
        <f t="shared" ref="J6:J8" si="9">F6/$J$2</f>
        <v>0</v>
      </c>
      <c r="K6" s="154">
        <f t="shared" ref="K6:K8" si="10">G6/$J$2</f>
        <v>0</v>
      </c>
      <c r="L6" s="154">
        <f t="shared" ref="L6:L8" si="11">H6/$J$2</f>
        <v>0</v>
      </c>
      <c r="N6" s="152"/>
      <c r="O6" s="155"/>
      <c r="P6" s="155"/>
      <c r="Q6" s="156" t="str">
        <f t="shared" si="5"/>
        <v/>
      </c>
      <c r="R6" s="155"/>
      <c r="S6" s="156" t="str">
        <f t="shared" si="5"/>
        <v/>
      </c>
      <c r="T6" s="140" t="str">
        <f t="shared" ca="1" si="1"/>
        <v/>
      </c>
      <c r="U6" s="139" t="str">
        <f t="shared" si="6"/>
        <v/>
      </c>
      <c r="V6" s="139" t="str">
        <f t="shared" si="7"/>
        <v/>
      </c>
      <c r="W6" s="139" t="str">
        <f t="shared" si="8"/>
        <v/>
      </c>
      <c r="X6" s="327"/>
    </row>
    <row r="7" spans="1:25" ht="18.75" x14ac:dyDescent="0.25">
      <c r="A7" s="151">
        <v>3</v>
      </c>
      <c r="B7" s="106" t="str">
        <f>'Funding 2019'!$K$6</f>
        <v>CGMMHRM19001</v>
      </c>
      <c r="C7" s="151"/>
      <c r="D7" s="151"/>
      <c r="E7" s="152"/>
      <c r="F7" s="153"/>
      <c r="G7" s="153"/>
      <c r="H7" s="153"/>
      <c r="J7" s="154">
        <f t="shared" si="9"/>
        <v>0</v>
      </c>
      <c r="K7" s="154">
        <f t="shared" si="10"/>
        <v>0</v>
      </c>
      <c r="L7" s="154">
        <f t="shared" si="11"/>
        <v>0</v>
      </c>
      <c r="N7" s="152"/>
      <c r="O7" s="155"/>
      <c r="P7" s="155"/>
      <c r="Q7" s="156" t="str">
        <f t="shared" si="5"/>
        <v/>
      </c>
      <c r="R7" s="155"/>
      <c r="S7" s="156" t="str">
        <f t="shared" si="5"/>
        <v/>
      </c>
      <c r="T7" s="140" t="str">
        <f t="shared" ca="1" si="1"/>
        <v/>
      </c>
      <c r="U7" s="139" t="str">
        <f t="shared" si="6"/>
        <v/>
      </c>
      <c r="V7" s="139" t="str">
        <f t="shared" si="7"/>
        <v/>
      </c>
      <c r="W7" s="139" t="str">
        <f t="shared" si="8"/>
        <v/>
      </c>
      <c r="X7" s="327"/>
    </row>
    <row r="8" spans="1:25" ht="18.75" x14ac:dyDescent="0.25">
      <c r="A8" s="151">
        <v>4</v>
      </c>
      <c r="B8" s="106" t="str">
        <f>'Funding 2019'!$K$6</f>
        <v>CGMMHRM19001</v>
      </c>
      <c r="C8" s="151"/>
      <c r="D8" s="151"/>
      <c r="E8" s="152"/>
      <c r="F8" s="153"/>
      <c r="G8" s="153"/>
      <c r="H8" s="153"/>
      <c r="J8" s="154">
        <f t="shared" si="9"/>
        <v>0</v>
      </c>
      <c r="K8" s="154">
        <f t="shared" si="10"/>
        <v>0</v>
      </c>
      <c r="L8" s="154">
        <f t="shared" si="11"/>
        <v>0</v>
      </c>
      <c r="N8" s="152"/>
      <c r="O8" s="155"/>
      <c r="P8" s="155"/>
      <c r="Q8" s="156" t="str">
        <f t="shared" si="5"/>
        <v/>
      </c>
      <c r="R8" s="155"/>
      <c r="S8" s="156" t="str">
        <f t="shared" si="5"/>
        <v/>
      </c>
      <c r="T8" s="140" t="str">
        <f t="shared" ca="1" si="1"/>
        <v/>
      </c>
      <c r="U8" s="139" t="str">
        <f t="shared" si="6"/>
        <v/>
      </c>
      <c r="V8" s="139" t="str">
        <f t="shared" si="7"/>
        <v/>
      </c>
      <c r="W8" s="139" t="str">
        <f t="shared" si="8"/>
        <v/>
      </c>
      <c r="X8" s="327"/>
    </row>
    <row r="9" spans="1:25" ht="18.75" x14ac:dyDescent="0.25">
      <c r="A9" s="157"/>
      <c r="B9" s="158"/>
      <c r="C9" s="157"/>
      <c r="D9" s="157"/>
      <c r="E9" s="159"/>
      <c r="F9" s="160">
        <f>SUM(F4:F8)</f>
        <v>0</v>
      </c>
      <c r="G9" s="160">
        <f>SUM(G4:G8)</f>
        <v>0</v>
      </c>
      <c r="H9" s="160">
        <f>SUM(H4:H8)</f>
        <v>31780000</v>
      </c>
      <c r="J9" s="161">
        <f t="shared" si="0"/>
        <v>0</v>
      </c>
      <c r="K9" s="161">
        <f t="shared" si="0"/>
        <v>0</v>
      </c>
      <c r="L9" s="161">
        <f t="shared" si="0"/>
        <v>1959.0679324374307</v>
      </c>
      <c r="N9" s="159"/>
      <c r="O9" s="162"/>
      <c r="P9" s="162"/>
      <c r="Q9" s="156" t="str">
        <f t="shared" si="5"/>
        <v/>
      </c>
      <c r="R9" s="162"/>
      <c r="S9" s="156" t="str">
        <f t="shared" si="5"/>
        <v/>
      </c>
      <c r="T9" s="140" t="str">
        <f t="shared" ca="1" si="1"/>
        <v/>
      </c>
      <c r="U9" s="139" t="str">
        <f t="shared" si="6"/>
        <v/>
      </c>
      <c r="V9" s="139" t="str">
        <f t="shared" si="7"/>
        <v/>
      </c>
      <c r="W9" s="139" t="str">
        <f t="shared" si="8"/>
        <v/>
      </c>
      <c r="X9" s="327"/>
    </row>
    <row r="10" spans="1:25" ht="18.75" x14ac:dyDescent="0.25">
      <c r="A10" s="270"/>
      <c r="B10" s="271"/>
      <c r="C10" s="270"/>
      <c r="D10" s="270"/>
      <c r="E10" s="272"/>
      <c r="F10" s="273"/>
      <c r="G10" s="273"/>
      <c r="H10" s="273"/>
      <c r="J10" s="274"/>
      <c r="K10" s="274"/>
      <c r="L10" s="274"/>
      <c r="N10" s="272"/>
      <c r="O10" s="275"/>
      <c r="P10" s="275"/>
      <c r="Q10" s="156" t="str">
        <f t="shared" si="5"/>
        <v/>
      </c>
      <c r="R10" s="275"/>
      <c r="S10" s="156" t="str">
        <f t="shared" si="5"/>
        <v/>
      </c>
      <c r="T10" s="140" t="str">
        <f t="shared" ca="1" si="1"/>
        <v/>
      </c>
      <c r="U10" s="139" t="str">
        <f t="shared" si="6"/>
        <v/>
      </c>
      <c r="V10" s="139" t="str">
        <f t="shared" si="7"/>
        <v/>
      </c>
      <c r="W10" s="139" t="str">
        <f t="shared" si="8"/>
        <v/>
      </c>
      <c r="X10" s="327"/>
    </row>
    <row r="11" spans="1:25" ht="18.75" x14ac:dyDescent="0.25">
      <c r="A11" s="146" t="str">
        <f>'Funding 2019'!L17</f>
        <v>Desktop Software, Printer, Telecommunication, Data Center</v>
      </c>
      <c r="B11" s="113" t="str">
        <f>'Funding 2019'!L7</f>
        <v>Office Build. 4 &amp; Annex 2019</v>
      </c>
      <c r="C11" s="147"/>
      <c r="D11" s="147"/>
      <c r="E11" s="148"/>
      <c r="F11" s="148"/>
      <c r="G11" s="148"/>
      <c r="H11" s="148"/>
      <c r="J11" s="149">
        <f t="shared" ref="J11:J16" si="12">F11/$J$2</f>
        <v>0</v>
      </c>
      <c r="K11" s="149">
        <f t="shared" ref="K11:K16" si="13">G11/$J$2</f>
        <v>0</v>
      </c>
      <c r="L11" s="149">
        <f t="shared" ref="L11:L16" si="14">H11/$J$2</f>
        <v>0</v>
      </c>
      <c r="N11" s="148"/>
      <c r="O11" s="150"/>
      <c r="P11" s="150"/>
      <c r="Q11" s="156" t="str">
        <f t="shared" si="5"/>
        <v/>
      </c>
      <c r="R11" s="150"/>
      <c r="S11" s="156" t="str">
        <f t="shared" si="5"/>
        <v/>
      </c>
      <c r="T11" s="140" t="str">
        <f t="shared" ca="1" si="1"/>
        <v/>
      </c>
      <c r="U11" s="139" t="str">
        <f t="shared" si="6"/>
        <v/>
      </c>
      <c r="V11" s="139" t="str">
        <f t="shared" si="7"/>
        <v/>
      </c>
      <c r="W11" s="139" t="str">
        <f t="shared" si="8"/>
        <v/>
      </c>
      <c r="X11" s="327"/>
    </row>
    <row r="12" spans="1:25" ht="18.75" x14ac:dyDescent="0.25">
      <c r="A12" s="151">
        <v>1</v>
      </c>
      <c r="B12" s="106" t="str">
        <f>'Funding 2019'!$K$7</f>
        <v xml:space="preserve">CGMMHRM19002 </v>
      </c>
      <c r="C12" s="151">
        <v>2100011705</v>
      </c>
      <c r="D12" s="151">
        <v>4500135050</v>
      </c>
      <c r="E12" s="152" t="s">
        <v>586</v>
      </c>
      <c r="F12" s="153">
        <f>3649148000*0</f>
        <v>0</v>
      </c>
      <c r="G12" s="153">
        <v>3649148000</v>
      </c>
      <c r="H12" s="153"/>
      <c r="J12" s="154">
        <f t="shared" si="12"/>
        <v>0</v>
      </c>
      <c r="K12" s="154">
        <f t="shared" si="13"/>
        <v>224950.56096658859</v>
      </c>
      <c r="L12" s="154">
        <f t="shared" si="14"/>
        <v>0</v>
      </c>
      <c r="N12" s="152" t="s">
        <v>337</v>
      </c>
      <c r="O12" s="155">
        <v>43783</v>
      </c>
      <c r="P12" s="155">
        <v>43654</v>
      </c>
      <c r="Q12" s="156">
        <f t="shared" si="5"/>
        <v>43647</v>
      </c>
      <c r="R12" s="155"/>
      <c r="S12" s="156" t="str">
        <f t="shared" si="5"/>
        <v/>
      </c>
      <c r="T12" s="140" t="str">
        <f t="shared" ca="1" si="1"/>
        <v/>
      </c>
      <c r="U12" s="139" t="str">
        <f t="shared" si="6"/>
        <v/>
      </c>
      <c r="V12" s="139" t="str">
        <f t="shared" si="7"/>
        <v/>
      </c>
      <c r="W12" s="139" t="str">
        <f t="shared" si="8"/>
        <v/>
      </c>
      <c r="X12" s="327"/>
    </row>
    <row r="13" spans="1:25" ht="18.75" x14ac:dyDescent="0.25">
      <c r="A13" s="151">
        <v>2</v>
      </c>
      <c r="B13" s="106" t="str">
        <f>'Funding 2019'!$K$7</f>
        <v xml:space="preserve">CGMMHRM19002 </v>
      </c>
      <c r="C13" s="151">
        <v>2500003647</v>
      </c>
      <c r="D13" s="151">
        <v>4500135167</v>
      </c>
      <c r="E13" s="152" t="s">
        <v>641</v>
      </c>
      <c r="F13" s="153">
        <f>111284070*0</f>
        <v>0</v>
      </c>
      <c r="G13" s="153">
        <v>111284070</v>
      </c>
      <c r="H13" s="153"/>
      <c r="J13" s="154">
        <f t="shared" ref="J13:J15" si="15">F13/$J$2</f>
        <v>0</v>
      </c>
      <c r="K13" s="154">
        <f t="shared" ref="K13:K15" si="16">G13/$J$2</f>
        <v>6860.0708913820736</v>
      </c>
      <c r="L13" s="154">
        <f t="shared" ref="L13:L15" si="17">H13/$J$2</f>
        <v>0</v>
      </c>
      <c r="N13" s="152" t="s">
        <v>337</v>
      </c>
      <c r="O13" s="155">
        <v>43783</v>
      </c>
      <c r="P13" s="155">
        <v>43678</v>
      </c>
      <c r="Q13" s="156">
        <f t="shared" si="5"/>
        <v>43678</v>
      </c>
      <c r="R13" s="155"/>
      <c r="S13" s="156" t="str">
        <f t="shared" si="5"/>
        <v/>
      </c>
      <c r="T13" s="140" t="str">
        <f t="shared" ca="1" si="1"/>
        <v/>
      </c>
      <c r="U13" s="139" t="str">
        <f t="shared" si="6"/>
        <v/>
      </c>
      <c r="V13" s="139" t="str">
        <f t="shared" si="7"/>
        <v/>
      </c>
      <c r="W13" s="139" t="str">
        <f t="shared" si="8"/>
        <v/>
      </c>
      <c r="X13" s="327"/>
    </row>
    <row r="14" spans="1:25" ht="18.75" x14ac:dyDescent="0.25">
      <c r="A14" s="151">
        <v>3</v>
      </c>
      <c r="B14" s="106" t="str">
        <f>'Funding 2019'!$K$7</f>
        <v xml:space="preserve">CGMMHRM19002 </v>
      </c>
      <c r="C14" s="151">
        <v>2100011773</v>
      </c>
      <c r="D14" s="151">
        <v>4500135219</v>
      </c>
      <c r="E14" s="152" t="s">
        <v>711</v>
      </c>
      <c r="F14" s="153"/>
      <c r="G14" s="153">
        <v>235095520</v>
      </c>
      <c r="H14" s="153"/>
      <c r="J14" s="154">
        <f t="shared" si="15"/>
        <v>0</v>
      </c>
      <c r="K14" s="154">
        <f t="shared" si="16"/>
        <v>14492.388114905683</v>
      </c>
      <c r="L14" s="154">
        <f t="shared" si="17"/>
        <v>0</v>
      </c>
      <c r="N14" s="152" t="s">
        <v>176</v>
      </c>
      <c r="O14" s="155">
        <v>43783</v>
      </c>
      <c r="P14" s="155">
        <v>43690</v>
      </c>
      <c r="Q14" s="156">
        <f t="shared" si="5"/>
        <v>43678</v>
      </c>
      <c r="R14" s="155"/>
      <c r="S14" s="156" t="str">
        <f t="shared" si="5"/>
        <v/>
      </c>
      <c r="T14" s="140" t="str">
        <f t="shared" ca="1" si="1"/>
        <v/>
      </c>
      <c r="U14" s="139" t="str">
        <f t="shared" si="6"/>
        <v/>
      </c>
      <c r="V14" s="139" t="str">
        <f t="shared" si="7"/>
        <v/>
      </c>
      <c r="W14" s="139" t="str">
        <f t="shared" si="8"/>
        <v/>
      </c>
      <c r="X14" s="327"/>
    </row>
    <row r="15" spans="1:25" ht="18.75" x14ac:dyDescent="0.25">
      <c r="A15" s="151">
        <v>4</v>
      </c>
      <c r="B15" s="106" t="str">
        <f>'Funding 2019'!$K$7</f>
        <v xml:space="preserve">CGMMHRM19002 </v>
      </c>
      <c r="C15" s="151">
        <v>2100011809</v>
      </c>
      <c r="D15" s="151">
        <v>4500135331</v>
      </c>
      <c r="E15" s="152" t="s">
        <v>849</v>
      </c>
      <c r="F15" s="153"/>
      <c r="G15" s="153">
        <v>63769031</v>
      </c>
      <c r="H15" s="153"/>
      <c r="J15" s="154">
        <f t="shared" si="15"/>
        <v>0</v>
      </c>
      <c r="K15" s="154">
        <f t="shared" si="16"/>
        <v>3931.0215139933425</v>
      </c>
      <c r="L15" s="154">
        <f t="shared" si="17"/>
        <v>0</v>
      </c>
      <c r="N15" s="152" t="s">
        <v>337</v>
      </c>
      <c r="O15" s="155">
        <v>43783</v>
      </c>
      <c r="P15" s="155">
        <v>43728</v>
      </c>
      <c r="Q15" s="156">
        <f t="shared" si="5"/>
        <v>43709</v>
      </c>
      <c r="R15" s="155"/>
      <c r="S15" s="156" t="str">
        <f t="shared" si="5"/>
        <v/>
      </c>
      <c r="T15" s="140" t="str">
        <f t="shared" ca="1" si="1"/>
        <v/>
      </c>
      <c r="U15" s="139" t="str">
        <f t="shared" si="6"/>
        <v/>
      </c>
      <c r="V15" s="139" t="str">
        <f t="shared" si="7"/>
        <v/>
      </c>
      <c r="W15" s="139" t="str">
        <f t="shared" si="8"/>
        <v/>
      </c>
      <c r="X15" s="327"/>
    </row>
    <row r="16" spans="1:25" ht="18.75" x14ac:dyDescent="0.25">
      <c r="A16" s="157"/>
      <c r="B16" s="158"/>
      <c r="C16" s="157"/>
      <c r="D16" s="157"/>
      <c r="E16" s="159"/>
      <c r="F16" s="160">
        <f>SUM(F11:F15)</f>
        <v>0</v>
      </c>
      <c r="G16" s="160">
        <f>SUM(G11:G15)</f>
        <v>4059296621</v>
      </c>
      <c r="H16" s="160">
        <f>SUM(H11:H15)</f>
        <v>0</v>
      </c>
      <c r="J16" s="161">
        <f t="shared" si="12"/>
        <v>0</v>
      </c>
      <c r="K16" s="161">
        <f t="shared" si="13"/>
        <v>250234.04148686968</v>
      </c>
      <c r="L16" s="161">
        <f t="shared" si="14"/>
        <v>0</v>
      </c>
      <c r="N16" s="159"/>
      <c r="O16" s="162"/>
      <c r="P16" s="162"/>
      <c r="Q16" s="156" t="str">
        <f t="shared" si="5"/>
        <v/>
      </c>
      <c r="R16" s="162"/>
      <c r="S16" s="156" t="str">
        <f t="shared" si="5"/>
        <v/>
      </c>
      <c r="T16" s="140" t="str">
        <f t="shared" ca="1" si="1"/>
        <v/>
      </c>
      <c r="U16" s="139" t="str">
        <f t="shared" si="6"/>
        <v/>
      </c>
      <c r="V16" s="139" t="str">
        <f t="shared" si="7"/>
        <v/>
      </c>
      <c r="W16" s="139" t="str">
        <f t="shared" si="8"/>
        <v/>
      </c>
      <c r="X16" s="327"/>
    </row>
    <row r="17" spans="1:24" ht="18.75" x14ac:dyDescent="0.25">
      <c r="Q17" s="156" t="str">
        <f t="shared" si="5"/>
        <v/>
      </c>
      <c r="S17" s="156" t="str">
        <f t="shared" si="5"/>
        <v/>
      </c>
      <c r="T17" s="140" t="str">
        <f t="shared" ca="1" si="1"/>
        <v/>
      </c>
      <c r="U17" s="139" t="str">
        <f t="shared" si="6"/>
        <v/>
      </c>
      <c r="V17" s="139" t="str">
        <f t="shared" si="7"/>
        <v/>
      </c>
      <c r="W17" s="139" t="str">
        <f t="shared" si="8"/>
        <v/>
      </c>
      <c r="X17" s="327"/>
    </row>
    <row r="18" spans="1:24" ht="18.75" x14ac:dyDescent="0.25">
      <c r="A18" s="163" t="str">
        <f>'Funding 2019'!L14</f>
        <v>GENERAL FACILTY</v>
      </c>
      <c r="B18" s="113" t="str">
        <f>'Funding 2019'!L13</f>
        <v>General Facility</v>
      </c>
      <c r="C18" s="147"/>
      <c r="D18" s="147"/>
      <c r="E18" s="148"/>
      <c r="F18" s="148"/>
      <c r="G18" s="148"/>
      <c r="H18" s="148"/>
      <c r="J18" s="149">
        <f t="shared" ref="J18:L23" si="18">F18/$J$2</f>
        <v>0</v>
      </c>
      <c r="K18" s="149">
        <f t="shared" si="18"/>
        <v>0</v>
      </c>
      <c r="L18" s="149">
        <f t="shared" si="18"/>
        <v>0</v>
      </c>
      <c r="N18" s="148"/>
      <c r="O18" s="150"/>
      <c r="P18" s="150"/>
      <c r="Q18" s="156" t="str">
        <f t="shared" si="5"/>
        <v/>
      </c>
      <c r="R18" s="150"/>
      <c r="S18" s="156" t="str">
        <f t="shared" si="5"/>
        <v/>
      </c>
      <c r="T18" s="140" t="str">
        <f t="shared" ca="1" si="1"/>
        <v/>
      </c>
      <c r="U18" s="139" t="str">
        <f t="shared" si="6"/>
        <v/>
      </c>
      <c r="V18" s="139" t="str">
        <f t="shared" si="7"/>
        <v/>
      </c>
      <c r="W18" s="139" t="str">
        <f t="shared" si="8"/>
        <v/>
      </c>
      <c r="X18" s="327"/>
    </row>
    <row r="19" spans="1:24" ht="18.75" x14ac:dyDescent="0.25">
      <c r="A19" s="151">
        <v>1</v>
      </c>
      <c r="B19" s="106" t="str">
        <f>'Funding 2019'!$K$13</f>
        <v>CGMMMTW19005</v>
      </c>
      <c r="C19" s="151"/>
      <c r="D19" s="151"/>
      <c r="E19" s="152"/>
      <c r="F19" s="153"/>
      <c r="G19" s="153"/>
      <c r="H19" s="153"/>
      <c r="J19" s="154">
        <f t="shared" si="18"/>
        <v>0</v>
      </c>
      <c r="K19" s="154">
        <f t="shared" si="18"/>
        <v>0</v>
      </c>
      <c r="L19" s="154">
        <f t="shared" si="18"/>
        <v>0</v>
      </c>
      <c r="N19" s="152"/>
      <c r="O19" s="155"/>
      <c r="P19" s="155"/>
      <c r="Q19" s="156" t="str">
        <f t="shared" si="5"/>
        <v/>
      </c>
      <c r="R19" s="155"/>
      <c r="S19" s="156" t="str">
        <f t="shared" si="5"/>
        <v/>
      </c>
      <c r="T19" s="140" t="str">
        <f t="shared" ca="1" si="1"/>
        <v/>
      </c>
      <c r="U19" s="139" t="str">
        <f t="shared" si="6"/>
        <v/>
      </c>
      <c r="V19" s="139" t="str">
        <f t="shared" si="7"/>
        <v/>
      </c>
      <c r="W19" s="139" t="str">
        <f t="shared" si="8"/>
        <v/>
      </c>
      <c r="X19" s="327"/>
    </row>
    <row r="20" spans="1:24" ht="18.75" x14ac:dyDescent="0.25">
      <c r="A20" s="151">
        <v>2</v>
      </c>
      <c r="B20" s="106" t="str">
        <f>'Funding 2019'!$K$13</f>
        <v>CGMMMTW19005</v>
      </c>
      <c r="C20" s="151"/>
      <c r="D20" s="151"/>
      <c r="E20" s="152"/>
      <c r="F20" s="153"/>
      <c r="G20" s="153"/>
      <c r="H20" s="153"/>
      <c r="J20" s="154">
        <f t="shared" ref="J20:L22" si="19">F20/$J$2</f>
        <v>0</v>
      </c>
      <c r="K20" s="154">
        <f t="shared" si="19"/>
        <v>0</v>
      </c>
      <c r="L20" s="154">
        <f t="shared" si="19"/>
        <v>0</v>
      </c>
      <c r="N20" s="152"/>
      <c r="O20" s="155"/>
      <c r="P20" s="155"/>
      <c r="Q20" s="156" t="str">
        <f t="shared" si="5"/>
        <v/>
      </c>
      <c r="R20" s="155"/>
      <c r="S20" s="156" t="str">
        <f t="shared" si="5"/>
        <v/>
      </c>
      <c r="T20" s="140" t="str">
        <f t="shared" ca="1" si="1"/>
        <v/>
      </c>
      <c r="U20" s="139" t="str">
        <f t="shared" si="6"/>
        <v/>
      </c>
      <c r="V20" s="139" t="str">
        <f t="shared" si="7"/>
        <v/>
      </c>
      <c r="W20" s="139" t="str">
        <f t="shared" si="8"/>
        <v/>
      </c>
      <c r="X20" s="327"/>
    </row>
    <row r="21" spans="1:24" ht="18.75" x14ac:dyDescent="0.25">
      <c r="A21" s="151">
        <v>3</v>
      </c>
      <c r="B21" s="106" t="str">
        <f>'Funding 2019'!$K$13</f>
        <v>CGMMMTW19005</v>
      </c>
      <c r="C21" s="151"/>
      <c r="D21" s="151"/>
      <c r="E21" s="152"/>
      <c r="F21" s="153"/>
      <c r="G21" s="153"/>
      <c r="H21" s="153"/>
      <c r="J21" s="154">
        <f t="shared" si="19"/>
        <v>0</v>
      </c>
      <c r="K21" s="154">
        <f t="shared" si="19"/>
        <v>0</v>
      </c>
      <c r="L21" s="154">
        <f t="shared" si="19"/>
        <v>0</v>
      </c>
      <c r="N21" s="152"/>
      <c r="O21" s="155"/>
      <c r="P21" s="155"/>
      <c r="Q21" s="156" t="str">
        <f t="shared" si="5"/>
        <v/>
      </c>
      <c r="R21" s="155"/>
      <c r="S21" s="156" t="str">
        <f t="shared" si="5"/>
        <v/>
      </c>
      <c r="T21" s="140" t="str">
        <f t="shared" ca="1" si="1"/>
        <v/>
      </c>
      <c r="U21" s="139" t="str">
        <f t="shared" si="6"/>
        <v/>
      </c>
      <c r="V21" s="139" t="str">
        <f t="shared" si="7"/>
        <v/>
      </c>
      <c r="W21" s="139" t="str">
        <f t="shared" si="8"/>
        <v/>
      </c>
      <c r="X21" s="327"/>
    </row>
    <row r="22" spans="1:24" ht="18.75" x14ac:dyDescent="0.25">
      <c r="A22" s="151">
        <v>4</v>
      </c>
      <c r="B22" s="106" t="str">
        <f>'Funding 2019'!$K$13</f>
        <v>CGMMMTW19005</v>
      </c>
      <c r="C22" s="151"/>
      <c r="D22" s="151"/>
      <c r="E22" s="152"/>
      <c r="F22" s="153"/>
      <c r="G22" s="153"/>
      <c r="H22" s="153"/>
      <c r="J22" s="154">
        <f t="shared" si="19"/>
        <v>0</v>
      </c>
      <c r="K22" s="154">
        <f t="shared" si="19"/>
        <v>0</v>
      </c>
      <c r="L22" s="154">
        <f t="shared" si="19"/>
        <v>0</v>
      </c>
      <c r="N22" s="152"/>
      <c r="O22" s="155"/>
      <c r="P22" s="155"/>
      <c r="Q22" s="156" t="str">
        <f t="shared" ref="Q22:Q85" si="20">IF(P22="","",IF(YEAR(P22)&lt;=2018,DATE(2018,12,31),EOMONTH(P22,-1)+1))</f>
        <v/>
      </c>
      <c r="R22" s="155"/>
      <c r="S22" s="156" t="str">
        <f t="shared" ref="S22:S85" si="21">IF(R22="","",IF(YEAR(R22)&lt;=2018,DATE(2018,12,31),EOMONTH(R22,-1)+1))</f>
        <v/>
      </c>
      <c r="T22" s="140" t="str">
        <f t="shared" ca="1" si="1"/>
        <v/>
      </c>
      <c r="U22" s="139" t="str">
        <f t="shared" si="6"/>
        <v/>
      </c>
      <c r="V22" s="139" t="str">
        <f t="shared" si="7"/>
        <v/>
      </c>
      <c r="W22" s="139" t="str">
        <f t="shared" si="8"/>
        <v/>
      </c>
      <c r="X22" s="327"/>
    </row>
    <row r="23" spans="1:24" ht="18.75" x14ac:dyDescent="0.25">
      <c r="A23" s="157"/>
      <c r="B23" s="158"/>
      <c r="C23" s="157"/>
      <c r="D23" s="157"/>
      <c r="E23" s="159"/>
      <c r="F23" s="160">
        <f>SUM(F18:F22)</f>
        <v>0</v>
      </c>
      <c r="G23" s="160">
        <f>SUM(G18:G22)</f>
        <v>0</v>
      </c>
      <c r="H23" s="160">
        <f>SUM(H18:H22)</f>
        <v>0</v>
      </c>
      <c r="J23" s="161">
        <f t="shared" si="18"/>
        <v>0</v>
      </c>
      <c r="K23" s="161">
        <f t="shared" si="18"/>
        <v>0</v>
      </c>
      <c r="L23" s="161">
        <f t="shared" si="18"/>
        <v>0</v>
      </c>
      <c r="N23" s="159"/>
      <c r="O23" s="162"/>
      <c r="P23" s="162"/>
      <c r="Q23" s="156" t="str">
        <f t="shared" si="20"/>
        <v/>
      </c>
      <c r="R23" s="162"/>
      <c r="S23" s="156" t="str">
        <f t="shared" si="21"/>
        <v/>
      </c>
      <c r="T23" s="140" t="str">
        <f t="shared" ca="1" si="1"/>
        <v/>
      </c>
      <c r="U23" s="139" t="str">
        <f t="shared" si="6"/>
        <v/>
      </c>
      <c r="V23" s="139" t="str">
        <f t="shared" si="7"/>
        <v/>
      </c>
      <c r="W23" s="139" t="str">
        <f t="shared" si="8"/>
        <v/>
      </c>
      <c r="X23" s="327"/>
    </row>
    <row r="24" spans="1:24" ht="18.75" x14ac:dyDescent="0.25">
      <c r="Q24" s="156" t="str">
        <f t="shared" si="20"/>
        <v/>
      </c>
      <c r="S24" s="156" t="str">
        <f t="shared" si="21"/>
        <v/>
      </c>
      <c r="T24" s="140" t="str">
        <f t="shared" ca="1" si="1"/>
        <v/>
      </c>
      <c r="U24" s="139" t="str">
        <f t="shared" si="6"/>
        <v/>
      </c>
      <c r="V24" s="139" t="str">
        <f t="shared" si="7"/>
        <v/>
      </c>
      <c r="W24" s="139" t="str">
        <f t="shared" si="8"/>
        <v/>
      </c>
      <c r="X24" s="327"/>
    </row>
    <row r="25" spans="1:24" ht="18.75" x14ac:dyDescent="0.25">
      <c r="A25" s="163" t="str">
        <f>'Funding 2019'!L18</f>
        <v>GENERAL - IT Wanaherang</v>
      </c>
      <c r="B25" s="113" t="str">
        <f>'Funding 2019'!L16</f>
        <v>Renew Thin Client for TIDS, Renew UPS</v>
      </c>
      <c r="C25" s="147"/>
      <c r="D25" s="147"/>
      <c r="E25" s="148"/>
      <c r="F25" s="148"/>
      <c r="G25" s="148"/>
      <c r="H25" s="148"/>
      <c r="J25" s="149">
        <f t="shared" ref="J25:L30" si="22">F25/$J$2</f>
        <v>0</v>
      </c>
      <c r="K25" s="149">
        <f t="shared" si="22"/>
        <v>0</v>
      </c>
      <c r="L25" s="149">
        <f t="shared" si="22"/>
        <v>0</v>
      </c>
      <c r="N25" s="148"/>
      <c r="O25" s="150"/>
      <c r="P25" s="150"/>
      <c r="Q25" s="156" t="str">
        <f t="shared" si="20"/>
        <v/>
      </c>
      <c r="R25" s="150"/>
      <c r="S25" s="156" t="str">
        <f t="shared" si="21"/>
        <v/>
      </c>
      <c r="T25" s="140" t="str">
        <f t="shared" ca="1" si="1"/>
        <v/>
      </c>
      <c r="U25" s="139" t="str">
        <f t="shared" si="6"/>
        <v/>
      </c>
      <c r="V25" s="139" t="str">
        <f t="shared" si="7"/>
        <v/>
      </c>
      <c r="W25" s="139" t="str">
        <f t="shared" si="8"/>
        <v/>
      </c>
      <c r="X25" s="327"/>
    </row>
    <row r="26" spans="1:24" ht="18.75" x14ac:dyDescent="0.25">
      <c r="A26" s="151">
        <v>1</v>
      </c>
      <c r="B26" s="106" t="str">
        <f>'Funding 2019'!$K$16</f>
        <v>CGMMITM19001</v>
      </c>
      <c r="C26" s="151">
        <v>2100011517</v>
      </c>
      <c r="D26" s="151">
        <v>4500134371</v>
      </c>
      <c r="E26" s="152" t="s">
        <v>175</v>
      </c>
      <c r="F26" s="153"/>
      <c r="G26" s="153">
        <f>675000000*0</f>
        <v>0</v>
      </c>
      <c r="H26" s="153">
        <v>675000000</v>
      </c>
      <c r="J26" s="154">
        <f t="shared" si="22"/>
        <v>0</v>
      </c>
      <c r="K26" s="154">
        <f t="shared" si="22"/>
        <v>0</v>
      </c>
      <c r="L26" s="154">
        <f t="shared" si="22"/>
        <v>41610.159043274565</v>
      </c>
      <c r="N26" s="152" t="s">
        <v>176</v>
      </c>
      <c r="O26" s="155">
        <v>43511</v>
      </c>
      <c r="P26" s="155">
        <v>43455</v>
      </c>
      <c r="Q26" s="156">
        <f t="shared" si="20"/>
        <v>43465</v>
      </c>
      <c r="R26" s="155">
        <v>43497</v>
      </c>
      <c r="S26" s="156">
        <f t="shared" si="21"/>
        <v>43497</v>
      </c>
      <c r="T26" s="140" t="str">
        <f t="shared" ca="1" si="1"/>
        <v/>
      </c>
      <c r="U26" s="139" t="str">
        <f t="shared" si="6"/>
        <v/>
      </c>
      <c r="V26" s="139" t="str">
        <f t="shared" si="7"/>
        <v/>
      </c>
      <c r="W26" s="139" t="str">
        <f t="shared" si="8"/>
        <v/>
      </c>
      <c r="X26" s="327"/>
    </row>
    <row r="27" spans="1:24" ht="18.75" x14ac:dyDescent="0.25">
      <c r="A27" s="151">
        <v>2</v>
      </c>
      <c r="B27" s="106" t="str">
        <f>'Funding 2019'!$K$16</f>
        <v>CGMMITM19001</v>
      </c>
      <c r="C27" s="151"/>
      <c r="D27" s="151"/>
      <c r="E27" s="152"/>
      <c r="F27" s="153"/>
      <c r="G27" s="153"/>
      <c r="H27" s="153"/>
      <c r="J27" s="154">
        <f t="shared" si="22"/>
        <v>0</v>
      </c>
      <c r="K27" s="154">
        <f t="shared" si="22"/>
        <v>0</v>
      </c>
      <c r="L27" s="154">
        <f t="shared" si="22"/>
        <v>0</v>
      </c>
      <c r="N27" s="152"/>
      <c r="O27" s="155"/>
      <c r="P27" s="155"/>
      <c r="Q27" s="156" t="str">
        <f t="shared" si="20"/>
        <v/>
      </c>
      <c r="R27" s="155"/>
      <c r="S27" s="156" t="str">
        <f t="shared" si="21"/>
        <v/>
      </c>
      <c r="T27" s="140" t="str">
        <f t="shared" ca="1" si="1"/>
        <v/>
      </c>
      <c r="U27" s="139" t="str">
        <f t="shared" si="6"/>
        <v/>
      </c>
      <c r="V27" s="139" t="str">
        <f t="shared" si="7"/>
        <v/>
      </c>
      <c r="W27" s="139" t="str">
        <f t="shared" si="8"/>
        <v/>
      </c>
      <c r="X27" s="327"/>
    </row>
    <row r="28" spans="1:24" ht="18.75" x14ac:dyDescent="0.25">
      <c r="A28" s="151">
        <v>3</v>
      </c>
      <c r="B28" s="106" t="str">
        <f>'Funding 2019'!$K$16</f>
        <v>CGMMITM19001</v>
      </c>
      <c r="C28" s="151"/>
      <c r="D28" s="151"/>
      <c r="E28" s="152"/>
      <c r="F28" s="153"/>
      <c r="G28" s="153"/>
      <c r="H28" s="153"/>
      <c r="J28" s="154">
        <f t="shared" si="22"/>
        <v>0</v>
      </c>
      <c r="K28" s="154">
        <f t="shared" si="22"/>
        <v>0</v>
      </c>
      <c r="L28" s="154">
        <f t="shared" si="22"/>
        <v>0</v>
      </c>
      <c r="N28" s="152"/>
      <c r="O28" s="155"/>
      <c r="P28" s="155"/>
      <c r="Q28" s="156" t="str">
        <f t="shared" si="20"/>
        <v/>
      </c>
      <c r="R28" s="155"/>
      <c r="S28" s="156" t="str">
        <f t="shared" si="21"/>
        <v/>
      </c>
      <c r="T28" s="140" t="str">
        <f t="shared" ca="1" si="1"/>
        <v/>
      </c>
      <c r="U28" s="139" t="str">
        <f t="shared" si="6"/>
        <v/>
      </c>
      <c r="V28" s="139" t="str">
        <f t="shared" si="7"/>
        <v/>
      </c>
      <c r="W28" s="139" t="str">
        <f t="shared" si="8"/>
        <v/>
      </c>
      <c r="X28" s="327"/>
    </row>
    <row r="29" spans="1:24" ht="18.75" x14ac:dyDescent="0.25">
      <c r="A29" s="151">
        <v>4</v>
      </c>
      <c r="B29" s="106" t="str">
        <f>'Funding 2019'!$K$16</f>
        <v>CGMMITM19001</v>
      </c>
      <c r="C29" s="151"/>
      <c r="D29" s="151"/>
      <c r="E29" s="152"/>
      <c r="F29" s="153"/>
      <c r="G29" s="153"/>
      <c r="H29" s="153"/>
      <c r="J29" s="154">
        <f t="shared" si="22"/>
        <v>0</v>
      </c>
      <c r="K29" s="154">
        <f t="shared" si="22"/>
        <v>0</v>
      </c>
      <c r="L29" s="154">
        <f t="shared" si="22"/>
        <v>0</v>
      </c>
      <c r="N29" s="152"/>
      <c r="O29" s="155"/>
      <c r="P29" s="155"/>
      <c r="Q29" s="156" t="str">
        <f t="shared" si="20"/>
        <v/>
      </c>
      <c r="R29" s="155"/>
      <c r="S29" s="156" t="str">
        <f t="shared" si="21"/>
        <v/>
      </c>
      <c r="T29" s="140" t="str">
        <f t="shared" ca="1" si="1"/>
        <v/>
      </c>
      <c r="U29" s="139" t="str">
        <f t="shared" si="6"/>
        <v/>
      </c>
      <c r="V29" s="139" t="str">
        <f t="shared" si="7"/>
        <v/>
      </c>
      <c r="W29" s="139" t="str">
        <f t="shared" si="8"/>
        <v/>
      </c>
      <c r="X29" s="327"/>
    </row>
    <row r="30" spans="1:24" ht="18.75" x14ac:dyDescent="0.25">
      <c r="A30" s="157"/>
      <c r="B30" s="158"/>
      <c r="C30" s="157"/>
      <c r="D30" s="157"/>
      <c r="E30" s="159"/>
      <c r="F30" s="160">
        <f>SUM(F25:F29)</f>
        <v>0</v>
      </c>
      <c r="G30" s="160">
        <f>SUM(G25:G29)</f>
        <v>0</v>
      </c>
      <c r="H30" s="160">
        <f>SUM(H25:H29)</f>
        <v>675000000</v>
      </c>
      <c r="J30" s="161">
        <f t="shared" si="22"/>
        <v>0</v>
      </c>
      <c r="K30" s="161">
        <f t="shared" si="22"/>
        <v>0</v>
      </c>
      <c r="L30" s="161">
        <f t="shared" si="22"/>
        <v>41610.159043274565</v>
      </c>
      <c r="N30" s="159"/>
      <c r="O30" s="162"/>
      <c r="P30" s="162"/>
      <c r="Q30" s="156" t="str">
        <f t="shared" si="20"/>
        <v/>
      </c>
      <c r="R30" s="162"/>
      <c r="S30" s="156" t="str">
        <f t="shared" si="21"/>
        <v/>
      </c>
      <c r="T30" s="140" t="str">
        <f t="shared" ca="1" si="1"/>
        <v/>
      </c>
      <c r="U30" s="139" t="str">
        <f t="shared" si="6"/>
        <v/>
      </c>
      <c r="V30" s="139" t="str">
        <f t="shared" si="7"/>
        <v/>
      </c>
      <c r="W30" s="139" t="str">
        <f t="shared" si="8"/>
        <v/>
      </c>
      <c r="X30" s="327"/>
    </row>
    <row r="31" spans="1:24" ht="18.75" x14ac:dyDescent="0.25">
      <c r="Q31" s="156" t="str">
        <f t="shared" si="20"/>
        <v/>
      </c>
      <c r="S31" s="156" t="str">
        <f t="shared" si="21"/>
        <v/>
      </c>
      <c r="T31" s="140" t="str">
        <f t="shared" ca="1" si="1"/>
        <v/>
      </c>
      <c r="U31" s="139" t="str">
        <f t="shared" si="6"/>
        <v/>
      </c>
      <c r="V31" s="139" t="str">
        <f t="shared" si="7"/>
        <v/>
      </c>
      <c r="W31" s="139" t="str">
        <f t="shared" si="8"/>
        <v/>
      </c>
      <c r="X31" s="327"/>
    </row>
    <row r="32" spans="1:24" ht="18.75" x14ac:dyDescent="0.25">
      <c r="A32" s="163" t="str">
        <f>'Funding 2019'!L18</f>
        <v>GENERAL - IT Wanaherang</v>
      </c>
      <c r="B32" s="113" t="str">
        <f>'Funding 2019'!L17</f>
        <v>Desktop Software, Printer, Telecommunication, Data Center</v>
      </c>
      <c r="C32" s="147"/>
      <c r="D32" s="147"/>
      <c r="E32" s="148"/>
      <c r="F32" s="148"/>
      <c r="G32" s="148"/>
      <c r="H32" s="148"/>
      <c r="J32" s="149">
        <f t="shared" ref="J32:L33" si="23">F32/$J$2</f>
        <v>0</v>
      </c>
      <c r="K32" s="149">
        <f t="shared" si="23"/>
        <v>0</v>
      </c>
      <c r="L32" s="149">
        <f t="shared" si="23"/>
        <v>0</v>
      </c>
      <c r="N32" s="148"/>
      <c r="O32" s="150"/>
      <c r="P32" s="150"/>
      <c r="Q32" s="156" t="str">
        <f t="shared" si="20"/>
        <v/>
      </c>
      <c r="R32" s="150"/>
      <c r="S32" s="156" t="str">
        <f t="shared" si="21"/>
        <v/>
      </c>
      <c r="T32" s="140" t="str">
        <f t="shared" ca="1" si="1"/>
        <v/>
      </c>
      <c r="U32" s="139" t="str">
        <f t="shared" si="6"/>
        <v/>
      </c>
      <c r="V32" s="139" t="str">
        <f t="shared" si="7"/>
        <v/>
      </c>
      <c r="W32" s="139" t="str">
        <f t="shared" si="8"/>
        <v/>
      </c>
      <c r="X32" s="327"/>
    </row>
    <row r="33" spans="1:24" ht="18.75" x14ac:dyDescent="0.25">
      <c r="A33" s="151">
        <v>1</v>
      </c>
      <c r="B33" s="106" t="str">
        <f>'Funding 2019'!$K$17</f>
        <v>CGMMITM19002</v>
      </c>
      <c r="C33" s="164">
        <v>5500011522</v>
      </c>
      <c r="D33" s="164"/>
      <c r="E33" s="165" t="s">
        <v>487</v>
      </c>
      <c r="F33" s="166"/>
      <c r="G33" s="166"/>
      <c r="H33" s="403">
        <v>12300000</v>
      </c>
      <c r="J33" s="154">
        <f t="shared" si="23"/>
        <v>0</v>
      </c>
      <c r="K33" s="154">
        <f t="shared" si="23"/>
        <v>0</v>
      </c>
      <c r="L33" s="154">
        <f t="shared" si="23"/>
        <v>758.22956478855872</v>
      </c>
      <c r="N33" s="152" t="s">
        <v>488</v>
      </c>
      <c r="O33" s="155">
        <v>43643</v>
      </c>
      <c r="P33" s="155">
        <v>43643</v>
      </c>
      <c r="Q33" s="156">
        <f t="shared" si="20"/>
        <v>43617</v>
      </c>
      <c r="R33" s="155">
        <v>43617</v>
      </c>
      <c r="S33" s="156">
        <f t="shared" si="21"/>
        <v>43617</v>
      </c>
      <c r="T33" s="140" t="str">
        <f t="shared" ca="1" si="1"/>
        <v/>
      </c>
      <c r="U33" s="139" t="str">
        <f t="shared" si="6"/>
        <v/>
      </c>
      <c r="V33" s="139" t="str">
        <f t="shared" si="7"/>
        <v/>
      </c>
      <c r="W33" s="139" t="str">
        <f t="shared" si="8"/>
        <v/>
      </c>
      <c r="X33" s="327"/>
    </row>
    <row r="34" spans="1:24" ht="18.75" x14ac:dyDescent="0.25">
      <c r="A34" s="151">
        <v>2</v>
      </c>
      <c r="B34" s="106" t="str">
        <f>'Funding 2019'!$K$17</f>
        <v>CGMMITM19002</v>
      </c>
      <c r="C34" s="151">
        <v>2100011696</v>
      </c>
      <c r="D34" s="151">
        <v>4500135066</v>
      </c>
      <c r="E34" s="152" t="s">
        <v>583</v>
      </c>
      <c r="F34" s="166">
        <f>39450000*0</f>
        <v>0</v>
      </c>
      <c r="G34" s="166">
        <f>37770000*0</f>
        <v>0</v>
      </c>
      <c r="H34" s="403">
        <v>37770000</v>
      </c>
      <c r="J34" s="154">
        <f t="shared" ref="J34:J42" si="24">F34/$J$2</f>
        <v>0</v>
      </c>
      <c r="K34" s="154">
        <f t="shared" ref="K34:K42" si="25">G34/$J$2</f>
        <v>0</v>
      </c>
      <c r="L34" s="154">
        <f t="shared" ref="L34:L42" si="26">H34/$J$2</f>
        <v>2328.3195660214524</v>
      </c>
      <c r="N34" s="152" t="s">
        <v>176</v>
      </c>
      <c r="O34" s="155">
        <v>43656</v>
      </c>
      <c r="P34" s="155">
        <v>43677</v>
      </c>
      <c r="Q34" s="156">
        <f t="shared" si="20"/>
        <v>43647</v>
      </c>
      <c r="R34" s="155">
        <v>43663</v>
      </c>
      <c r="S34" s="156">
        <f t="shared" si="21"/>
        <v>43647</v>
      </c>
      <c r="T34" s="140" t="str">
        <f t="shared" ca="1" si="1"/>
        <v/>
      </c>
      <c r="U34" s="139" t="str">
        <f t="shared" si="6"/>
        <v/>
      </c>
      <c r="V34" s="139" t="str">
        <f t="shared" si="7"/>
        <v/>
      </c>
      <c r="W34" s="139" t="str">
        <f t="shared" si="8"/>
        <v/>
      </c>
      <c r="X34" s="327"/>
    </row>
    <row r="35" spans="1:24" ht="18.75" x14ac:dyDescent="0.25">
      <c r="A35" s="151">
        <v>3</v>
      </c>
      <c r="B35" s="106" t="str">
        <f>'Funding 2019'!$K$17</f>
        <v>CGMMITM19002</v>
      </c>
      <c r="C35" s="151">
        <v>5500011740</v>
      </c>
      <c r="D35" s="151"/>
      <c r="E35" s="152" t="s">
        <v>584</v>
      </c>
      <c r="F35" s="287"/>
      <c r="H35" s="403">
        <v>13300000</v>
      </c>
      <c r="J35" s="154">
        <f t="shared" si="24"/>
        <v>0</v>
      </c>
      <c r="K35" s="154">
        <f t="shared" si="25"/>
        <v>0</v>
      </c>
      <c r="L35" s="154">
        <f t="shared" si="26"/>
        <v>819.87424485266922</v>
      </c>
      <c r="N35" s="152" t="s">
        <v>176</v>
      </c>
      <c r="O35" s="155">
        <v>43714</v>
      </c>
      <c r="P35" s="155">
        <v>43656</v>
      </c>
      <c r="Q35" s="156">
        <f t="shared" si="20"/>
        <v>43647</v>
      </c>
      <c r="R35" s="155">
        <v>43717</v>
      </c>
      <c r="S35" s="156">
        <f t="shared" si="21"/>
        <v>43709</v>
      </c>
      <c r="T35" s="140" t="str">
        <f t="shared" ca="1" si="1"/>
        <v/>
      </c>
      <c r="U35" s="139" t="str">
        <f t="shared" si="6"/>
        <v/>
      </c>
      <c r="V35" s="139" t="str">
        <f t="shared" si="7"/>
        <v/>
      </c>
      <c r="W35" s="139" t="str">
        <f t="shared" si="8"/>
        <v/>
      </c>
      <c r="X35" s="327"/>
    </row>
    <row r="36" spans="1:24" ht="18.75" x14ac:dyDescent="0.25">
      <c r="A36" s="151">
        <v>4</v>
      </c>
      <c r="B36" s="106" t="str">
        <f>'Funding 2019'!$K$17</f>
        <v>CGMMITM19002</v>
      </c>
      <c r="C36" s="151">
        <v>5500011802</v>
      </c>
      <c r="D36" s="151"/>
      <c r="E36" s="152" t="s">
        <v>585</v>
      </c>
      <c r="F36" s="287">
        <f>12000000*0</f>
        <v>0</v>
      </c>
      <c r="G36" s="287">
        <f>12000000*0</f>
        <v>0</v>
      </c>
      <c r="H36" s="166">
        <f>12000000*0</f>
        <v>0</v>
      </c>
      <c r="J36" s="154">
        <f t="shared" si="24"/>
        <v>0</v>
      </c>
      <c r="K36" s="154">
        <f t="shared" si="25"/>
        <v>0</v>
      </c>
      <c r="L36" s="154">
        <f t="shared" si="26"/>
        <v>0</v>
      </c>
      <c r="N36" s="152" t="s">
        <v>176</v>
      </c>
      <c r="O36" s="155">
        <v>43714</v>
      </c>
      <c r="P36" s="155">
        <v>43670</v>
      </c>
      <c r="Q36" s="156">
        <f t="shared" si="20"/>
        <v>43647</v>
      </c>
      <c r="R36" s="155">
        <v>43738</v>
      </c>
      <c r="S36" s="156">
        <f t="shared" si="21"/>
        <v>43709</v>
      </c>
      <c r="T36" s="140" t="str">
        <f t="shared" ca="1" si="1"/>
        <v/>
      </c>
      <c r="U36" s="139" t="str">
        <f t="shared" si="6"/>
        <v/>
      </c>
      <c r="V36" s="139" t="str">
        <f t="shared" si="7"/>
        <v/>
      </c>
      <c r="W36" s="139" t="str">
        <f t="shared" si="8"/>
        <v/>
      </c>
      <c r="X36" s="327"/>
    </row>
    <row r="37" spans="1:24" ht="18.75" x14ac:dyDescent="0.25">
      <c r="A37" s="151">
        <v>5</v>
      </c>
      <c r="B37" s="106" t="str">
        <f>'Funding 2019'!$K$17</f>
        <v>CGMMITM19002</v>
      </c>
      <c r="C37" s="151">
        <v>2100011747</v>
      </c>
      <c r="D37" s="151">
        <v>4500135215</v>
      </c>
      <c r="E37" s="178" t="s">
        <v>623</v>
      </c>
      <c r="F37" s="166">
        <f>48000000*0</f>
        <v>0</v>
      </c>
      <c r="G37" s="287">
        <v>44400000</v>
      </c>
      <c r="H37" s="166"/>
      <c r="J37" s="154">
        <f t="shared" si="24"/>
        <v>0</v>
      </c>
      <c r="K37" s="154">
        <f t="shared" si="25"/>
        <v>2737.0237948465046</v>
      </c>
      <c r="L37" s="154">
        <f t="shared" si="26"/>
        <v>0</v>
      </c>
      <c r="N37" s="152" t="s">
        <v>176</v>
      </c>
      <c r="O37" s="155">
        <v>43770</v>
      </c>
      <c r="P37" s="155">
        <v>43671</v>
      </c>
      <c r="Q37" s="156">
        <f t="shared" si="20"/>
        <v>43647</v>
      </c>
      <c r="R37" s="155"/>
      <c r="S37" s="156" t="str">
        <f t="shared" si="21"/>
        <v/>
      </c>
      <c r="T37" s="140">
        <f t="shared" ca="1" si="1"/>
        <v>3</v>
      </c>
      <c r="U37" s="139" t="str">
        <f t="shared" si="6"/>
        <v/>
      </c>
      <c r="V37" s="139" t="str">
        <f t="shared" si="7"/>
        <v/>
      </c>
      <c r="W37" s="139" t="str">
        <f t="shared" si="8"/>
        <v/>
      </c>
      <c r="X37" s="327"/>
    </row>
    <row r="38" spans="1:24" ht="18.75" x14ac:dyDescent="0.25">
      <c r="A38" s="151">
        <v>6</v>
      </c>
      <c r="B38" s="106" t="str">
        <f>'Funding 2019'!$K$17</f>
        <v>CGMMITM19002</v>
      </c>
      <c r="C38" s="151">
        <v>2100011736</v>
      </c>
      <c r="D38" s="151">
        <v>4500135124</v>
      </c>
      <c r="E38" s="284" t="s">
        <v>588</v>
      </c>
      <c r="F38" s="166">
        <f>352435000*0</f>
        <v>0</v>
      </c>
      <c r="G38" s="287"/>
      <c r="H38" s="403">
        <f>346106000</f>
        <v>346106000</v>
      </c>
      <c r="J38" s="154">
        <f t="shared" si="24"/>
        <v>0</v>
      </c>
      <c r="K38" s="154">
        <f t="shared" si="25"/>
        <v>0</v>
      </c>
      <c r="L38" s="154">
        <f t="shared" si="26"/>
        <v>21335.593638269016</v>
      </c>
      <c r="N38" s="152" t="s">
        <v>176</v>
      </c>
      <c r="O38" s="155">
        <v>43739</v>
      </c>
      <c r="P38" s="155">
        <v>43670</v>
      </c>
      <c r="Q38" s="156">
        <f t="shared" si="20"/>
        <v>43647</v>
      </c>
      <c r="R38" s="155">
        <v>43728</v>
      </c>
      <c r="S38" s="156">
        <f t="shared" si="21"/>
        <v>43709</v>
      </c>
      <c r="T38" s="140" t="str">
        <f t="shared" ca="1" si="1"/>
        <v/>
      </c>
      <c r="U38" s="139" t="str">
        <f t="shared" si="6"/>
        <v/>
      </c>
      <c r="V38" s="139" t="str">
        <f t="shared" si="7"/>
        <v/>
      </c>
      <c r="W38" s="139" t="str">
        <f t="shared" si="8"/>
        <v/>
      </c>
      <c r="X38" s="327"/>
    </row>
    <row r="39" spans="1:24" ht="18.75" x14ac:dyDescent="0.25">
      <c r="A39" s="151">
        <v>7</v>
      </c>
      <c r="B39" s="106" t="str">
        <f>'Funding 2019'!$K$17</f>
        <v>CGMMITM19002</v>
      </c>
      <c r="C39" s="151">
        <v>2100011777</v>
      </c>
      <c r="D39" s="151">
        <v>4500135227</v>
      </c>
      <c r="E39" s="152" t="s">
        <v>733</v>
      </c>
      <c r="F39" s="166">
        <f>50300000*0</f>
        <v>0</v>
      </c>
      <c r="G39" s="287"/>
      <c r="H39" s="403">
        <v>47500000</v>
      </c>
      <c r="J39" s="154">
        <f t="shared" si="24"/>
        <v>0</v>
      </c>
      <c r="K39" s="154">
        <f t="shared" si="25"/>
        <v>0</v>
      </c>
      <c r="L39" s="154">
        <f t="shared" si="26"/>
        <v>2928.122303045247</v>
      </c>
      <c r="N39" s="152" t="s">
        <v>176</v>
      </c>
      <c r="O39" s="155">
        <v>43724</v>
      </c>
      <c r="P39" s="155">
        <v>43692</v>
      </c>
      <c r="Q39" s="156">
        <f t="shared" si="20"/>
        <v>43678</v>
      </c>
      <c r="R39" s="155">
        <v>43721</v>
      </c>
      <c r="S39" s="156">
        <f t="shared" si="21"/>
        <v>43709</v>
      </c>
      <c r="T39" s="140" t="str">
        <f t="shared" ca="1" si="1"/>
        <v/>
      </c>
      <c r="U39" s="139" t="str">
        <f t="shared" si="6"/>
        <v/>
      </c>
      <c r="V39" s="139" t="str">
        <f t="shared" si="7"/>
        <v/>
      </c>
      <c r="W39" s="139" t="str">
        <f t="shared" si="8"/>
        <v/>
      </c>
      <c r="X39" s="327"/>
    </row>
    <row r="40" spans="1:24" ht="18.75" x14ac:dyDescent="0.25">
      <c r="A40" s="151">
        <v>8</v>
      </c>
      <c r="B40" s="106" t="str">
        <f>'Funding 2019'!$K$17</f>
        <v>CGMMITM19002</v>
      </c>
      <c r="C40" s="151">
        <v>5500011904</v>
      </c>
      <c r="D40" s="151"/>
      <c r="E40" s="152" t="s">
        <v>735</v>
      </c>
      <c r="F40" s="287">
        <v>6400000</v>
      </c>
      <c r="G40" s="166"/>
      <c r="H40" s="166"/>
      <c r="J40" s="154">
        <f t="shared" si="24"/>
        <v>394.52595241030701</v>
      </c>
      <c r="K40" s="154">
        <f t="shared" si="25"/>
        <v>0</v>
      </c>
      <c r="L40" s="154">
        <f t="shared" si="26"/>
        <v>0</v>
      </c>
      <c r="N40" s="152" t="s">
        <v>176</v>
      </c>
      <c r="O40" s="155">
        <v>43783</v>
      </c>
      <c r="P40" s="155">
        <v>43692</v>
      </c>
      <c r="Q40" s="156">
        <f t="shared" si="20"/>
        <v>43678</v>
      </c>
      <c r="R40" s="155"/>
      <c r="S40" s="156" t="str">
        <f t="shared" si="21"/>
        <v/>
      </c>
      <c r="T40" s="140" t="str">
        <f t="shared" ca="1" si="1"/>
        <v/>
      </c>
      <c r="U40" s="139" t="str">
        <f t="shared" si="6"/>
        <v/>
      </c>
      <c r="V40" s="139" t="str">
        <f t="shared" si="7"/>
        <v/>
      </c>
      <c r="W40" s="139" t="str">
        <f t="shared" si="8"/>
        <v/>
      </c>
      <c r="X40" s="327"/>
    </row>
    <row r="41" spans="1:24" ht="18.75" x14ac:dyDescent="0.25">
      <c r="A41" s="151">
        <v>9</v>
      </c>
      <c r="B41" s="106" t="s">
        <v>144</v>
      </c>
      <c r="C41" s="151">
        <v>5500012029</v>
      </c>
      <c r="D41" s="151"/>
      <c r="E41" s="152" t="s">
        <v>584</v>
      </c>
      <c r="F41" s="287">
        <v>11875000</v>
      </c>
      <c r="G41" s="166"/>
      <c r="H41" s="166"/>
      <c r="J41" s="154">
        <f t="shared" si="24"/>
        <v>732.03057576131175</v>
      </c>
      <c r="K41" s="154">
        <f t="shared" si="25"/>
        <v>0</v>
      </c>
      <c r="L41" s="154">
        <f t="shared" si="26"/>
        <v>0</v>
      </c>
      <c r="N41" s="152" t="s">
        <v>176</v>
      </c>
      <c r="O41" s="155">
        <v>43756</v>
      </c>
      <c r="P41" s="155">
        <v>43763</v>
      </c>
      <c r="Q41" s="156">
        <f t="shared" si="20"/>
        <v>43739</v>
      </c>
      <c r="R41" s="155"/>
      <c r="S41" s="156" t="str">
        <f t="shared" si="21"/>
        <v/>
      </c>
      <c r="T41" s="140">
        <f t="shared" ca="1" si="1"/>
        <v>17</v>
      </c>
      <c r="U41" s="139" t="str">
        <f t="shared" si="6"/>
        <v/>
      </c>
      <c r="V41" s="139" t="str">
        <f t="shared" si="7"/>
        <v/>
      </c>
      <c r="W41" s="139" t="str">
        <f t="shared" si="8"/>
        <v/>
      </c>
      <c r="X41" s="327"/>
    </row>
    <row r="42" spans="1:24" ht="18.75" x14ac:dyDescent="0.25">
      <c r="A42" s="151">
        <v>10</v>
      </c>
      <c r="B42" s="106" t="str">
        <f>'Funding 2019'!$K$17</f>
        <v>CGMMITM19002</v>
      </c>
      <c r="C42" s="151">
        <v>2100011805</v>
      </c>
      <c r="D42" s="151">
        <v>4500135324</v>
      </c>
      <c r="E42" s="152" t="s">
        <v>838</v>
      </c>
      <c r="F42" s="153"/>
      <c r="G42" s="153">
        <v>86640000</v>
      </c>
      <c r="H42" s="153"/>
      <c r="J42" s="154">
        <f t="shared" si="24"/>
        <v>0</v>
      </c>
      <c r="K42" s="154">
        <f t="shared" si="25"/>
        <v>5340.8950807545307</v>
      </c>
      <c r="L42" s="154">
        <f t="shared" si="26"/>
        <v>0</v>
      </c>
      <c r="N42" s="152" t="s">
        <v>176</v>
      </c>
      <c r="O42" s="155">
        <v>43754</v>
      </c>
      <c r="P42" s="155">
        <v>43724</v>
      </c>
      <c r="Q42" s="156">
        <f t="shared" si="20"/>
        <v>43709</v>
      </c>
      <c r="R42" s="155"/>
      <c r="S42" s="156" t="str">
        <f t="shared" si="21"/>
        <v/>
      </c>
      <c r="T42" s="140">
        <f t="shared" ca="1" si="1"/>
        <v>19</v>
      </c>
      <c r="U42" s="139" t="str">
        <f t="shared" si="6"/>
        <v/>
      </c>
      <c r="V42" s="139" t="str">
        <f t="shared" si="7"/>
        <v/>
      </c>
      <c r="W42" s="139" t="str">
        <f t="shared" si="8"/>
        <v/>
      </c>
      <c r="X42" s="327"/>
    </row>
    <row r="43" spans="1:24" ht="18.75" x14ac:dyDescent="0.25">
      <c r="A43" s="157"/>
      <c r="B43" s="158"/>
      <c r="C43" s="157"/>
      <c r="D43" s="157"/>
      <c r="E43" s="159"/>
      <c r="F43" s="160">
        <f>SUM(F32:F42)</f>
        <v>18275000</v>
      </c>
      <c r="G43" s="160">
        <f>SUM(G32:G42)</f>
        <v>131040000</v>
      </c>
      <c r="H43" s="160">
        <f>SUM(H32:H42)</f>
        <v>456976000</v>
      </c>
      <c r="J43" s="161">
        <f>F43/$J$2</f>
        <v>1126.5565281716188</v>
      </c>
      <c r="K43" s="161">
        <f>G43/$J$2</f>
        <v>8077.9188756010353</v>
      </c>
      <c r="L43" s="161">
        <f>H43/$J$2</f>
        <v>28170.139316976944</v>
      </c>
      <c r="N43" s="159"/>
      <c r="O43" s="162"/>
      <c r="P43" s="162"/>
      <c r="Q43" s="156" t="str">
        <f t="shared" si="20"/>
        <v/>
      </c>
      <c r="R43" s="162"/>
      <c r="S43" s="156" t="str">
        <f t="shared" si="21"/>
        <v/>
      </c>
      <c r="T43" s="140" t="str">
        <f t="shared" ca="1" si="1"/>
        <v/>
      </c>
      <c r="U43" s="139" t="str">
        <f t="shared" si="6"/>
        <v/>
      </c>
      <c r="V43" s="139" t="str">
        <f t="shared" si="7"/>
        <v/>
      </c>
      <c r="W43" s="139" t="str">
        <f t="shared" si="8"/>
        <v/>
      </c>
      <c r="X43" s="327"/>
    </row>
    <row r="44" spans="1:24" ht="18.75" x14ac:dyDescent="0.25">
      <c r="Q44" s="156" t="str">
        <f t="shared" si="20"/>
        <v/>
      </c>
      <c r="S44" s="156" t="str">
        <f t="shared" si="21"/>
        <v/>
      </c>
      <c r="T44" s="140" t="str">
        <f t="shared" ca="1" si="1"/>
        <v/>
      </c>
      <c r="U44" s="139" t="str">
        <f t="shared" si="6"/>
        <v/>
      </c>
      <c r="V44" s="139" t="str">
        <f t="shared" si="7"/>
        <v/>
      </c>
      <c r="W44" s="139" t="str">
        <f t="shared" si="8"/>
        <v/>
      </c>
      <c r="X44" s="327"/>
    </row>
    <row r="45" spans="1:24" ht="18.75" x14ac:dyDescent="0.25">
      <c r="A45" s="163" t="str">
        <f>'Funding 2019'!L39</f>
        <v>GENERAL-Maintenance Wanaherang</v>
      </c>
      <c r="B45" s="113" t="str">
        <f>'Funding 2019'!L20</f>
        <v>Replacement/Upgrading/Improvement of Plant Infrastructure Facility, WWTP Facility &amp; Infrastructure, Roof/Clading/Steel Structure/Wall/Floor for Building, Cleaning Equipment Facility, fences around the factory for safety and security, Fuel Station Facility</v>
      </c>
      <c r="C45" s="147"/>
      <c r="D45" s="147"/>
      <c r="E45" s="148"/>
      <c r="F45" s="148"/>
      <c r="G45" s="148"/>
      <c r="H45" s="148"/>
      <c r="J45" s="149">
        <f t="shared" ref="J45:L46" si="27">F45/$J$2</f>
        <v>0</v>
      </c>
      <c r="K45" s="149">
        <f t="shared" si="27"/>
        <v>0</v>
      </c>
      <c r="L45" s="149">
        <f t="shared" si="27"/>
        <v>0</v>
      </c>
      <c r="N45" s="148"/>
      <c r="O45" s="150"/>
      <c r="P45" s="150"/>
      <c r="Q45" s="156" t="str">
        <f t="shared" si="20"/>
        <v/>
      </c>
      <c r="R45" s="150"/>
      <c r="S45" s="156" t="str">
        <f t="shared" si="21"/>
        <v/>
      </c>
      <c r="T45" s="140" t="str">
        <f t="shared" ca="1" si="1"/>
        <v/>
      </c>
      <c r="U45" s="139" t="str">
        <f t="shared" si="6"/>
        <v/>
      </c>
      <c r="V45" s="139" t="str">
        <f t="shared" si="7"/>
        <v/>
      </c>
      <c r="W45" s="139" t="str">
        <f t="shared" si="8"/>
        <v/>
      </c>
      <c r="X45" s="327"/>
    </row>
    <row r="46" spans="1:24" ht="18.75" x14ac:dyDescent="0.25">
      <c r="A46" s="151">
        <v>1</v>
      </c>
      <c r="B46" s="106" t="str">
        <f>'Funding 2019'!$K$20</f>
        <v>CGMMMTW19001</v>
      </c>
      <c r="C46" s="151">
        <v>2100011556</v>
      </c>
      <c r="D46" s="151">
        <v>4500134592</v>
      </c>
      <c r="E46" s="167" t="s">
        <v>321</v>
      </c>
      <c r="F46" s="166">
        <f>179996490*0</f>
        <v>0</v>
      </c>
      <c r="G46" s="166">
        <f>175000000*0</f>
        <v>0</v>
      </c>
      <c r="H46" s="166">
        <v>175000000</v>
      </c>
      <c r="J46" s="154">
        <f t="shared" si="27"/>
        <v>0</v>
      </c>
      <c r="K46" s="154">
        <f t="shared" si="27"/>
        <v>0</v>
      </c>
      <c r="L46" s="154">
        <f t="shared" si="27"/>
        <v>10787.819011219332</v>
      </c>
      <c r="N46" s="152" t="s">
        <v>177</v>
      </c>
      <c r="O46" s="155">
        <v>43588</v>
      </c>
      <c r="P46" s="155">
        <v>43514</v>
      </c>
      <c r="Q46" s="156">
        <f t="shared" si="20"/>
        <v>43497</v>
      </c>
      <c r="R46" s="155">
        <v>43556</v>
      </c>
      <c r="S46" s="156">
        <f t="shared" si="21"/>
        <v>43556</v>
      </c>
      <c r="T46" s="140" t="str">
        <f t="shared" ca="1" si="1"/>
        <v/>
      </c>
      <c r="U46" s="139" t="str">
        <f t="shared" si="6"/>
        <v/>
      </c>
      <c r="V46" s="139" t="str">
        <f t="shared" si="7"/>
        <v/>
      </c>
      <c r="W46" s="139" t="str">
        <f t="shared" si="8"/>
        <v/>
      </c>
      <c r="X46" s="327"/>
    </row>
    <row r="47" spans="1:24" ht="18.75" x14ac:dyDescent="0.25">
      <c r="A47" s="151">
        <v>2</v>
      </c>
      <c r="B47" s="106" t="str">
        <f>'Funding 2019'!$K$20</f>
        <v>CGMMMTW19001</v>
      </c>
      <c r="C47" s="151">
        <v>2100011557</v>
      </c>
      <c r="D47" s="151">
        <v>4500134653</v>
      </c>
      <c r="E47" s="167" t="s">
        <v>322</v>
      </c>
      <c r="F47" s="166">
        <f>99284250*0</f>
        <v>0</v>
      </c>
      <c r="G47" s="166">
        <f>99000000*0</f>
        <v>0</v>
      </c>
      <c r="H47" s="166">
        <v>99000000</v>
      </c>
      <c r="J47" s="154">
        <f t="shared" ref="J47:J57" si="28">F47/$J$2</f>
        <v>0</v>
      </c>
      <c r="K47" s="154">
        <f t="shared" ref="K47:K57" si="29">G47/$J$2</f>
        <v>0</v>
      </c>
      <c r="L47" s="154">
        <f t="shared" ref="L47:L57" si="30">H47/$J$2</f>
        <v>6102.8233263469365</v>
      </c>
      <c r="N47" s="152" t="s">
        <v>177</v>
      </c>
      <c r="O47" s="155">
        <v>43588</v>
      </c>
      <c r="P47" s="155">
        <v>43514</v>
      </c>
      <c r="Q47" s="156">
        <f t="shared" si="20"/>
        <v>43497</v>
      </c>
      <c r="R47" s="155">
        <v>43556</v>
      </c>
      <c r="S47" s="156">
        <f t="shared" si="21"/>
        <v>43556</v>
      </c>
      <c r="T47" s="140" t="str">
        <f t="shared" ca="1" si="1"/>
        <v/>
      </c>
      <c r="U47" s="139" t="str">
        <f t="shared" si="6"/>
        <v/>
      </c>
      <c r="V47" s="139" t="str">
        <f t="shared" si="7"/>
        <v/>
      </c>
      <c r="W47" s="139" t="str">
        <f t="shared" si="8"/>
        <v/>
      </c>
      <c r="X47" s="327"/>
    </row>
    <row r="48" spans="1:24" ht="18.75" x14ac:dyDescent="0.25">
      <c r="A48" s="151">
        <v>3</v>
      </c>
      <c r="B48" s="106" t="str">
        <f>'Funding 2019'!$K$20</f>
        <v>CGMMMTW19001</v>
      </c>
      <c r="C48" s="151">
        <v>2100011563</v>
      </c>
      <c r="D48" s="151">
        <v>4500134576</v>
      </c>
      <c r="E48" s="167" t="s">
        <v>329</v>
      </c>
      <c r="F48" s="166">
        <f>150000000*0</f>
        <v>0</v>
      </c>
      <c r="G48" s="166">
        <f>150000000*0</f>
        <v>0</v>
      </c>
      <c r="H48" s="166">
        <f>150000000</f>
        <v>150000000</v>
      </c>
      <c r="J48" s="154">
        <f t="shared" si="28"/>
        <v>0</v>
      </c>
      <c r="K48" s="154">
        <f t="shared" si="29"/>
        <v>0</v>
      </c>
      <c r="L48" s="154">
        <f t="shared" si="30"/>
        <v>9246.7020096165706</v>
      </c>
      <c r="N48" s="152" t="s">
        <v>243</v>
      </c>
      <c r="O48" s="155">
        <v>43616</v>
      </c>
      <c r="P48" s="155">
        <v>43515</v>
      </c>
      <c r="Q48" s="156">
        <f t="shared" si="20"/>
        <v>43497</v>
      </c>
      <c r="R48" s="155">
        <v>43617</v>
      </c>
      <c r="S48" s="156">
        <f t="shared" si="21"/>
        <v>43617</v>
      </c>
      <c r="T48" s="140" t="str">
        <f t="shared" ca="1" si="1"/>
        <v/>
      </c>
      <c r="U48" s="139" t="str">
        <f t="shared" si="6"/>
        <v/>
      </c>
      <c r="V48" s="139" t="str">
        <f t="shared" si="7"/>
        <v/>
      </c>
      <c r="W48" s="139" t="str">
        <f t="shared" si="8"/>
        <v/>
      </c>
      <c r="X48" s="327"/>
    </row>
    <row r="49" spans="1:25" ht="18.75" x14ac:dyDescent="0.25">
      <c r="A49" s="151">
        <v>4</v>
      </c>
      <c r="B49" s="106" t="str">
        <f>'Funding 2019'!$K$20</f>
        <v>CGMMMTW19001</v>
      </c>
      <c r="C49" s="151">
        <v>2100011615</v>
      </c>
      <c r="D49" s="151">
        <v>4500134750</v>
      </c>
      <c r="E49" s="167" t="s">
        <v>369</v>
      </c>
      <c r="F49" s="166"/>
      <c r="G49" s="166">
        <f>79500000*0</f>
        <v>0</v>
      </c>
      <c r="H49" s="166">
        <v>79500000</v>
      </c>
      <c r="J49" s="154">
        <f t="shared" si="28"/>
        <v>0</v>
      </c>
      <c r="K49" s="154">
        <f t="shared" si="29"/>
        <v>0</v>
      </c>
      <c r="L49" s="154">
        <f t="shared" si="30"/>
        <v>4900.7520650967817</v>
      </c>
      <c r="N49" s="152" t="s">
        <v>243</v>
      </c>
      <c r="O49" s="155">
        <v>43616</v>
      </c>
      <c r="P49" s="155">
        <v>43566</v>
      </c>
      <c r="Q49" s="156">
        <f t="shared" si="20"/>
        <v>43556</v>
      </c>
      <c r="R49" s="155">
        <v>43586</v>
      </c>
      <c r="S49" s="156">
        <f t="shared" si="21"/>
        <v>43586</v>
      </c>
      <c r="T49" s="140" t="str">
        <f t="shared" ca="1" si="1"/>
        <v/>
      </c>
      <c r="U49" s="139" t="str">
        <f t="shared" si="6"/>
        <v/>
      </c>
      <c r="V49" s="139" t="str">
        <f t="shared" si="7"/>
        <v/>
      </c>
      <c r="W49" s="139" t="str">
        <f t="shared" si="8"/>
        <v/>
      </c>
      <c r="X49" s="327"/>
    </row>
    <row r="50" spans="1:25" ht="18.75" x14ac:dyDescent="0.25">
      <c r="A50" s="151">
        <v>5</v>
      </c>
      <c r="B50" s="106" t="str">
        <f>'Funding 2019'!$K$20</f>
        <v>CGMMMTW19001</v>
      </c>
      <c r="C50" s="151">
        <v>2100011632</v>
      </c>
      <c r="D50" s="151">
        <v>4500134790</v>
      </c>
      <c r="E50" s="167" t="s">
        <v>400</v>
      </c>
      <c r="F50" s="166">
        <f>23548000*0</f>
        <v>0</v>
      </c>
      <c r="G50" s="166"/>
      <c r="H50" s="166">
        <v>23548000</v>
      </c>
      <c r="J50" s="154">
        <f t="shared" si="28"/>
        <v>0</v>
      </c>
      <c r="K50" s="154">
        <f t="shared" si="29"/>
        <v>0</v>
      </c>
      <c r="L50" s="154">
        <f t="shared" si="30"/>
        <v>1451.6089261496734</v>
      </c>
      <c r="N50" s="152" t="s">
        <v>243</v>
      </c>
      <c r="O50" s="155">
        <v>43609</v>
      </c>
      <c r="P50" s="155">
        <v>43577</v>
      </c>
      <c r="Q50" s="156">
        <f t="shared" si="20"/>
        <v>43556</v>
      </c>
      <c r="R50" s="155">
        <v>43586</v>
      </c>
      <c r="S50" s="156">
        <f t="shared" si="21"/>
        <v>43586</v>
      </c>
      <c r="T50" s="140" t="str">
        <f t="shared" ca="1" si="1"/>
        <v/>
      </c>
      <c r="U50" s="139" t="str">
        <f t="shared" si="6"/>
        <v/>
      </c>
      <c r="V50" s="139" t="str">
        <f t="shared" si="7"/>
        <v/>
      </c>
      <c r="W50" s="139" t="str">
        <f t="shared" si="8"/>
        <v/>
      </c>
      <c r="X50" s="327"/>
    </row>
    <row r="51" spans="1:25" ht="18.75" x14ac:dyDescent="0.25">
      <c r="A51" s="151">
        <v>6</v>
      </c>
      <c r="B51" s="106" t="str">
        <f>'Funding 2019'!$K$20</f>
        <v>CGMMMTW19001</v>
      </c>
      <c r="C51" s="151">
        <v>2100011638</v>
      </c>
      <c r="D51" s="151">
        <v>4500134772</v>
      </c>
      <c r="E51" s="167" t="s">
        <v>436</v>
      </c>
      <c r="F51" s="166"/>
      <c r="G51" s="166">
        <f>290000000*0</f>
        <v>0</v>
      </c>
      <c r="H51" s="166">
        <f>290000000</f>
        <v>290000000</v>
      </c>
      <c r="J51" s="154">
        <f t="shared" si="28"/>
        <v>0</v>
      </c>
      <c r="K51" s="154">
        <f t="shared" si="29"/>
        <v>0</v>
      </c>
      <c r="L51" s="154">
        <f t="shared" si="30"/>
        <v>17876.957218592037</v>
      </c>
      <c r="N51" s="152" t="s">
        <v>365</v>
      </c>
      <c r="O51" s="155">
        <v>43639</v>
      </c>
      <c r="P51" s="155">
        <v>43579</v>
      </c>
      <c r="Q51" s="156">
        <f t="shared" si="20"/>
        <v>43556</v>
      </c>
      <c r="R51" s="155">
        <v>43647</v>
      </c>
      <c r="S51" s="156">
        <f t="shared" si="21"/>
        <v>43647</v>
      </c>
      <c r="T51" s="140" t="str">
        <f t="shared" ca="1" si="1"/>
        <v/>
      </c>
      <c r="U51" s="139" t="str">
        <f t="shared" si="6"/>
        <v/>
      </c>
      <c r="V51" s="139" t="str">
        <f t="shared" si="7"/>
        <v/>
      </c>
      <c r="W51" s="139" t="str">
        <f t="shared" si="8"/>
        <v/>
      </c>
      <c r="X51" s="327"/>
    </row>
    <row r="52" spans="1:25" ht="18.75" x14ac:dyDescent="0.25">
      <c r="A52" s="151">
        <v>7</v>
      </c>
      <c r="B52" s="106" t="str">
        <f>'Funding 2019'!$K$20</f>
        <v>CGMMMTW19001</v>
      </c>
      <c r="C52" s="151">
        <v>2100011639</v>
      </c>
      <c r="D52" s="151">
        <v>4500134838</v>
      </c>
      <c r="E52" s="167" t="s">
        <v>447</v>
      </c>
      <c r="F52" s="166"/>
      <c r="G52" s="166">
        <f>87364000*0</f>
        <v>0</v>
      </c>
      <c r="H52" s="166">
        <f>87364000</f>
        <v>87364000</v>
      </c>
      <c r="J52" s="154">
        <f t="shared" si="28"/>
        <v>0</v>
      </c>
      <c r="K52" s="154">
        <f t="shared" si="29"/>
        <v>0</v>
      </c>
      <c r="L52" s="154">
        <f t="shared" si="30"/>
        <v>5385.5258291209466</v>
      </c>
      <c r="N52" s="152" t="s">
        <v>365</v>
      </c>
      <c r="O52" s="155">
        <v>43639</v>
      </c>
      <c r="P52" s="155">
        <v>43598</v>
      </c>
      <c r="Q52" s="156">
        <f t="shared" si="20"/>
        <v>43586</v>
      </c>
      <c r="R52" s="155">
        <v>43686</v>
      </c>
      <c r="S52" s="156">
        <f t="shared" si="21"/>
        <v>43678</v>
      </c>
      <c r="T52" s="140" t="str">
        <f t="shared" ca="1" si="1"/>
        <v/>
      </c>
      <c r="U52" s="139" t="str">
        <f t="shared" si="6"/>
        <v/>
      </c>
      <c r="V52" s="139" t="str">
        <f t="shared" si="7"/>
        <v/>
      </c>
      <c r="W52" s="139" t="str">
        <f t="shared" si="8"/>
        <v/>
      </c>
      <c r="X52" s="327"/>
    </row>
    <row r="53" spans="1:25" ht="18.75" x14ac:dyDescent="0.25">
      <c r="A53" s="151">
        <v>8</v>
      </c>
      <c r="B53" s="106" t="str">
        <f>'Funding 2019'!$K$20</f>
        <v>CGMMMTW19001</v>
      </c>
      <c r="C53" s="151"/>
      <c r="D53" s="151"/>
      <c r="E53" s="152"/>
      <c r="F53" s="166"/>
      <c r="G53" s="166"/>
      <c r="H53" s="166"/>
      <c r="J53" s="154">
        <f t="shared" si="28"/>
        <v>0</v>
      </c>
      <c r="K53" s="154">
        <f t="shared" si="29"/>
        <v>0</v>
      </c>
      <c r="L53" s="154">
        <f t="shared" si="30"/>
        <v>0</v>
      </c>
      <c r="N53" s="152"/>
      <c r="O53" s="155"/>
      <c r="P53" s="155"/>
      <c r="Q53" s="156" t="str">
        <f t="shared" si="20"/>
        <v/>
      </c>
      <c r="R53" s="155"/>
      <c r="S53" s="156" t="str">
        <f t="shared" si="21"/>
        <v/>
      </c>
      <c r="T53" s="140" t="str">
        <f t="shared" ca="1" si="1"/>
        <v/>
      </c>
      <c r="U53" s="139" t="str">
        <f t="shared" si="6"/>
        <v/>
      </c>
      <c r="V53" s="139" t="str">
        <f t="shared" si="7"/>
        <v/>
      </c>
      <c r="W53" s="139" t="str">
        <f t="shared" si="8"/>
        <v/>
      </c>
      <c r="X53" s="327"/>
    </row>
    <row r="54" spans="1:25" ht="18.75" x14ac:dyDescent="0.25">
      <c r="A54" s="151">
        <v>9</v>
      </c>
      <c r="B54" s="106" t="str">
        <f>'Funding 2019'!$K$20</f>
        <v>CGMMMTW19001</v>
      </c>
      <c r="C54" s="151"/>
      <c r="D54" s="151"/>
      <c r="E54" s="152"/>
      <c r="F54" s="166"/>
      <c r="G54" s="166"/>
      <c r="H54" s="166"/>
      <c r="J54" s="154">
        <f t="shared" si="28"/>
        <v>0</v>
      </c>
      <c r="K54" s="154">
        <f t="shared" si="29"/>
        <v>0</v>
      </c>
      <c r="L54" s="154">
        <f t="shared" si="30"/>
        <v>0</v>
      </c>
      <c r="N54" s="152"/>
      <c r="O54" s="155"/>
      <c r="P54" s="155"/>
      <c r="Q54" s="156" t="str">
        <f t="shared" si="20"/>
        <v/>
      </c>
      <c r="R54" s="155"/>
      <c r="S54" s="156" t="str">
        <f t="shared" si="21"/>
        <v/>
      </c>
      <c r="T54" s="140" t="str">
        <f t="shared" ca="1" si="1"/>
        <v/>
      </c>
      <c r="U54" s="139" t="str">
        <f t="shared" si="6"/>
        <v/>
      </c>
      <c r="V54" s="139" t="str">
        <f t="shared" si="7"/>
        <v/>
      </c>
      <c r="W54" s="139" t="str">
        <f t="shared" si="8"/>
        <v/>
      </c>
      <c r="X54" s="327"/>
    </row>
    <row r="55" spans="1:25" ht="18.75" x14ac:dyDescent="0.25">
      <c r="A55" s="151">
        <v>10</v>
      </c>
      <c r="B55" s="106" t="str">
        <f>'Funding 2019'!$K$20</f>
        <v>CGMMMTW19001</v>
      </c>
      <c r="C55" s="151"/>
      <c r="D55" s="151"/>
      <c r="E55" s="152"/>
      <c r="F55" s="166"/>
      <c r="G55" s="166"/>
      <c r="H55" s="166"/>
      <c r="J55" s="154">
        <f t="shared" si="28"/>
        <v>0</v>
      </c>
      <c r="K55" s="154">
        <f t="shared" si="29"/>
        <v>0</v>
      </c>
      <c r="L55" s="154">
        <f t="shared" si="30"/>
        <v>0</v>
      </c>
      <c r="N55" s="152"/>
      <c r="O55" s="155"/>
      <c r="P55" s="155"/>
      <c r="Q55" s="156" t="str">
        <f t="shared" si="20"/>
        <v/>
      </c>
      <c r="R55" s="155"/>
      <c r="S55" s="156" t="str">
        <f t="shared" si="21"/>
        <v/>
      </c>
      <c r="T55" s="140" t="str">
        <f t="shared" ca="1" si="1"/>
        <v/>
      </c>
      <c r="U55" s="139" t="str">
        <f t="shared" si="6"/>
        <v/>
      </c>
      <c r="V55" s="139" t="str">
        <f t="shared" si="7"/>
        <v/>
      </c>
      <c r="W55" s="139" t="str">
        <f t="shared" si="8"/>
        <v/>
      </c>
      <c r="X55" s="327"/>
    </row>
    <row r="56" spans="1:25" ht="18.75" x14ac:dyDescent="0.25">
      <c r="A56" s="151">
        <v>11</v>
      </c>
      <c r="B56" s="106" t="str">
        <f>'Funding 2019'!$K$20</f>
        <v>CGMMMTW19001</v>
      </c>
      <c r="C56" s="151"/>
      <c r="D56" s="151"/>
      <c r="E56" s="152"/>
      <c r="F56" s="166"/>
      <c r="G56" s="166"/>
      <c r="H56" s="166"/>
      <c r="J56" s="154">
        <f t="shared" si="28"/>
        <v>0</v>
      </c>
      <c r="K56" s="154">
        <f t="shared" si="29"/>
        <v>0</v>
      </c>
      <c r="L56" s="154">
        <f t="shared" si="30"/>
        <v>0</v>
      </c>
      <c r="N56" s="152"/>
      <c r="O56" s="155"/>
      <c r="P56" s="155"/>
      <c r="Q56" s="156" t="str">
        <f t="shared" si="20"/>
        <v/>
      </c>
      <c r="R56" s="155"/>
      <c r="S56" s="156" t="str">
        <f t="shared" si="21"/>
        <v/>
      </c>
      <c r="T56" s="140" t="str">
        <f t="shared" ca="1" si="1"/>
        <v/>
      </c>
      <c r="U56" s="139" t="str">
        <f t="shared" si="6"/>
        <v/>
      </c>
      <c r="V56" s="139" t="str">
        <f t="shared" si="7"/>
        <v/>
      </c>
      <c r="W56" s="139" t="str">
        <f t="shared" si="8"/>
        <v/>
      </c>
      <c r="X56" s="327"/>
    </row>
    <row r="57" spans="1:25" ht="18.75" x14ac:dyDescent="0.25">
      <c r="A57" s="151">
        <v>12</v>
      </c>
      <c r="B57" s="106" t="str">
        <f>'Funding 2019'!$K$20</f>
        <v>CGMMMTW19001</v>
      </c>
      <c r="C57" s="151"/>
      <c r="D57" s="151"/>
      <c r="E57" s="152"/>
      <c r="F57" s="166"/>
      <c r="G57" s="166"/>
      <c r="H57" s="166"/>
      <c r="J57" s="154">
        <f t="shared" si="28"/>
        <v>0</v>
      </c>
      <c r="K57" s="154">
        <f t="shared" si="29"/>
        <v>0</v>
      </c>
      <c r="L57" s="154">
        <f t="shared" si="30"/>
        <v>0</v>
      </c>
      <c r="N57" s="152"/>
      <c r="O57" s="155"/>
      <c r="P57" s="155"/>
      <c r="Q57" s="156" t="str">
        <f t="shared" si="20"/>
        <v/>
      </c>
      <c r="R57" s="155"/>
      <c r="S57" s="156" t="str">
        <f t="shared" si="21"/>
        <v/>
      </c>
      <c r="T57" s="140" t="str">
        <f t="shared" ca="1" si="1"/>
        <v/>
      </c>
      <c r="U57" s="139" t="str">
        <f t="shared" si="6"/>
        <v/>
      </c>
      <c r="V57" s="139" t="str">
        <f t="shared" si="7"/>
        <v/>
      </c>
      <c r="W57" s="139" t="str">
        <f t="shared" si="8"/>
        <v/>
      </c>
      <c r="X57" s="327"/>
    </row>
    <row r="58" spans="1:25" ht="18.75" x14ac:dyDescent="0.25">
      <c r="A58" s="157"/>
      <c r="B58" s="158"/>
      <c r="C58" s="157"/>
      <c r="D58" s="157"/>
      <c r="E58" s="159"/>
      <c r="F58" s="160">
        <f>SUM(F45:F57)</f>
        <v>0</v>
      </c>
      <c r="G58" s="160">
        <f>SUM(G45:G57)</f>
        <v>0</v>
      </c>
      <c r="H58" s="160">
        <f>SUM(H45:H57)</f>
        <v>904412000</v>
      </c>
      <c r="J58" s="161">
        <f>F58/$J$2</f>
        <v>0</v>
      </c>
      <c r="K58" s="161">
        <f>G58/$J$2</f>
        <v>0</v>
      </c>
      <c r="L58" s="161">
        <f>H58/$J$2</f>
        <v>55752.188386142276</v>
      </c>
      <c r="N58" s="159"/>
      <c r="O58" s="162"/>
      <c r="P58" s="162"/>
      <c r="Q58" s="156" t="str">
        <f t="shared" si="20"/>
        <v/>
      </c>
      <c r="R58" s="162"/>
      <c r="S58" s="156" t="str">
        <f t="shared" si="21"/>
        <v/>
      </c>
      <c r="T58" s="140" t="str">
        <f t="shared" ca="1" si="1"/>
        <v/>
      </c>
      <c r="U58" s="139" t="str">
        <f t="shared" si="6"/>
        <v/>
      </c>
      <c r="V58" s="139" t="str">
        <f t="shared" si="7"/>
        <v/>
      </c>
      <c r="W58" s="139" t="str">
        <f t="shared" si="8"/>
        <v/>
      </c>
      <c r="X58" s="327"/>
    </row>
    <row r="59" spans="1:25" ht="18.75" x14ac:dyDescent="0.25">
      <c r="Q59" s="156" t="str">
        <f t="shared" si="20"/>
        <v/>
      </c>
      <c r="S59" s="156" t="str">
        <f t="shared" si="21"/>
        <v/>
      </c>
      <c r="T59" s="140" t="str">
        <f t="shared" ca="1" si="1"/>
        <v/>
      </c>
      <c r="U59" s="139" t="str">
        <f t="shared" si="6"/>
        <v/>
      </c>
      <c r="V59" s="139" t="str">
        <f t="shared" si="7"/>
        <v/>
      </c>
      <c r="W59" s="139" t="str">
        <f t="shared" si="8"/>
        <v/>
      </c>
      <c r="X59" s="327"/>
    </row>
    <row r="60" spans="1:25" ht="18.75" x14ac:dyDescent="0.25">
      <c r="A60" s="163" t="str">
        <f>'Funding 2019'!L39</f>
        <v>GENERAL-Maintenance Wanaherang</v>
      </c>
      <c r="B60" s="113" t="str">
        <f>'Funding 2019'!L28</f>
        <v>Replacement/Upgrading/Overhaule/Additional Genset , Water Management Facility (Absorption/Clean Water), Compressed Air Main Distribution, Mercury or Non LED Lamp to the LED Lamp, Maintenance Equipment, Maintenance Tools, Air Condition Facility,  Carbon Neutral(include Air Circulation Equipment)</v>
      </c>
      <c r="C60" s="147"/>
      <c r="D60" s="147"/>
      <c r="E60" s="148"/>
      <c r="F60" s="148"/>
      <c r="G60" s="148"/>
      <c r="H60" s="148"/>
      <c r="J60" s="149">
        <f t="shared" ref="J60:L61" si="31">F60/$J$2</f>
        <v>0</v>
      </c>
      <c r="K60" s="149">
        <f t="shared" si="31"/>
        <v>0</v>
      </c>
      <c r="L60" s="149">
        <f t="shared" si="31"/>
        <v>0</v>
      </c>
      <c r="N60" s="148"/>
      <c r="O60" s="150"/>
      <c r="P60" s="150"/>
      <c r="Q60" s="156" t="str">
        <f t="shared" si="20"/>
        <v/>
      </c>
      <c r="R60" s="150"/>
      <c r="S60" s="156" t="str">
        <f t="shared" si="21"/>
        <v/>
      </c>
      <c r="T60" s="140" t="str">
        <f t="shared" ca="1" si="1"/>
        <v/>
      </c>
      <c r="U60" s="139" t="str">
        <f t="shared" si="6"/>
        <v/>
      </c>
      <c r="V60" s="139" t="str">
        <f t="shared" si="7"/>
        <v/>
      </c>
      <c r="W60" s="139" t="str">
        <f t="shared" si="8"/>
        <v/>
      </c>
      <c r="X60" s="327"/>
    </row>
    <row r="61" spans="1:25" ht="18.75" x14ac:dyDescent="0.25">
      <c r="A61" s="151">
        <v>1</v>
      </c>
      <c r="B61" s="106" t="str">
        <f>'Funding 2019'!$K$28</f>
        <v>CGMMMTW19002</v>
      </c>
      <c r="C61" s="151">
        <v>5500011186</v>
      </c>
      <c r="D61" s="151"/>
      <c r="E61" s="152" t="s">
        <v>184</v>
      </c>
      <c r="F61" s="166">
        <f>41800000*0</f>
        <v>0</v>
      </c>
      <c r="G61" s="166"/>
      <c r="H61" s="166">
        <v>41800000</v>
      </c>
      <c r="J61" s="154">
        <f t="shared" si="31"/>
        <v>0</v>
      </c>
      <c r="K61" s="154">
        <f t="shared" si="31"/>
        <v>0</v>
      </c>
      <c r="L61" s="154">
        <f t="shared" si="31"/>
        <v>2576.7476266798176</v>
      </c>
      <c r="N61" s="152" t="s">
        <v>185</v>
      </c>
      <c r="O61" s="155">
        <v>43511</v>
      </c>
      <c r="P61" s="155">
        <v>43482</v>
      </c>
      <c r="Q61" s="156">
        <f t="shared" si="20"/>
        <v>43466</v>
      </c>
      <c r="R61" s="155">
        <v>43525</v>
      </c>
      <c r="S61" s="156">
        <f t="shared" si="21"/>
        <v>43525</v>
      </c>
      <c r="T61" s="140" t="str">
        <f t="shared" ca="1" si="1"/>
        <v/>
      </c>
      <c r="U61" s="139" t="str">
        <f t="shared" si="6"/>
        <v/>
      </c>
      <c r="V61" s="139" t="str">
        <f t="shared" si="7"/>
        <v/>
      </c>
      <c r="W61" s="139" t="str">
        <f t="shared" si="8"/>
        <v/>
      </c>
      <c r="X61" s="327"/>
    </row>
    <row r="62" spans="1:25" ht="18.75" x14ac:dyDescent="0.25">
      <c r="A62" s="151">
        <v>2</v>
      </c>
      <c r="B62" s="106" t="str">
        <f>'Funding 2019'!$K$28</f>
        <v>CGMMMTW19002</v>
      </c>
      <c r="C62" s="151">
        <v>5500011199</v>
      </c>
      <c r="D62" s="151"/>
      <c r="E62" s="152" t="s">
        <v>200</v>
      </c>
      <c r="F62" s="166">
        <f>42560000*0</f>
        <v>0</v>
      </c>
      <c r="G62" s="166"/>
      <c r="H62" s="166">
        <v>42560000</v>
      </c>
      <c r="J62" s="154">
        <f t="shared" ref="J62:J79" si="32">F62/$J$2</f>
        <v>0</v>
      </c>
      <c r="K62" s="154">
        <f t="shared" ref="K62:K79" si="33">G62/$J$2</f>
        <v>0</v>
      </c>
      <c r="L62" s="154">
        <f t="shared" ref="L62:L79" si="34">H62/$J$2</f>
        <v>2623.5975835285417</v>
      </c>
      <c r="N62" s="152" t="s">
        <v>201</v>
      </c>
      <c r="O62" s="155">
        <v>43524</v>
      </c>
      <c r="P62" s="155">
        <v>43483</v>
      </c>
      <c r="Q62" s="156">
        <f t="shared" si="20"/>
        <v>43466</v>
      </c>
      <c r="R62" s="155">
        <v>43556</v>
      </c>
      <c r="S62" s="156">
        <f t="shared" si="21"/>
        <v>43556</v>
      </c>
      <c r="T62" s="140" t="str">
        <f t="shared" ca="1" si="1"/>
        <v/>
      </c>
      <c r="U62" s="139" t="str">
        <f t="shared" si="6"/>
        <v/>
      </c>
      <c r="V62" s="139" t="str">
        <f t="shared" si="7"/>
        <v/>
      </c>
      <c r="W62" s="139" t="str">
        <f t="shared" si="8"/>
        <v/>
      </c>
      <c r="X62" s="327"/>
    </row>
    <row r="63" spans="1:25" ht="18.75" x14ac:dyDescent="0.25">
      <c r="A63" s="151">
        <v>3</v>
      </c>
      <c r="B63" s="106" t="str">
        <f>'Funding 2019'!$K$28</f>
        <v>CGMMMTW19002</v>
      </c>
      <c r="C63" s="164">
        <v>5500011304</v>
      </c>
      <c r="D63" s="151"/>
      <c r="E63" s="152" t="s">
        <v>323</v>
      </c>
      <c r="F63" s="166">
        <f>13000000*0</f>
        <v>0</v>
      </c>
      <c r="G63" s="166"/>
      <c r="H63" s="166">
        <v>13000000</v>
      </c>
      <c r="J63" s="154">
        <f t="shared" si="32"/>
        <v>0</v>
      </c>
      <c r="K63" s="154">
        <f t="shared" si="33"/>
        <v>0</v>
      </c>
      <c r="L63" s="154">
        <f t="shared" si="34"/>
        <v>801.38084083343608</v>
      </c>
      <c r="N63" s="152" t="s">
        <v>201</v>
      </c>
      <c r="O63" s="155">
        <v>43584</v>
      </c>
      <c r="P63" s="155">
        <v>43514</v>
      </c>
      <c r="Q63" s="156">
        <f t="shared" si="20"/>
        <v>43497</v>
      </c>
      <c r="R63" s="155">
        <v>43556</v>
      </c>
      <c r="S63" s="156">
        <f t="shared" si="21"/>
        <v>43556</v>
      </c>
      <c r="T63" s="140" t="str">
        <f t="shared" ca="1" si="1"/>
        <v/>
      </c>
      <c r="U63" s="139" t="str">
        <f t="shared" si="6"/>
        <v/>
      </c>
      <c r="V63" s="139" t="str">
        <f t="shared" si="7"/>
        <v/>
      </c>
      <c r="W63" s="139" t="str">
        <f t="shared" si="8"/>
        <v/>
      </c>
      <c r="X63" s="327"/>
    </row>
    <row r="64" spans="1:25" ht="18.75" x14ac:dyDescent="0.25">
      <c r="A64" s="151">
        <v>4</v>
      </c>
      <c r="B64" s="106" t="str">
        <f>'Funding 2019'!$K$28</f>
        <v>CGMMMTW19002</v>
      </c>
      <c r="C64" s="151">
        <v>2100011569</v>
      </c>
      <c r="D64" s="151">
        <v>4500134569</v>
      </c>
      <c r="E64" s="152" t="s">
        <v>330</v>
      </c>
      <c r="F64" s="166">
        <f>300000000*0</f>
        <v>0</v>
      </c>
      <c r="G64" s="166"/>
      <c r="H64" s="166">
        <v>298700000</v>
      </c>
      <c r="J64" s="154">
        <f t="shared" si="32"/>
        <v>0</v>
      </c>
      <c r="K64" s="154">
        <f t="shared" si="33"/>
        <v>0</v>
      </c>
      <c r="L64" s="154">
        <f t="shared" si="34"/>
        <v>18413.265935149797</v>
      </c>
      <c r="N64" s="152" t="s">
        <v>243</v>
      </c>
      <c r="O64" s="155">
        <v>43799</v>
      </c>
      <c r="P64" s="155">
        <v>43516</v>
      </c>
      <c r="Q64" s="156">
        <f t="shared" si="20"/>
        <v>43497</v>
      </c>
      <c r="R64" s="155">
        <v>43766</v>
      </c>
      <c r="S64" s="156">
        <f t="shared" si="21"/>
        <v>43739</v>
      </c>
      <c r="T64" s="140" t="str">
        <f t="shared" ca="1" si="1"/>
        <v/>
      </c>
      <c r="U64" s="139" t="str">
        <f t="shared" si="6"/>
        <v/>
      </c>
      <c r="V64" s="139" t="str">
        <f t="shared" si="7"/>
        <v/>
      </c>
      <c r="W64" s="139" t="str">
        <f t="shared" si="8"/>
        <v/>
      </c>
      <c r="X64" s="327"/>
      <c r="Y64" s="139" t="s">
        <v>784</v>
      </c>
    </row>
    <row r="65" spans="1:24" ht="18.75" x14ac:dyDescent="0.25">
      <c r="A65" s="151">
        <v>5</v>
      </c>
      <c r="B65" s="106" t="str">
        <f>'Funding 2019'!$K$28</f>
        <v>CGMMMTW19002</v>
      </c>
      <c r="C65" s="151">
        <v>2100011574</v>
      </c>
      <c r="D65" s="151">
        <v>4500134688</v>
      </c>
      <c r="E65" s="152" t="s">
        <v>341</v>
      </c>
      <c r="F65" s="166">
        <f>90700000*0</f>
        <v>0</v>
      </c>
      <c r="G65" s="166">
        <f>90700000*0</f>
        <v>0</v>
      </c>
      <c r="H65" s="166">
        <v>90700000</v>
      </c>
      <c r="J65" s="154">
        <f t="shared" si="32"/>
        <v>0</v>
      </c>
      <c r="K65" s="154">
        <f t="shared" si="33"/>
        <v>0</v>
      </c>
      <c r="L65" s="154">
        <f t="shared" si="34"/>
        <v>5591.1724818148195</v>
      </c>
      <c r="N65" s="152" t="s">
        <v>177</v>
      </c>
      <c r="O65" s="155">
        <v>43616</v>
      </c>
      <c r="P65" s="155">
        <v>43516</v>
      </c>
      <c r="Q65" s="156">
        <f t="shared" si="20"/>
        <v>43497</v>
      </c>
      <c r="R65" s="155">
        <v>43617</v>
      </c>
      <c r="S65" s="156">
        <f t="shared" si="21"/>
        <v>43617</v>
      </c>
      <c r="T65" s="140" t="str">
        <f t="shared" ca="1" si="1"/>
        <v/>
      </c>
      <c r="U65" s="139" t="str">
        <f t="shared" si="6"/>
        <v/>
      </c>
      <c r="V65" s="139" t="str">
        <f t="shared" si="7"/>
        <v/>
      </c>
      <c r="W65" s="139" t="str">
        <f t="shared" si="8"/>
        <v/>
      </c>
      <c r="X65" s="327"/>
    </row>
    <row r="66" spans="1:24" ht="18.75" x14ac:dyDescent="0.25">
      <c r="A66" s="151">
        <v>6</v>
      </c>
      <c r="B66" s="106" t="str">
        <f>'Funding 2019'!$K$28</f>
        <v>CGMMMTW19002</v>
      </c>
      <c r="C66" s="151">
        <v>2100011641</v>
      </c>
      <c r="D66" s="151">
        <v>4500134843</v>
      </c>
      <c r="E66" s="152" t="s">
        <v>448</v>
      </c>
      <c r="F66" s="166">
        <f>147500000*0</f>
        <v>0</v>
      </c>
      <c r="G66" s="166">
        <f>134320000*0</f>
        <v>0</v>
      </c>
      <c r="H66" s="166">
        <v>134320000</v>
      </c>
      <c r="J66" s="154">
        <f t="shared" si="32"/>
        <v>0</v>
      </c>
      <c r="K66" s="154">
        <f t="shared" si="33"/>
        <v>0</v>
      </c>
      <c r="L66" s="154">
        <f t="shared" si="34"/>
        <v>8280.1134262113173</v>
      </c>
      <c r="N66" s="152" t="s">
        <v>177</v>
      </c>
      <c r="O66" s="155">
        <v>43651</v>
      </c>
      <c r="P66" s="155">
        <v>43587</v>
      </c>
      <c r="Q66" s="156">
        <f t="shared" si="20"/>
        <v>43586</v>
      </c>
      <c r="R66" s="155">
        <v>43672</v>
      </c>
      <c r="S66" s="156">
        <f t="shared" si="21"/>
        <v>43647</v>
      </c>
      <c r="T66" s="140" t="str">
        <f t="shared" ca="1" si="1"/>
        <v/>
      </c>
      <c r="U66" s="139" t="str">
        <f t="shared" si="6"/>
        <v/>
      </c>
      <c r="V66" s="139" t="str">
        <f t="shared" si="7"/>
        <v/>
      </c>
      <c r="W66" s="139" t="str">
        <f t="shared" si="8"/>
        <v/>
      </c>
      <c r="X66" s="327"/>
    </row>
    <row r="67" spans="1:24" ht="18.75" x14ac:dyDescent="0.25">
      <c r="A67" s="151">
        <v>7</v>
      </c>
      <c r="B67" s="106" t="str">
        <f>'Funding 2019'!$K$28</f>
        <v>CGMMMTW19002</v>
      </c>
      <c r="C67" s="151">
        <v>2100011653</v>
      </c>
      <c r="D67" s="151">
        <v>4500134852</v>
      </c>
      <c r="E67" s="152" t="s">
        <v>449</v>
      </c>
      <c r="F67" s="166">
        <f>130000000*0</f>
        <v>0</v>
      </c>
      <c r="G67" s="166">
        <f>122797000*0</f>
        <v>0</v>
      </c>
      <c r="H67" s="166">
        <f>122797000</f>
        <v>122797000</v>
      </c>
      <c r="J67" s="154">
        <f t="shared" si="32"/>
        <v>0</v>
      </c>
      <c r="K67" s="154">
        <f t="shared" si="33"/>
        <v>0</v>
      </c>
      <c r="L67" s="154">
        <f t="shared" si="34"/>
        <v>7569.7817778325734</v>
      </c>
      <c r="N67" s="152" t="s">
        <v>365</v>
      </c>
      <c r="O67" s="155">
        <v>43646</v>
      </c>
      <c r="P67" s="155">
        <v>43592</v>
      </c>
      <c r="Q67" s="156">
        <f t="shared" si="20"/>
        <v>43586</v>
      </c>
      <c r="R67" s="155">
        <v>43686</v>
      </c>
      <c r="S67" s="156">
        <f t="shared" si="21"/>
        <v>43678</v>
      </c>
      <c r="T67" s="140" t="str">
        <f t="shared" ca="1" si="1"/>
        <v/>
      </c>
      <c r="U67" s="139" t="str">
        <f t="shared" si="6"/>
        <v/>
      </c>
      <c r="V67" s="139" t="str">
        <f t="shared" si="7"/>
        <v/>
      </c>
      <c r="W67" s="139" t="str">
        <f t="shared" si="8"/>
        <v/>
      </c>
      <c r="X67" s="327"/>
    </row>
    <row r="68" spans="1:24" ht="18.75" x14ac:dyDescent="0.25">
      <c r="A68" s="151">
        <v>8</v>
      </c>
      <c r="B68" s="106" t="str">
        <f>'Funding 2019'!$K$28</f>
        <v>CGMMMTW19002</v>
      </c>
      <c r="C68" s="151">
        <v>5500011537</v>
      </c>
      <c r="D68" s="151"/>
      <c r="E68" s="152" t="s">
        <v>450</v>
      </c>
      <c r="F68" s="166">
        <f>10774689*0</f>
        <v>0</v>
      </c>
      <c r="G68" s="166">
        <f>10774689*0</f>
        <v>0</v>
      </c>
      <c r="H68" s="166">
        <f>10774689</f>
        <v>10774689</v>
      </c>
      <c r="J68" s="154">
        <f t="shared" si="32"/>
        <v>0</v>
      </c>
      <c r="K68" s="154">
        <f t="shared" si="33"/>
        <v>0</v>
      </c>
      <c r="L68" s="154">
        <f t="shared" si="34"/>
        <v>664.20225619529037</v>
      </c>
      <c r="N68" s="152" t="s">
        <v>177</v>
      </c>
      <c r="O68" s="155">
        <v>43644</v>
      </c>
      <c r="P68" s="155">
        <v>43591</v>
      </c>
      <c r="Q68" s="156">
        <f t="shared" si="20"/>
        <v>43586</v>
      </c>
      <c r="R68" s="155">
        <v>43647</v>
      </c>
      <c r="S68" s="156">
        <f t="shared" si="21"/>
        <v>43647</v>
      </c>
      <c r="T68" s="140" t="str">
        <f t="shared" ca="1" si="1"/>
        <v/>
      </c>
      <c r="U68" s="139" t="str">
        <f t="shared" si="6"/>
        <v/>
      </c>
      <c r="V68" s="139" t="str">
        <f t="shared" si="7"/>
        <v/>
      </c>
      <c r="W68" s="139" t="str">
        <f t="shared" si="8"/>
        <v/>
      </c>
      <c r="X68" s="327"/>
    </row>
    <row r="69" spans="1:24" ht="18.75" x14ac:dyDescent="0.25">
      <c r="A69" s="151">
        <v>9</v>
      </c>
      <c r="B69" s="106" t="str">
        <f>'Funding 2019'!$K$28</f>
        <v>CGMMMTW19002</v>
      </c>
      <c r="C69" s="151">
        <v>2100011666</v>
      </c>
      <c r="D69" s="151">
        <v>4500134969</v>
      </c>
      <c r="E69" s="152" t="s">
        <v>470</v>
      </c>
      <c r="F69" s="166">
        <f>498800000*0</f>
        <v>0</v>
      </c>
      <c r="G69" s="166">
        <f>488820825*0</f>
        <v>0</v>
      </c>
      <c r="H69" s="166">
        <v>488820825</v>
      </c>
      <c r="J69" s="154">
        <f t="shared" si="32"/>
        <v>0</v>
      </c>
      <c r="K69" s="154">
        <f t="shared" si="33"/>
        <v>0</v>
      </c>
      <c r="L69" s="154">
        <f t="shared" si="34"/>
        <v>30133.203365799531</v>
      </c>
      <c r="N69" s="152" t="s">
        <v>177</v>
      </c>
      <c r="O69" s="155">
        <v>43728</v>
      </c>
      <c r="P69" s="155">
        <v>43602</v>
      </c>
      <c r="Q69" s="156">
        <f t="shared" si="20"/>
        <v>43586</v>
      </c>
      <c r="R69" s="155">
        <v>43727</v>
      </c>
      <c r="S69" s="156">
        <f t="shared" si="21"/>
        <v>43709</v>
      </c>
      <c r="T69" s="140" t="str">
        <f t="shared" ca="1" si="1"/>
        <v/>
      </c>
      <c r="U69" s="139" t="str">
        <f t="shared" ref="U69:U132" si="35">IF(A69="","",IF(AND(J69&gt;0,Q69=""), "RED",""))</f>
        <v/>
      </c>
      <c r="V69" s="139" t="str">
        <f t="shared" ref="V69:V132" si="36">IF(A69="","",IF(AND(K69&gt;0,Q69=""), "BLUE",""))</f>
        <v/>
      </c>
      <c r="W69" s="139" t="str">
        <f t="shared" ref="W69:W132" si="37">IF(A69="","",IF(AND(L69&gt;0,S69=""), "YELLOW",""))</f>
        <v/>
      </c>
      <c r="X69" s="327"/>
    </row>
    <row r="70" spans="1:24" ht="18.75" x14ac:dyDescent="0.25">
      <c r="A70" s="151">
        <v>10</v>
      </c>
      <c r="B70" s="106" t="str">
        <f>'Funding 2019'!$K$28</f>
        <v>CGMMMTW19002</v>
      </c>
      <c r="C70" s="151">
        <v>2100011670</v>
      </c>
      <c r="D70" s="151">
        <v>4500134930</v>
      </c>
      <c r="E70" s="152" t="s">
        <v>471</v>
      </c>
      <c r="F70" s="166">
        <f>60000000*0</f>
        <v>0</v>
      </c>
      <c r="G70" s="166">
        <f>60000000*0</f>
        <v>0</v>
      </c>
      <c r="H70" s="166">
        <v>60000000</v>
      </c>
      <c r="J70" s="154">
        <f t="shared" si="32"/>
        <v>0</v>
      </c>
      <c r="K70" s="154">
        <f t="shared" si="33"/>
        <v>0</v>
      </c>
      <c r="L70" s="154">
        <f t="shared" si="34"/>
        <v>3698.6808038466279</v>
      </c>
      <c r="N70" s="152" t="s">
        <v>177</v>
      </c>
      <c r="O70" s="155">
        <v>43707</v>
      </c>
      <c r="P70" s="155">
        <v>43605</v>
      </c>
      <c r="Q70" s="156">
        <f t="shared" si="20"/>
        <v>43586</v>
      </c>
      <c r="R70" s="155">
        <v>43672</v>
      </c>
      <c r="S70" s="156">
        <f t="shared" si="21"/>
        <v>43647</v>
      </c>
      <c r="T70" s="140" t="str">
        <f t="shared" ref="T70:T87" ca="1" si="38">IF(R70="",IF(O70="",IF(P70="","",IF(P70-TODAY()&lt;=0,TODAY()-P70,"")),IF(O70-TODAY()&lt;=0,TODAY()-O70,"")),IF(SUM(F70:G70)&lt;&gt;0,IF(O70="",IF(P70="","",IF(P70-TODAY()&lt;=0,TODAY()-P70,"")),IF(O70-TODAY()&lt;=0,TODAY()-O70,"")),""))</f>
        <v/>
      </c>
      <c r="U70" s="139" t="str">
        <f t="shared" si="35"/>
        <v/>
      </c>
      <c r="V70" s="139" t="str">
        <f t="shared" si="36"/>
        <v/>
      </c>
      <c r="W70" s="139" t="str">
        <f t="shared" si="37"/>
        <v/>
      </c>
      <c r="X70" s="327"/>
    </row>
    <row r="71" spans="1:24" ht="18.75" x14ac:dyDescent="0.25">
      <c r="A71" s="151">
        <v>11</v>
      </c>
      <c r="B71" s="106" t="str">
        <f>'Funding 2019'!$K$28</f>
        <v>CGMMMTW19002</v>
      </c>
      <c r="C71" s="151">
        <v>2100011676</v>
      </c>
      <c r="D71" s="151">
        <v>4500134931</v>
      </c>
      <c r="E71" s="152" t="s">
        <v>472</v>
      </c>
      <c r="F71" s="166">
        <f>170000000*0</f>
        <v>0</v>
      </c>
      <c r="G71" s="166">
        <f>169800000*0</f>
        <v>0</v>
      </c>
      <c r="H71" s="166">
        <v>169800000</v>
      </c>
      <c r="J71" s="154">
        <f t="shared" si="32"/>
        <v>0</v>
      </c>
      <c r="K71" s="154">
        <f t="shared" si="33"/>
        <v>0</v>
      </c>
      <c r="L71" s="154">
        <f t="shared" si="34"/>
        <v>10467.266674885957</v>
      </c>
      <c r="N71" s="152" t="s">
        <v>243</v>
      </c>
      <c r="O71" s="155">
        <v>43707</v>
      </c>
      <c r="P71" s="155">
        <v>43607</v>
      </c>
      <c r="Q71" s="156">
        <f t="shared" si="20"/>
        <v>43586</v>
      </c>
      <c r="R71" s="155">
        <v>43647</v>
      </c>
      <c r="S71" s="156">
        <f t="shared" si="21"/>
        <v>43647</v>
      </c>
      <c r="T71" s="140" t="str">
        <f t="shared" ca="1" si="38"/>
        <v/>
      </c>
      <c r="U71" s="139" t="str">
        <f t="shared" si="35"/>
        <v/>
      </c>
      <c r="V71" s="139" t="str">
        <f t="shared" si="36"/>
        <v/>
      </c>
      <c r="W71" s="139" t="str">
        <f t="shared" si="37"/>
        <v/>
      </c>
      <c r="X71" s="327"/>
    </row>
    <row r="72" spans="1:24" ht="18.75" x14ac:dyDescent="0.25">
      <c r="A72" s="151">
        <v>12</v>
      </c>
      <c r="B72" s="106" t="str">
        <f>'Funding 2019'!$K$28</f>
        <v>CGMMMTW19002</v>
      </c>
      <c r="C72" s="151">
        <v>5500011621</v>
      </c>
      <c r="D72" s="151"/>
      <c r="E72" s="152" t="s">
        <v>473</v>
      </c>
      <c r="F72" s="166">
        <f>15800000*0</f>
        <v>0</v>
      </c>
      <c r="G72" s="166"/>
      <c r="H72" s="166">
        <v>15800000</v>
      </c>
      <c r="J72" s="154">
        <f t="shared" si="32"/>
        <v>0</v>
      </c>
      <c r="K72" s="154">
        <f t="shared" si="33"/>
        <v>0</v>
      </c>
      <c r="L72" s="154">
        <f t="shared" si="34"/>
        <v>973.98594501294542</v>
      </c>
      <c r="N72" s="152" t="s">
        <v>177</v>
      </c>
      <c r="O72" s="155">
        <v>43636</v>
      </c>
      <c r="P72" s="155">
        <v>43605</v>
      </c>
      <c r="Q72" s="156">
        <f t="shared" si="20"/>
        <v>43586</v>
      </c>
      <c r="R72" s="155">
        <v>43671</v>
      </c>
      <c r="S72" s="156">
        <f t="shared" si="21"/>
        <v>43647</v>
      </c>
      <c r="T72" s="140" t="str">
        <f t="shared" ca="1" si="38"/>
        <v/>
      </c>
      <c r="U72" s="139" t="str">
        <f t="shared" si="35"/>
        <v/>
      </c>
      <c r="V72" s="139" t="str">
        <f t="shared" si="36"/>
        <v/>
      </c>
      <c r="W72" s="139" t="str">
        <f t="shared" si="37"/>
        <v/>
      </c>
      <c r="X72" s="327"/>
    </row>
    <row r="73" spans="1:24" ht="18.75" x14ac:dyDescent="0.25">
      <c r="A73" s="151">
        <v>13</v>
      </c>
      <c r="B73" s="106" t="str">
        <f>'Funding 2019'!$K$28</f>
        <v>CGMMMTW19002</v>
      </c>
      <c r="C73" s="164">
        <v>5500011304</v>
      </c>
      <c r="D73" s="151"/>
      <c r="E73" s="152" t="s">
        <v>474</v>
      </c>
      <c r="F73" s="166">
        <v>0</v>
      </c>
      <c r="G73" s="166"/>
      <c r="H73" s="166">
        <v>-13000000</v>
      </c>
      <c r="J73" s="154">
        <f t="shared" si="32"/>
        <v>0</v>
      </c>
      <c r="K73" s="154">
        <f t="shared" si="33"/>
        <v>0</v>
      </c>
      <c r="L73" s="154">
        <f t="shared" si="34"/>
        <v>-801.38084083343608</v>
      </c>
      <c r="N73" s="152" t="s">
        <v>201</v>
      </c>
      <c r="O73" s="155">
        <v>43584</v>
      </c>
      <c r="P73" s="155">
        <v>43514</v>
      </c>
      <c r="Q73" s="156">
        <f t="shared" si="20"/>
        <v>43497</v>
      </c>
      <c r="R73" s="155">
        <v>43617</v>
      </c>
      <c r="S73" s="156">
        <f t="shared" si="21"/>
        <v>43617</v>
      </c>
      <c r="T73" s="140" t="str">
        <f t="shared" ca="1" si="38"/>
        <v/>
      </c>
      <c r="U73" s="139" t="str">
        <f t="shared" si="35"/>
        <v/>
      </c>
      <c r="V73" s="139" t="str">
        <f t="shared" si="36"/>
        <v/>
      </c>
      <c r="W73" s="139" t="str">
        <f t="shared" si="37"/>
        <v/>
      </c>
      <c r="X73" s="327"/>
    </row>
    <row r="74" spans="1:24" ht="18.75" x14ac:dyDescent="0.25">
      <c r="A74" s="151">
        <v>14</v>
      </c>
      <c r="B74" s="106" t="str">
        <f>'Funding 2019'!$K$28</f>
        <v>CGMMMTW19002</v>
      </c>
      <c r="C74" s="151">
        <v>2500003629</v>
      </c>
      <c r="D74" s="151">
        <v>4500135108</v>
      </c>
      <c r="E74" s="152" t="s">
        <v>607</v>
      </c>
      <c r="F74" s="166">
        <f>76625000*0</f>
        <v>0</v>
      </c>
      <c r="G74" s="166">
        <f>72832500*0</f>
        <v>0</v>
      </c>
      <c r="H74" s="166">
        <v>72832500</v>
      </c>
      <c r="J74" s="154">
        <f t="shared" si="32"/>
        <v>0</v>
      </c>
      <c r="K74" s="154">
        <f t="shared" si="33"/>
        <v>0</v>
      </c>
      <c r="L74" s="154">
        <f t="shared" si="34"/>
        <v>4489.7361607693256</v>
      </c>
      <c r="N74" s="152" t="s">
        <v>177</v>
      </c>
      <c r="O74" s="155">
        <v>43700</v>
      </c>
      <c r="P74" s="155">
        <v>43651</v>
      </c>
      <c r="Q74" s="156">
        <f t="shared" si="20"/>
        <v>43647</v>
      </c>
      <c r="R74" s="155">
        <v>43699</v>
      </c>
      <c r="S74" s="156">
        <f t="shared" si="21"/>
        <v>43678</v>
      </c>
      <c r="T74" s="140" t="str">
        <f t="shared" ca="1" si="38"/>
        <v/>
      </c>
      <c r="U74" s="139" t="str">
        <f t="shared" si="35"/>
        <v/>
      </c>
      <c r="V74" s="139" t="str">
        <f t="shared" si="36"/>
        <v/>
      </c>
      <c r="W74" s="139" t="str">
        <f t="shared" si="37"/>
        <v/>
      </c>
      <c r="X74" s="327"/>
    </row>
    <row r="75" spans="1:24" ht="18.75" x14ac:dyDescent="0.25">
      <c r="A75" s="151">
        <v>15</v>
      </c>
      <c r="B75" s="106" t="str">
        <f>'Funding 2019'!$K$28</f>
        <v>CGMMMTW19002</v>
      </c>
      <c r="C75" s="151">
        <v>2100011712</v>
      </c>
      <c r="D75" s="151">
        <v>4500135199</v>
      </c>
      <c r="E75" s="152" t="s">
        <v>608</v>
      </c>
      <c r="F75" s="166">
        <f>69500000*0</f>
        <v>0</v>
      </c>
      <c r="G75" s="166"/>
      <c r="H75" s="166">
        <v>68500000</v>
      </c>
      <c r="J75" s="154">
        <f t="shared" si="32"/>
        <v>0</v>
      </c>
      <c r="K75" s="154">
        <f t="shared" si="33"/>
        <v>0</v>
      </c>
      <c r="L75" s="154">
        <f t="shared" si="34"/>
        <v>4222.6605843915668</v>
      </c>
      <c r="N75" s="152" t="s">
        <v>552</v>
      </c>
      <c r="O75" s="155">
        <v>43763</v>
      </c>
      <c r="P75" s="155">
        <v>43656</v>
      </c>
      <c r="Q75" s="156">
        <f t="shared" si="20"/>
        <v>43647</v>
      </c>
      <c r="R75" s="155">
        <v>43766</v>
      </c>
      <c r="S75" s="156">
        <f t="shared" si="21"/>
        <v>43739</v>
      </c>
      <c r="T75" s="140" t="str">
        <f t="shared" ca="1" si="38"/>
        <v/>
      </c>
      <c r="U75" s="139" t="str">
        <f t="shared" si="35"/>
        <v/>
      </c>
      <c r="V75" s="139" t="str">
        <f t="shared" si="36"/>
        <v/>
      </c>
      <c r="W75" s="139" t="str">
        <f t="shared" si="37"/>
        <v/>
      </c>
      <c r="X75" s="327"/>
    </row>
    <row r="76" spans="1:24" ht="18.75" x14ac:dyDescent="0.25">
      <c r="A76" s="151">
        <v>16</v>
      </c>
      <c r="B76" s="106" t="str">
        <f>'Funding 2019'!$K$28</f>
        <v>CGMMMTW19002</v>
      </c>
      <c r="C76" s="283">
        <v>2100011730</v>
      </c>
      <c r="D76" s="283" t="s">
        <v>745</v>
      </c>
      <c r="E76" s="284" t="s">
        <v>596</v>
      </c>
      <c r="F76" s="166">
        <f>70000000*0</f>
        <v>0</v>
      </c>
      <c r="G76" s="166"/>
      <c r="H76" s="166"/>
      <c r="J76" s="154">
        <f t="shared" si="32"/>
        <v>0</v>
      </c>
      <c r="K76" s="154">
        <f t="shared" si="33"/>
        <v>0</v>
      </c>
      <c r="L76" s="154">
        <f t="shared" si="34"/>
        <v>0</v>
      </c>
      <c r="N76" s="152"/>
      <c r="O76" s="155"/>
      <c r="P76" s="155"/>
      <c r="Q76" s="156" t="str">
        <f t="shared" si="20"/>
        <v/>
      </c>
      <c r="R76" s="155"/>
      <c r="S76" s="156" t="str">
        <f t="shared" si="21"/>
        <v/>
      </c>
      <c r="T76" s="140" t="str">
        <f t="shared" ca="1" si="38"/>
        <v/>
      </c>
      <c r="U76" s="139" t="str">
        <f t="shared" si="35"/>
        <v/>
      </c>
      <c r="V76" s="139" t="str">
        <f t="shared" si="36"/>
        <v/>
      </c>
      <c r="W76" s="139" t="str">
        <f t="shared" si="37"/>
        <v/>
      </c>
      <c r="X76" s="327"/>
    </row>
    <row r="77" spans="1:24" ht="18.75" x14ac:dyDescent="0.25">
      <c r="A77" s="151">
        <v>17</v>
      </c>
      <c r="B77" s="106" t="str">
        <f>'Funding 2019'!$K$28</f>
        <v>CGMMMTW19002</v>
      </c>
      <c r="C77" s="151"/>
      <c r="D77" s="151">
        <v>4500135128</v>
      </c>
      <c r="E77" s="152" t="s">
        <v>605</v>
      </c>
      <c r="F77" s="166">
        <f>291000000*0</f>
        <v>0</v>
      </c>
      <c r="G77" s="166">
        <f>0*259580700</f>
        <v>0</v>
      </c>
      <c r="H77" s="166">
        <v>259580700</v>
      </c>
      <c r="J77" s="154">
        <f t="shared" si="32"/>
        <v>0</v>
      </c>
      <c r="K77" s="154">
        <f t="shared" si="33"/>
        <v>0</v>
      </c>
      <c r="L77" s="154">
        <f t="shared" si="34"/>
        <v>16001.769202317841</v>
      </c>
      <c r="N77" s="152" t="s">
        <v>365</v>
      </c>
      <c r="O77" s="155">
        <v>43769</v>
      </c>
      <c r="P77" s="155">
        <v>43671</v>
      </c>
      <c r="Q77" s="156">
        <f t="shared" si="20"/>
        <v>43647</v>
      </c>
      <c r="R77" s="155">
        <v>43734</v>
      </c>
      <c r="S77" s="156">
        <f t="shared" si="21"/>
        <v>43709</v>
      </c>
      <c r="T77" s="140" t="str">
        <f t="shared" ca="1" si="38"/>
        <v/>
      </c>
      <c r="U77" s="139" t="str">
        <f t="shared" si="35"/>
        <v/>
      </c>
      <c r="V77" s="139" t="str">
        <f t="shared" si="36"/>
        <v/>
      </c>
      <c r="W77" s="139" t="str">
        <f t="shared" si="37"/>
        <v/>
      </c>
      <c r="X77" s="327"/>
    </row>
    <row r="78" spans="1:24" ht="18.75" x14ac:dyDescent="0.25">
      <c r="A78" s="151">
        <v>18</v>
      </c>
      <c r="B78" s="106" t="str">
        <f>'Funding 2019'!$K$28</f>
        <v>CGMMMTW19002</v>
      </c>
      <c r="C78" s="151">
        <v>2100011732</v>
      </c>
      <c r="D78" s="151">
        <v>4500135154</v>
      </c>
      <c r="E78" s="152" t="s">
        <v>606</v>
      </c>
      <c r="F78" s="166">
        <f>48000000*0</f>
        <v>0</v>
      </c>
      <c r="G78" s="166">
        <f>46591800*0</f>
        <v>0</v>
      </c>
      <c r="H78" s="166">
        <v>46591800</v>
      </c>
      <c r="J78" s="154">
        <f t="shared" si="32"/>
        <v>0</v>
      </c>
      <c r="K78" s="154">
        <f t="shared" si="33"/>
        <v>0</v>
      </c>
      <c r="L78" s="154">
        <f t="shared" si="34"/>
        <v>2872.136604611022</v>
      </c>
      <c r="N78" s="152" t="s">
        <v>177</v>
      </c>
      <c r="O78" s="155">
        <v>43722</v>
      </c>
      <c r="P78" s="155">
        <v>43664</v>
      </c>
      <c r="Q78" s="156">
        <f t="shared" si="20"/>
        <v>43647</v>
      </c>
      <c r="R78" s="155">
        <v>43735</v>
      </c>
      <c r="S78" s="156">
        <f t="shared" si="21"/>
        <v>43709</v>
      </c>
      <c r="T78" s="140" t="str">
        <f t="shared" ca="1" si="38"/>
        <v/>
      </c>
      <c r="U78" s="139" t="str">
        <f t="shared" si="35"/>
        <v/>
      </c>
      <c r="V78" s="139" t="str">
        <f t="shared" si="36"/>
        <v/>
      </c>
      <c r="W78" s="139" t="str">
        <f t="shared" si="37"/>
        <v/>
      </c>
      <c r="X78" s="327"/>
    </row>
    <row r="79" spans="1:24" s="168" customFormat="1" ht="18.75" x14ac:dyDescent="0.25">
      <c r="A79" s="151">
        <v>19</v>
      </c>
      <c r="B79" s="106" t="str">
        <f>'Funding 2019'!$K$28</f>
        <v>CGMMMTW19002</v>
      </c>
      <c r="C79" s="164">
        <v>2100011783</v>
      </c>
      <c r="D79" s="164">
        <v>4500135376</v>
      </c>
      <c r="E79" s="165" t="s">
        <v>746</v>
      </c>
      <c r="F79" s="166">
        <f>48000000*0</f>
        <v>0</v>
      </c>
      <c r="G79" s="166"/>
      <c r="H79" s="166">
        <v>63140000</v>
      </c>
      <c r="J79" s="154">
        <f t="shared" si="32"/>
        <v>0</v>
      </c>
      <c r="K79" s="154">
        <f t="shared" si="33"/>
        <v>0</v>
      </c>
      <c r="L79" s="154">
        <f t="shared" si="34"/>
        <v>3892.2450992479348</v>
      </c>
      <c r="N79" s="165" t="s">
        <v>177</v>
      </c>
      <c r="O79" s="169">
        <v>43759</v>
      </c>
      <c r="P79" s="169">
        <v>43698</v>
      </c>
      <c r="Q79" s="156">
        <f t="shared" si="20"/>
        <v>43678</v>
      </c>
      <c r="R79" s="169">
        <v>43767</v>
      </c>
      <c r="S79" s="156">
        <f t="shared" si="21"/>
        <v>43739</v>
      </c>
      <c r="T79" s="140" t="str">
        <f t="shared" ca="1" si="38"/>
        <v/>
      </c>
      <c r="U79" s="139" t="str">
        <f t="shared" si="35"/>
        <v/>
      </c>
      <c r="V79" s="139" t="str">
        <f t="shared" si="36"/>
        <v/>
      </c>
      <c r="W79" s="139" t="str">
        <f t="shared" si="37"/>
        <v/>
      </c>
      <c r="X79" s="327"/>
    </row>
    <row r="80" spans="1:24" ht="18.75" x14ac:dyDescent="0.25">
      <c r="A80" s="157"/>
      <c r="B80" s="158"/>
      <c r="C80" s="157"/>
      <c r="D80" s="157"/>
      <c r="E80" s="159"/>
      <c r="F80" s="160">
        <f>SUM(F60:F79)</f>
        <v>0</v>
      </c>
      <c r="G80" s="160">
        <f>SUM(G60:G79)</f>
        <v>0</v>
      </c>
      <c r="H80" s="160">
        <f>SUM(H60:H79)</f>
        <v>1986717514</v>
      </c>
      <c r="J80" s="161">
        <f>F80/$J$2</f>
        <v>0</v>
      </c>
      <c r="K80" s="161">
        <f>G80/$J$2</f>
        <v>0</v>
      </c>
      <c r="L80" s="161">
        <f>H80/$J$2</f>
        <v>122470.5655282949</v>
      </c>
      <c r="N80" s="159"/>
      <c r="O80" s="162"/>
      <c r="P80" s="162"/>
      <c r="Q80" s="156" t="str">
        <f t="shared" si="20"/>
        <v/>
      </c>
      <c r="R80" s="162"/>
      <c r="S80" s="156" t="str">
        <f t="shared" si="21"/>
        <v/>
      </c>
      <c r="T80" s="140" t="str">
        <f t="shared" ca="1" si="38"/>
        <v/>
      </c>
      <c r="U80" s="139" t="str">
        <f t="shared" si="35"/>
        <v/>
      </c>
      <c r="V80" s="139" t="str">
        <f t="shared" si="36"/>
        <v/>
      </c>
      <c r="W80" s="139" t="str">
        <f t="shared" si="37"/>
        <v/>
      </c>
      <c r="X80" s="327"/>
    </row>
    <row r="81" spans="1:24" ht="18.75" x14ac:dyDescent="0.25">
      <c r="Q81" s="156" t="str">
        <f t="shared" si="20"/>
        <v/>
      </c>
      <c r="S81" s="156" t="str">
        <f t="shared" si="21"/>
        <v/>
      </c>
      <c r="T81" s="140" t="str">
        <f t="shared" ca="1" si="38"/>
        <v/>
      </c>
      <c r="U81" s="139" t="str">
        <f t="shared" si="35"/>
        <v/>
      </c>
      <c r="V81" s="139" t="str">
        <f t="shared" si="36"/>
        <v/>
      </c>
      <c r="W81" s="139" t="str">
        <f t="shared" si="37"/>
        <v/>
      </c>
      <c r="X81" s="327"/>
    </row>
    <row r="82" spans="1:24" ht="18.75" x14ac:dyDescent="0.25">
      <c r="A82" s="163" t="str">
        <f>'Funding 2019'!L39</f>
        <v>GENERAL-Maintenance Wanaherang</v>
      </c>
      <c r="B82" s="113" t="str">
        <f>'Funding 2019'!L37</f>
        <v>Replacement/Upgrading/Improvement Technical Safety &amp; Health, Fire Hydrant/Fire Extinguiser Facility</v>
      </c>
      <c r="C82" s="147"/>
      <c r="D82" s="147"/>
      <c r="E82" s="148"/>
      <c r="F82" s="148"/>
      <c r="G82" s="148"/>
      <c r="H82" s="148"/>
      <c r="J82" s="149">
        <f t="shared" ref="J82:L83" si="39">F82/$J$2</f>
        <v>0</v>
      </c>
      <c r="K82" s="149">
        <f t="shared" si="39"/>
        <v>0</v>
      </c>
      <c r="L82" s="149">
        <f t="shared" si="39"/>
        <v>0</v>
      </c>
      <c r="N82" s="148"/>
      <c r="O82" s="150"/>
      <c r="P82" s="150"/>
      <c r="Q82" s="156" t="str">
        <f t="shared" si="20"/>
        <v/>
      </c>
      <c r="R82" s="150"/>
      <c r="S82" s="156" t="str">
        <f t="shared" si="21"/>
        <v/>
      </c>
      <c r="T82" s="140" t="str">
        <f t="shared" ca="1" si="38"/>
        <v/>
      </c>
      <c r="U82" s="139" t="str">
        <f t="shared" si="35"/>
        <v/>
      </c>
      <c r="V82" s="139" t="str">
        <f t="shared" si="36"/>
        <v/>
      </c>
      <c r="W82" s="139" t="str">
        <f t="shared" si="37"/>
        <v/>
      </c>
      <c r="X82" s="327"/>
    </row>
    <row r="83" spans="1:24" ht="18.75" x14ac:dyDescent="0.25">
      <c r="A83" s="151">
        <v>1</v>
      </c>
      <c r="B83" s="106" t="str">
        <f>'Funding 2019'!$K$37</f>
        <v>CGMMMTW19003</v>
      </c>
      <c r="C83" s="151">
        <v>2100011554</v>
      </c>
      <c r="D83" s="151">
        <v>4500134578</v>
      </c>
      <c r="E83" s="152" t="s">
        <v>242</v>
      </c>
      <c r="F83" s="166">
        <f>120000000*0</f>
        <v>0</v>
      </c>
      <c r="G83" s="166">
        <f>119350000*0</f>
        <v>0</v>
      </c>
      <c r="H83" s="166">
        <v>119350000</v>
      </c>
      <c r="J83" s="154">
        <f t="shared" si="39"/>
        <v>0</v>
      </c>
      <c r="K83" s="154">
        <f t="shared" si="39"/>
        <v>0</v>
      </c>
      <c r="L83" s="154">
        <f t="shared" si="39"/>
        <v>7357.2925656515845</v>
      </c>
      <c r="N83" s="152" t="s">
        <v>243</v>
      </c>
      <c r="O83" s="155">
        <v>43560</v>
      </c>
      <c r="P83" s="155">
        <v>43515</v>
      </c>
      <c r="Q83" s="156">
        <f t="shared" si="20"/>
        <v>43497</v>
      </c>
      <c r="R83" s="155">
        <v>43556</v>
      </c>
      <c r="S83" s="156">
        <f t="shared" si="21"/>
        <v>43556</v>
      </c>
      <c r="T83" s="140" t="str">
        <f t="shared" ca="1" si="38"/>
        <v/>
      </c>
      <c r="U83" s="139" t="str">
        <f t="shared" si="35"/>
        <v/>
      </c>
      <c r="V83" s="139" t="str">
        <f t="shared" si="36"/>
        <v/>
      </c>
      <c r="W83" s="139" t="str">
        <f t="shared" si="37"/>
        <v/>
      </c>
      <c r="X83" s="327"/>
    </row>
    <row r="84" spans="1:24" ht="18.75" x14ac:dyDescent="0.25">
      <c r="A84" s="151">
        <v>3</v>
      </c>
      <c r="B84" s="106" t="str">
        <f>'Funding 2019'!$K$37</f>
        <v>CGMMMTW19003</v>
      </c>
      <c r="C84" s="151">
        <v>2100011640</v>
      </c>
      <c r="D84" s="151">
        <v>4500134810</v>
      </c>
      <c r="E84" s="152" t="s">
        <v>437</v>
      </c>
      <c r="F84" s="166">
        <f>2350000000*0</f>
        <v>0</v>
      </c>
      <c r="G84" s="370">
        <v>2216500000</v>
      </c>
      <c r="H84" s="166"/>
      <c r="J84" s="154">
        <f t="shared" ref="J84:J93" si="40">F84/$J$2</f>
        <v>0</v>
      </c>
      <c r="K84" s="154">
        <f t="shared" ref="K84:K93" si="41">G84/$J$2</f>
        <v>136635.43336210086</v>
      </c>
      <c r="L84" s="154">
        <f t="shared" ref="L84:L93" si="42">H84/$J$2</f>
        <v>0</v>
      </c>
      <c r="N84" s="152" t="s">
        <v>201</v>
      </c>
      <c r="O84" s="155">
        <v>43777</v>
      </c>
      <c r="P84" s="155">
        <v>43581</v>
      </c>
      <c r="Q84" s="156">
        <f t="shared" si="20"/>
        <v>43556</v>
      </c>
      <c r="R84" s="155"/>
      <c r="S84" s="156" t="str">
        <f t="shared" si="21"/>
        <v/>
      </c>
      <c r="T84" s="140" t="str">
        <f t="shared" ca="1" si="38"/>
        <v/>
      </c>
      <c r="U84" s="139" t="str">
        <f t="shared" si="35"/>
        <v/>
      </c>
      <c r="V84" s="139" t="str">
        <f t="shared" si="36"/>
        <v/>
      </c>
      <c r="W84" s="139" t="str">
        <f t="shared" si="37"/>
        <v/>
      </c>
      <c r="X84" s="327"/>
    </row>
    <row r="85" spans="1:24" ht="18.75" x14ac:dyDescent="0.25">
      <c r="A85" s="151">
        <v>4</v>
      </c>
      <c r="B85" s="106" t="str">
        <f>'Funding 2019'!$K$37</f>
        <v>CGMMMTW19003</v>
      </c>
      <c r="C85" s="151">
        <v>2100011640</v>
      </c>
      <c r="D85" s="151">
        <v>4500134810</v>
      </c>
      <c r="E85" s="152" t="s">
        <v>475</v>
      </c>
      <c r="F85" s="166"/>
      <c r="G85" s="370">
        <v>133500000</v>
      </c>
      <c r="H85" s="166"/>
      <c r="J85" s="154">
        <f t="shared" si="40"/>
        <v>0</v>
      </c>
      <c r="K85" s="154">
        <f t="shared" si="41"/>
        <v>8229.5647885587478</v>
      </c>
      <c r="L85" s="154">
        <f t="shared" si="42"/>
        <v>0</v>
      </c>
      <c r="N85" s="152" t="s">
        <v>201</v>
      </c>
      <c r="O85" s="155">
        <v>43777</v>
      </c>
      <c r="P85" s="155">
        <v>43581</v>
      </c>
      <c r="Q85" s="156">
        <f t="shared" si="20"/>
        <v>43556</v>
      </c>
      <c r="R85" s="169"/>
      <c r="S85" s="156" t="str">
        <f t="shared" si="21"/>
        <v/>
      </c>
      <c r="T85" s="140" t="str">
        <f t="shared" ca="1" si="38"/>
        <v/>
      </c>
      <c r="U85" s="139" t="str">
        <f t="shared" si="35"/>
        <v/>
      </c>
      <c r="V85" s="139" t="str">
        <f t="shared" si="36"/>
        <v/>
      </c>
      <c r="W85" s="139" t="str">
        <f t="shared" si="37"/>
        <v/>
      </c>
      <c r="X85" s="327"/>
    </row>
    <row r="86" spans="1:24" ht="18.75" x14ac:dyDescent="0.25">
      <c r="A86" s="151">
        <v>5</v>
      </c>
      <c r="B86" s="106" t="str">
        <f>'Funding 2019'!$K$37</f>
        <v>CGMMMTW19003</v>
      </c>
      <c r="C86" s="151">
        <v>5500011503</v>
      </c>
      <c r="D86" s="151"/>
      <c r="E86" s="152" t="s">
        <v>401</v>
      </c>
      <c r="F86" s="166"/>
      <c r="G86" s="166"/>
      <c r="H86" s="166">
        <v>15639000</v>
      </c>
      <c r="J86" s="154">
        <f t="shared" si="40"/>
        <v>0</v>
      </c>
      <c r="K86" s="154">
        <f t="shared" si="41"/>
        <v>0</v>
      </c>
      <c r="L86" s="154">
        <f t="shared" si="42"/>
        <v>964.06115152262362</v>
      </c>
      <c r="N86" s="165" t="s">
        <v>201</v>
      </c>
      <c r="O86" s="169">
        <v>43616</v>
      </c>
      <c r="P86" s="169">
        <v>43594</v>
      </c>
      <c r="Q86" s="156">
        <f t="shared" ref="Q86:Q149" si="43">IF(P86="","",IF(YEAR(P86)&lt;=2018,DATE(2018,12,31),EOMONTH(P86,-1)+1))</f>
        <v>43586</v>
      </c>
      <c r="R86" s="169">
        <v>43586</v>
      </c>
      <c r="S86" s="156">
        <f t="shared" ref="S86:S149" si="44">IF(R86="","",IF(YEAR(R86)&lt;=2018,DATE(2018,12,31),EOMONTH(R86,-1)+1))</f>
        <v>43586</v>
      </c>
      <c r="T86" s="140" t="str">
        <f t="shared" ca="1" si="38"/>
        <v/>
      </c>
      <c r="U86" s="139" t="str">
        <f t="shared" si="35"/>
        <v/>
      </c>
      <c r="V86" s="139" t="str">
        <f t="shared" si="36"/>
        <v/>
      </c>
      <c r="W86" s="139" t="str">
        <f t="shared" si="37"/>
        <v/>
      </c>
      <c r="X86" s="327"/>
    </row>
    <row r="87" spans="1:24" ht="18.75" x14ac:dyDescent="0.25">
      <c r="A87" s="151">
        <v>7</v>
      </c>
      <c r="B87" s="106" t="str">
        <f>'Funding 2019'!$K$37</f>
        <v>CGMMMTW19003</v>
      </c>
      <c r="C87" s="151">
        <v>2500003641</v>
      </c>
      <c r="D87" s="151">
        <v>4500135105</v>
      </c>
      <c r="E87" s="152" t="s">
        <v>590</v>
      </c>
      <c r="F87" s="166">
        <f>19750000*0</f>
        <v>0</v>
      </c>
      <c r="G87" s="166">
        <f>17775000*0</f>
        <v>0</v>
      </c>
      <c r="H87" s="166">
        <v>17775000</v>
      </c>
      <c r="J87" s="154">
        <f t="shared" si="40"/>
        <v>0</v>
      </c>
      <c r="K87" s="154">
        <f t="shared" si="41"/>
        <v>0</v>
      </c>
      <c r="L87" s="154">
        <f t="shared" si="42"/>
        <v>1095.7341881395635</v>
      </c>
      <c r="N87" s="152" t="s">
        <v>552</v>
      </c>
      <c r="O87" s="155">
        <v>43725</v>
      </c>
      <c r="P87" s="155">
        <v>43665</v>
      </c>
      <c r="Q87" s="156">
        <f t="shared" si="43"/>
        <v>43647</v>
      </c>
      <c r="R87" s="155">
        <v>43728</v>
      </c>
      <c r="S87" s="156">
        <f t="shared" si="44"/>
        <v>43709</v>
      </c>
      <c r="T87" s="140" t="str">
        <f t="shared" ca="1" si="38"/>
        <v/>
      </c>
      <c r="U87" s="139" t="str">
        <f t="shared" si="35"/>
        <v/>
      </c>
      <c r="V87" s="139" t="str">
        <f t="shared" si="36"/>
        <v/>
      </c>
      <c r="W87" s="139" t="str">
        <f t="shared" si="37"/>
        <v/>
      </c>
      <c r="X87" s="327"/>
    </row>
    <row r="88" spans="1:24" ht="18.75" x14ac:dyDescent="0.25">
      <c r="A88" s="151">
        <v>8</v>
      </c>
      <c r="B88" s="106" t="str">
        <f>'Funding 2019'!$K$37</f>
        <v>CGMMMTW19003</v>
      </c>
      <c r="C88" s="151">
        <v>2100011731</v>
      </c>
      <c r="D88" s="151">
        <v>4500135119</v>
      </c>
      <c r="E88" s="152" t="s">
        <v>600</v>
      </c>
      <c r="F88" s="166">
        <f>350957320*0</f>
        <v>0</v>
      </c>
      <c r="G88" s="174">
        <v>35275000</v>
      </c>
      <c r="H88" s="166">
        <v>315682320</v>
      </c>
      <c r="J88" s="154">
        <f t="shared" si="40"/>
        <v>0</v>
      </c>
      <c r="K88" s="154">
        <f t="shared" si="41"/>
        <v>2174.5160892614967</v>
      </c>
      <c r="L88" s="154">
        <f t="shared" si="42"/>
        <v>19460.135618296143</v>
      </c>
      <c r="N88" s="152" t="s">
        <v>201</v>
      </c>
      <c r="O88" s="155">
        <v>43763</v>
      </c>
      <c r="P88" s="155">
        <v>43664</v>
      </c>
      <c r="Q88" s="156">
        <f t="shared" si="43"/>
        <v>43647</v>
      </c>
      <c r="R88" s="155">
        <v>43766</v>
      </c>
      <c r="S88" s="156">
        <f t="shared" si="44"/>
        <v>43739</v>
      </c>
      <c r="T88" s="140">
        <f t="shared" ref="T88:T133" ca="1" si="45">IF(R88="",IF(O88="",IF(P88="","",IF(P88-TODAY()&lt;=0,TODAY()-P88,"")),IF(O88-TODAY()&lt;=0,TODAY()-O88,"")),IF(SUM(F88:G88)&lt;&gt;0,IF(O88="",IF(P88="","",IF(P88-TODAY()&lt;=0,TODAY()-P88,"")),IF(O88-TODAY()&lt;=0,TODAY()-O88,"")),""))</f>
        <v>10</v>
      </c>
      <c r="U88" s="139" t="str">
        <f t="shared" si="35"/>
        <v/>
      </c>
      <c r="V88" s="139" t="str">
        <f t="shared" si="36"/>
        <v/>
      </c>
      <c r="W88" s="139" t="str">
        <f t="shared" si="37"/>
        <v/>
      </c>
      <c r="X88" s="327"/>
    </row>
    <row r="89" spans="1:24" ht="18.75" x14ac:dyDescent="0.25">
      <c r="A89" s="151">
        <v>9</v>
      </c>
      <c r="B89" s="106" t="str">
        <f>'Funding 2019'!$K$37</f>
        <v>CGMMMTW19003</v>
      </c>
      <c r="C89" s="151"/>
      <c r="D89" s="151"/>
      <c r="E89" s="152"/>
      <c r="F89" s="166"/>
      <c r="G89" s="166"/>
      <c r="H89" s="166"/>
      <c r="J89" s="154">
        <f t="shared" si="40"/>
        <v>0</v>
      </c>
      <c r="K89" s="154">
        <f t="shared" si="41"/>
        <v>0</v>
      </c>
      <c r="L89" s="154">
        <f t="shared" si="42"/>
        <v>0</v>
      </c>
      <c r="N89" s="152"/>
      <c r="O89" s="155"/>
      <c r="P89" s="155"/>
      <c r="Q89" s="156" t="str">
        <f t="shared" si="43"/>
        <v/>
      </c>
      <c r="R89" s="155"/>
      <c r="S89" s="156" t="str">
        <f t="shared" si="44"/>
        <v/>
      </c>
      <c r="T89" s="140" t="str">
        <f t="shared" ca="1" si="45"/>
        <v/>
      </c>
      <c r="U89" s="139" t="str">
        <f t="shared" si="35"/>
        <v/>
      </c>
      <c r="V89" s="139" t="str">
        <f t="shared" si="36"/>
        <v/>
      </c>
      <c r="W89" s="139" t="str">
        <f t="shared" si="37"/>
        <v/>
      </c>
      <c r="X89" s="327"/>
    </row>
    <row r="90" spans="1:24" ht="18.75" x14ac:dyDescent="0.25">
      <c r="A90" s="151">
        <v>10</v>
      </c>
      <c r="B90" s="106" t="str">
        <f>'Funding 2019'!$K$37</f>
        <v>CGMMMTW19003</v>
      </c>
      <c r="C90" s="151"/>
      <c r="D90" s="151"/>
      <c r="E90" s="152"/>
      <c r="F90" s="166"/>
      <c r="G90" s="166"/>
      <c r="H90" s="166"/>
      <c r="J90" s="154">
        <f t="shared" si="40"/>
        <v>0</v>
      </c>
      <c r="K90" s="154">
        <f t="shared" si="41"/>
        <v>0</v>
      </c>
      <c r="L90" s="154">
        <f t="shared" si="42"/>
        <v>0</v>
      </c>
      <c r="N90" s="152"/>
      <c r="O90" s="155"/>
      <c r="P90" s="155"/>
      <c r="Q90" s="156" t="str">
        <f t="shared" si="43"/>
        <v/>
      </c>
      <c r="R90" s="155"/>
      <c r="S90" s="156" t="str">
        <f t="shared" si="44"/>
        <v/>
      </c>
      <c r="T90" s="140" t="str">
        <f t="shared" ca="1" si="45"/>
        <v/>
      </c>
      <c r="U90" s="139" t="str">
        <f t="shared" si="35"/>
        <v/>
      </c>
      <c r="V90" s="139" t="str">
        <f t="shared" si="36"/>
        <v/>
      </c>
      <c r="W90" s="139" t="str">
        <f t="shared" si="37"/>
        <v/>
      </c>
      <c r="X90" s="327"/>
    </row>
    <row r="91" spans="1:24" ht="18.75" x14ac:dyDescent="0.25">
      <c r="A91" s="151">
        <v>11</v>
      </c>
      <c r="B91" s="106" t="str">
        <f>'Funding 2019'!$K$37</f>
        <v>CGMMMTW19003</v>
      </c>
      <c r="C91" s="151"/>
      <c r="D91" s="151"/>
      <c r="E91" s="152"/>
      <c r="F91" s="166"/>
      <c r="G91" s="166"/>
      <c r="H91" s="166"/>
      <c r="J91" s="154">
        <f t="shared" si="40"/>
        <v>0</v>
      </c>
      <c r="K91" s="154">
        <f t="shared" si="41"/>
        <v>0</v>
      </c>
      <c r="L91" s="154">
        <f t="shared" si="42"/>
        <v>0</v>
      </c>
      <c r="N91" s="152"/>
      <c r="O91" s="155"/>
      <c r="P91" s="155"/>
      <c r="Q91" s="156" t="str">
        <f t="shared" si="43"/>
        <v/>
      </c>
      <c r="R91" s="155"/>
      <c r="S91" s="156" t="str">
        <f t="shared" si="44"/>
        <v/>
      </c>
      <c r="T91" s="140" t="str">
        <f t="shared" ca="1" si="45"/>
        <v/>
      </c>
      <c r="U91" s="139" t="str">
        <f t="shared" si="35"/>
        <v/>
      </c>
      <c r="V91" s="139" t="str">
        <f t="shared" si="36"/>
        <v/>
      </c>
      <c r="W91" s="139" t="str">
        <f t="shared" si="37"/>
        <v/>
      </c>
      <c r="X91" s="327"/>
    </row>
    <row r="92" spans="1:24" ht="18.75" x14ac:dyDescent="0.25">
      <c r="A92" s="151">
        <v>12</v>
      </c>
      <c r="B92" s="106" t="str">
        <f>'Funding 2019'!$K$37</f>
        <v>CGMMMTW19003</v>
      </c>
      <c r="C92" s="151"/>
      <c r="D92" s="151"/>
      <c r="E92" s="152"/>
      <c r="F92" s="166"/>
      <c r="G92" s="166"/>
      <c r="H92" s="166"/>
      <c r="J92" s="154">
        <f t="shared" si="40"/>
        <v>0</v>
      </c>
      <c r="K92" s="154">
        <f t="shared" si="41"/>
        <v>0</v>
      </c>
      <c r="L92" s="154">
        <f t="shared" si="42"/>
        <v>0</v>
      </c>
      <c r="N92" s="152"/>
      <c r="O92" s="155"/>
      <c r="P92" s="155"/>
      <c r="Q92" s="156" t="str">
        <f t="shared" si="43"/>
        <v/>
      </c>
      <c r="R92" s="155"/>
      <c r="S92" s="156" t="str">
        <f t="shared" si="44"/>
        <v/>
      </c>
      <c r="T92" s="140" t="str">
        <f t="shared" ca="1" si="45"/>
        <v/>
      </c>
      <c r="U92" s="139" t="str">
        <f t="shared" si="35"/>
        <v/>
      </c>
      <c r="V92" s="139" t="str">
        <f t="shared" si="36"/>
        <v/>
      </c>
      <c r="W92" s="139" t="str">
        <f t="shared" si="37"/>
        <v/>
      </c>
      <c r="X92" s="327"/>
    </row>
    <row r="93" spans="1:24" ht="18.75" x14ac:dyDescent="0.25">
      <c r="A93" s="151">
        <v>13</v>
      </c>
      <c r="B93" s="106" t="str">
        <f>'Funding 2019'!$K$37</f>
        <v>CGMMMTW19003</v>
      </c>
      <c r="C93" s="164"/>
      <c r="D93" s="164"/>
      <c r="E93" s="165"/>
      <c r="F93" s="166"/>
      <c r="G93" s="166"/>
      <c r="H93" s="166"/>
      <c r="J93" s="154">
        <f t="shared" si="40"/>
        <v>0</v>
      </c>
      <c r="K93" s="154">
        <f t="shared" si="41"/>
        <v>0</v>
      </c>
      <c r="L93" s="154">
        <f t="shared" si="42"/>
        <v>0</v>
      </c>
      <c r="N93" s="165"/>
      <c r="O93" s="169"/>
      <c r="P93" s="169"/>
      <c r="Q93" s="156" t="str">
        <f t="shared" si="43"/>
        <v/>
      </c>
      <c r="R93" s="169"/>
      <c r="S93" s="156" t="str">
        <f t="shared" si="44"/>
        <v/>
      </c>
      <c r="T93" s="140" t="str">
        <f t="shared" ca="1" si="45"/>
        <v/>
      </c>
      <c r="U93" s="139" t="str">
        <f t="shared" si="35"/>
        <v/>
      </c>
      <c r="V93" s="139" t="str">
        <f t="shared" si="36"/>
        <v/>
      </c>
      <c r="W93" s="139" t="str">
        <f t="shared" si="37"/>
        <v/>
      </c>
      <c r="X93" s="327"/>
    </row>
    <row r="94" spans="1:24" ht="18.75" x14ac:dyDescent="0.25">
      <c r="A94" s="157"/>
      <c r="B94" s="158"/>
      <c r="C94" s="157"/>
      <c r="D94" s="157"/>
      <c r="E94" s="159"/>
      <c r="F94" s="160">
        <f>SUM(F82:F93)</f>
        <v>0</v>
      </c>
      <c r="G94" s="160">
        <f>SUM(G82:G93)</f>
        <v>2385275000</v>
      </c>
      <c r="H94" s="160">
        <f>SUM(H82:H93)</f>
        <v>468446320</v>
      </c>
      <c r="J94" s="161">
        <f>F94/$J$2</f>
        <v>0</v>
      </c>
      <c r="K94" s="161">
        <f>G94/$J$2</f>
        <v>147039.51423992109</v>
      </c>
      <c r="L94" s="161">
        <f>H94/$J$2</f>
        <v>28877.223523609911</v>
      </c>
      <c r="N94" s="159"/>
      <c r="O94" s="162"/>
      <c r="P94" s="162"/>
      <c r="Q94" s="156" t="str">
        <f t="shared" si="43"/>
        <v/>
      </c>
      <c r="R94" s="162"/>
      <c r="S94" s="156" t="str">
        <f t="shared" si="44"/>
        <v/>
      </c>
      <c r="T94" s="140" t="str">
        <f t="shared" ca="1" si="45"/>
        <v/>
      </c>
      <c r="U94" s="139" t="str">
        <f t="shared" si="35"/>
        <v/>
      </c>
      <c r="V94" s="139" t="str">
        <f t="shared" si="36"/>
        <v/>
      </c>
      <c r="W94" s="139" t="str">
        <f t="shared" si="37"/>
        <v/>
      </c>
      <c r="X94" s="327"/>
    </row>
    <row r="95" spans="1:24" ht="18.75" x14ac:dyDescent="0.25">
      <c r="Q95" s="156" t="str">
        <f t="shared" si="43"/>
        <v/>
      </c>
      <c r="S95" s="156" t="str">
        <f t="shared" si="44"/>
        <v/>
      </c>
      <c r="T95" s="140" t="str">
        <f t="shared" ca="1" si="45"/>
        <v/>
      </c>
      <c r="U95" s="139" t="str">
        <f t="shared" si="35"/>
        <v/>
      </c>
      <c r="V95" s="139" t="str">
        <f t="shared" si="36"/>
        <v/>
      </c>
      <c r="W95" s="139" t="str">
        <f t="shared" si="37"/>
        <v/>
      </c>
      <c r="X95" s="327"/>
    </row>
    <row r="96" spans="1:24" ht="18.75" x14ac:dyDescent="0.25">
      <c r="A96" s="163" t="str">
        <f>'Funding 2019'!L39</f>
        <v>GENERAL-Maintenance Wanaherang</v>
      </c>
      <c r="B96" s="113" t="str">
        <f>'Funding 2019'!L38</f>
        <v>Office Furniture (EMI)</v>
      </c>
      <c r="C96" s="147"/>
      <c r="D96" s="147"/>
      <c r="E96" s="148"/>
      <c r="F96" s="148"/>
      <c r="G96" s="148"/>
      <c r="H96" s="148"/>
      <c r="J96" s="149">
        <f t="shared" ref="J96:L101" si="46">F96/$J$2</f>
        <v>0</v>
      </c>
      <c r="K96" s="149">
        <f t="shared" si="46"/>
        <v>0</v>
      </c>
      <c r="L96" s="149">
        <f t="shared" si="46"/>
        <v>0</v>
      </c>
      <c r="N96" s="148"/>
      <c r="O96" s="150"/>
      <c r="P96" s="150"/>
      <c r="Q96" s="156" t="str">
        <f t="shared" si="43"/>
        <v/>
      </c>
      <c r="R96" s="150"/>
      <c r="S96" s="156" t="str">
        <f t="shared" si="44"/>
        <v/>
      </c>
      <c r="T96" s="140" t="str">
        <f t="shared" ca="1" si="45"/>
        <v/>
      </c>
      <c r="U96" s="139" t="str">
        <f t="shared" si="35"/>
        <v/>
      </c>
      <c r="V96" s="139" t="str">
        <f t="shared" si="36"/>
        <v/>
      </c>
      <c r="W96" s="139" t="str">
        <f t="shared" si="37"/>
        <v/>
      </c>
      <c r="X96" s="327"/>
    </row>
    <row r="97" spans="1:24" ht="18.75" x14ac:dyDescent="0.25">
      <c r="A97" s="151">
        <v>1</v>
      </c>
      <c r="B97" s="106" t="str">
        <f>'Funding 2019'!$K$38</f>
        <v>CGMMMTW19004</v>
      </c>
      <c r="C97" s="151"/>
      <c r="D97" s="151"/>
      <c r="E97" s="152"/>
      <c r="F97" s="153"/>
      <c r="G97" s="153"/>
      <c r="H97" s="153"/>
      <c r="J97" s="154">
        <f t="shared" si="46"/>
        <v>0</v>
      </c>
      <c r="K97" s="154">
        <f t="shared" si="46"/>
        <v>0</v>
      </c>
      <c r="L97" s="154">
        <f t="shared" si="46"/>
        <v>0</v>
      </c>
      <c r="N97" s="152"/>
      <c r="O97" s="155"/>
      <c r="P97" s="155"/>
      <c r="Q97" s="156" t="str">
        <f t="shared" si="43"/>
        <v/>
      </c>
      <c r="R97" s="155"/>
      <c r="S97" s="156" t="str">
        <f t="shared" si="44"/>
        <v/>
      </c>
      <c r="T97" s="140" t="str">
        <f t="shared" ca="1" si="45"/>
        <v/>
      </c>
      <c r="U97" s="139" t="str">
        <f t="shared" si="35"/>
        <v/>
      </c>
      <c r="V97" s="139" t="str">
        <f t="shared" si="36"/>
        <v/>
      </c>
      <c r="W97" s="139" t="str">
        <f t="shared" si="37"/>
        <v/>
      </c>
      <c r="X97" s="327"/>
    </row>
    <row r="98" spans="1:24" ht="18.75" x14ac:dyDescent="0.25">
      <c r="A98" s="151">
        <v>2</v>
      </c>
      <c r="B98" s="106" t="str">
        <f>'Funding 2019'!$K$38</f>
        <v>CGMMMTW19004</v>
      </c>
      <c r="C98" s="151"/>
      <c r="D98" s="151"/>
      <c r="E98" s="152"/>
      <c r="F98" s="153"/>
      <c r="G98" s="153"/>
      <c r="H98" s="153"/>
      <c r="J98" s="154">
        <f t="shared" ref="J98:L100" si="47">F98/$J$2</f>
        <v>0</v>
      </c>
      <c r="K98" s="154">
        <f t="shared" si="47"/>
        <v>0</v>
      </c>
      <c r="L98" s="154">
        <f t="shared" si="47"/>
        <v>0</v>
      </c>
      <c r="N98" s="152"/>
      <c r="O98" s="155"/>
      <c r="P98" s="155"/>
      <c r="Q98" s="156" t="str">
        <f t="shared" si="43"/>
        <v/>
      </c>
      <c r="R98" s="155"/>
      <c r="S98" s="156" t="str">
        <f t="shared" si="44"/>
        <v/>
      </c>
      <c r="T98" s="140" t="str">
        <f t="shared" ca="1" si="45"/>
        <v/>
      </c>
      <c r="U98" s="139" t="str">
        <f t="shared" si="35"/>
        <v/>
      </c>
      <c r="V98" s="139" t="str">
        <f t="shared" si="36"/>
        <v/>
      </c>
      <c r="W98" s="139" t="str">
        <f t="shared" si="37"/>
        <v/>
      </c>
      <c r="X98" s="327"/>
    </row>
    <row r="99" spans="1:24" ht="18.75" x14ac:dyDescent="0.25">
      <c r="A99" s="151">
        <v>3</v>
      </c>
      <c r="B99" s="106" t="str">
        <f>'Funding 2019'!$K$38</f>
        <v>CGMMMTW19004</v>
      </c>
      <c r="C99" s="151"/>
      <c r="D99" s="151"/>
      <c r="E99" s="152"/>
      <c r="F99" s="153"/>
      <c r="G99" s="153"/>
      <c r="H99" s="153"/>
      <c r="J99" s="154">
        <f t="shared" si="47"/>
        <v>0</v>
      </c>
      <c r="K99" s="154">
        <f t="shared" si="47"/>
        <v>0</v>
      </c>
      <c r="L99" s="154">
        <f t="shared" si="47"/>
        <v>0</v>
      </c>
      <c r="N99" s="152"/>
      <c r="O99" s="155"/>
      <c r="P99" s="155"/>
      <c r="Q99" s="156" t="str">
        <f t="shared" si="43"/>
        <v/>
      </c>
      <c r="R99" s="155"/>
      <c r="S99" s="156" t="str">
        <f t="shared" si="44"/>
        <v/>
      </c>
      <c r="T99" s="140" t="str">
        <f t="shared" ca="1" si="45"/>
        <v/>
      </c>
      <c r="U99" s="139" t="str">
        <f t="shared" si="35"/>
        <v/>
      </c>
      <c r="V99" s="139" t="str">
        <f t="shared" si="36"/>
        <v/>
      </c>
      <c r="W99" s="139" t="str">
        <f t="shared" si="37"/>
        <v/>
      </c>
      <c r="X99" s="327"/>
    </row>
    <row r="100" spans="1:24" ht="18.75" x14ac:dyDescent="0.25">
      <c r="A100" s="151">
        <v>4</v>
      </c>
      <c r="B100" s="106" t="str">
        <f>'Funding 2019'!$K$38</f>
        <v>CGMMMTW19004</v>
      </c>
      <c r="C100" s="151"/>
      <c r="D100" s="151"/>
      <c r="E100" s="152"/>
      <c r="F100" s="153"/>
      <c r="G100" s="153"/>
      <c r="H100" s="153"/>
      <c r="J100" s="154">
        <f t="shared" si="47"/>
        <v>0</v>
      </c>
      <c r="K100" s="154">
        <f t="shared" si="47"/>
        <v>0</v>
      </c>
      <c r="L100" s="154">
        <f t="shared" si="47"/>
        <v>0</v>
      </c>
      <c r="N100" s="152"/>
      <c r="O100" s="155"/>
      <c r="P100" s="155"/>
      <c r="Q100" s="156" t="str">
        <f t="shared" si="43"/>
        <v/>
      </c>
      <c r="R100" s="155"/>
      <c r="S100" s="156" t="str">
        <f t="shared" si="44"/>
        <v/>
      </c>
      <c r="T100" s="140" t="str">
        <f t="shared" ca="1" si="45"/>
        <v/>
      </c>
      <c r="U100" s="139" t="str">
        <f t="shared" si="35"/>
        <v/>
      </c>
      <c r="V100" s="139" t="str">
        <f t="shared" si="36"/>
        <v/>
      </c>
      <c r="W100" s="139" t="str">
        <f t="shared" si="37"/>
        <v/>
      </c>
      <c r="X100" s="327"/>
    </row>
    <row r="101" spans="1:24" ht="18.75" x14ac:dyDescent="0.25">
      <c r="A101" s="157"/>
      <c r="B101" s="158"/>
      <c r="C101" s="157"/>
      <c r="D101" s="157"/>
      <c r="E101" s="159"/>
      <c r="F101" s="160">
        <f>SUM(F96:F100)</f>
        <v>0</v>
      </c>
      <c r="G101" s="160">
        <f>SUM(G96:G100)</f>
        <v>0</v>
      </c>
      <c r="H101" s="160">
        <f>SUM(H96:H100)</f>
        <v>0</v>
      </c>
      <c r="J101" s="161">
        <f t="shared" si="46"/>
        <v>0</v>
      </c>
      <c r="K101" s="161">
        <f t="shared" si="46"/>
        <v>0</v>
      </c>
      <c r="L101" s="161">
        <f t="shared" si="46"/>
        <v>0</v>
      </c>
      <c r="N101" s="159"/>
      <c r="O101" s="162"/>
      <c r="P101" s="162"/>
      <c r="Q101" s="156" t="str">
        <f t="shared" si="43"/>
        <v/>
      </c>
      <c r="R101" s="162"/>
      <c r="S101" s="156" t="str">
        <f t="shared" si="44"/>
        <v/>
      </c>
      <c r="T101" s="140" t="str">
        <f t="shared" ca="1" si="45"/>
        <v/>
      </c>
      <c r="U101" s="139" t="str">
        <f t="shared" si="35"/>
        <v/>
      </c>
      <c r="V101" s="139" t="str">
        <f t="shared" si="36"/>
        <v/>
      </c>
      <c r="W101" s="139" t="str">
        <f t="shared" si="37"/>
        <v/>
      </c>
      <c r="X101" s="327"/>
    </row>
    <row r="102" spans="1:24" ht="18.75" x14ac:dyDescent="0.25">
      <c r="Q102" s="156" t="str">
        <f t="shared" si="43"/>
        <v/>
      </c>
      <c r="S102" s="156" t="str">
        <f t="shared" si="44"/>
        <v/>
      </c>
      <c r="T102" s="140" t="str">
        <f t="shared" ca="1" si="45"/>
        <v/>
      </c>
      <c r="U102" s="139" t="str">
        <f t="shared" si="35"/>
        <v/>
      </c>
      <c r="V102" s="139" t="str">
        <f t="shared" si="36"/>
        <v/>
      </c>
      <c r="W102" s="139" t="str">
        <f t="shared" si="37"/>
        <v/>
      </c>
      <c r="X102" s="327"/>
    </row>
    <row r="103" spans="1:24" ht="18.75" x14ac:dyDescent="0.25">
      <c r="A103" s="163" t="str">
        <f>'Funding 2019'!L49</f>
        <v>OFFICE RENOVATION</v>
      </c>
      <c r="B103" s="113" t="str">
        <f>'Funding 2019'!L41</f>
        <v>Renovation Office Building 04</v>
      </c>
      <c r="C103" s="147"/>
      <c r="D103" s="147"/>
      <c r="E103" s="148"/>
      <c r="F103" s="148"/>
      <c r="G103" s="148"/>
      <c r="H103" s="148"/>
      <c r="J103" s="149">
        <f t="shared" ref="J103:L108" si="48">F103/$J$2</f>
        <v>0</v>
      </c>
      <c r="K103" s="149">
        <f t="shared" si="48"/>
        <v>0</v>
      </c>
      <c r="L103" s="149">
        <f t="shared" si="48"/>
        <v>0</v>
      </c>
      <c r="N103" s="148"/>
      <c r="O103" s="150"/>
      <c r="P103" s="150"/>
      <c r="Q103" s="156" t="str">
        <f t="shared" si="43"/>
        <v/>
      </c>
      <c r="R103" s="150"/>
      <c r="S103" s="156" t="str">
        <f t="shared" si="44"/>
        <v/>
      </c>
      <c r="T103" s="140" t="str">
        <f t="shared" ca="1" si="45"/>
        <v/>
      </c>
      <c r="U103" s="139" t="str">
        <f t="shared" si="35"/>
        <v/>
      </c>
      <c r="V103" s="139" t="str">
        <f t="shared" si="36"/>
        <v/>
      </c>
      <c r="W103" s="139" t="str">
        <f t="shared" si="37"/>
        <v/>
      </c>
      <c r="X103" s="327"/>
    </row>
    <row r="104" spans="1:24" ht="18.75" x14ac:dyDescent="0.25">
      <c r="A104" s="151">
        <v>1</v>
      </c>
      <c r="B104" s="106" t="str">
        <f>'Funding 2019'!$K$41</f>
        <v>CGMMMTW19000</v>
      </c>
      <c r="C104" s="151">
        <v>2500003523</v>
      </c>
      <c r="D104" s="151">
        <v>4500134359</v>
      </c>
      <c r="E104" s="152" t="s">
        <v>312</v>
      </c>
      <c r="F104" s="153"/>
      <c r="G104" s="153">
        <v>144130000</v>
      </c>
      <c r="H104" s="153">
        <v>61770000</v>
      </c>
      <c r="I104" s="277">
        <f>SUM(G104:H104)</f>
        <v>205900000</v>
      </c>
      <c r="J104" s="154">
        <f t="shared" si="48"/>
        <v>0</v>
      </c>
      <c r="K104" s="154">
        <f t="shared" si="48"/>
        <v>8884.8477376402425</v>
      </c>
      <c r="L104" s="154">
        <f t="shared" si="48"/>
        <v>3807.7918875601035</v>
      </c>
      <c r="N104" s="152" t="s">
        <v>177</v>
      </c>
      <c r="O104" s="155">
        <v>43783</v>
      </c>
      <c r="P104" s="155">
        <v>43452</v>
      </c>
      <c r="Q104" s="156">
        <f t="shared" si="43"/>
        <v>43465</v>
      </c>
      <c r="R104" s="155">
        <v>43497</v>
      </c>
      <c r="S104" s="156">
        <f t="shared" si="44"/>
        <v>43497</v>
      </c>
      <c r="T104" s="140" t="str">
        <f t="shared" ca="1" si="45"/>
        <v/>
      </c>
      <c r="U104" s="139" t="str">
        <f t="shared" si="35"/>
        <v/>
      </c>
      <c r="V104" s="139" t="str">
        <f t="shared" si="36"/>
        <v/>
      </c>
      <c r="W104" s="139" t="str">
        <f t="shared" si="37"/>
        <v/>
      </c>
      <c r="X104" s="327"/>
    </row>
    <row r="105" spans="1:24" ht="18.75" x14ac:dyDescent="0.25">
      <c r="A105" s="151">
        <v>2</v>
      </c>
      <c r="B105" s="106" t="str">
        <f>'Funding 2019'!$K$41</f>
        <v>CGMMMTW19000</v>
      </c>
      <c r="C105" s="151">
        <v>2500003551</v>
      </c>
      <c r="D105" s="151">
        <v>4500134570</v>
      </c>
      <c r="E105" s="152" t="s">
        <v>336</v>
      </c>
      <c r="F105" s="153"/>
      <c r="G105" s="153"/>
      <c r="H105" s="153">
        <v>190000000</v>
      </c>
      <c r="I105" s="277">
        <f>SUM(G105:H105)</f>
        <v>190000000</v>
      </c>
      <c r="J105" s="154">
        <f t="shared" ref="J105:L107" si="49">F105/$J$2</f>
        <v>0</v>
      </c>
      <c r="K105" s="154">
        <f t="shared" si="49"/>
        <v>0</v>
      </c>
      <c r="L105" s="154">
        <f t="shared" si="49"/>
        <v>11712.489212180988</v>
      </c>
      <c r="N105" s="152" t="s">
        <v>337</v>
      </c>
      <c r="O105" s="155">
        <v>43783</v>
      </c>
      <c r="P105" s="155">
        <v>43518</v>
      </c>
      <c r="Q105" s="156">
        <f t="shared" si="43"/>
        <v>43497</v>
      </c>
      <c r="R105" s="155">
        <v>43586</v>
      </c>
      <c r="S105" s="156">
        <f t="shared" si="44"/>
        <v>43586</v>
      </c>
      <c r="T105" s="140" t="str">
        <f t="shared" ca="1" si="45"/>
        <v/>
      </c>
      <c r="U105" s="139" t="str">
        <f t="shared" si="35"/>
        <v/>
      </c>
      <c r="V105" s="139" t="str">
        <f t="shared" si="36"/>
        <v/>
      </c>
      <c r="W105" s="139" t="str">
        <f t="shared" si="37"/>
        <v/>
      </c>
      <c r="X105" s="327"/>
    </row>
    <row r="106" spans="1:24" ht="18.75" x14ac:dyDescent="0.25">
      <c r="A106" s="151">
        <v>3</v>
      </c>
      <c r="B106" s="106" t="str">
        <f>'Funding 2019'!$K$41</f>
        <v>CGMMMTW19000</v>
      </c>
      <c r="C106" s="151"/>
      <c r="D106" s="151"/>
      <c r="E106" s="152"/>
      <c r="F106" s="153"/>
      <c r="G106" s="153"/>
      <c r="H106" s="153"/>
      <c r="J106" s="154">
        <f t="shared" si="49"/>
        <v>0</v>
      </c>
      <c r="K106" s="154">
        <f t="shared" si="49"/>
        <v>0</v>
      </c>
      <c r="L106" s="154">
        <f t="shared" si="49"/>
        <v>0</v>
      </c>
      <c r="N106" s="152"/>
      <c r="O106" s="155"/>
      <c r="P106" s="155"/>
      <c r="Q106" s="156" t="str">
        <f t="shared" si="43"/>
        <v/>
      </c>
      <c r="R106" s="155"/>
      <c r="S106" s="156" t="str">
        <f t="shared" si="44"/>
        <v/>
      </c>
      <c r="T106" s="140" t="str">
        <f t="shared" ca="1" si="45"/>
        <v/>
      </c>
      <c r="U106" s="139" t="str">
        <f t="shared" si="35"/>
        <v/>
      </c>
      <c r="V106" s="139" t="str">
        <f t="shared" si="36"/>
        <v/>
      </c>
      <c r="W106" s="139" t="str">
        <f t="shared" si="37"/>
        <v/>
      </c>
      <c r="X106" s="327"/>
    </row>
    <row r="107" spans="1:24" ht="18.75" x14ac:dyDescent="0.25">
      <c r="A107" s="151">
        <v>4</v>
      </c>
      <c r="B107" s="106" t="str">
        <f>'Funding 2019'!$K$41</f>
        <v>CGMMMTW19000</v>
      </c>
      <c r="C107" s="151"/>
      <c r="D107" s="151"/>
      <c r="E107" s="152"/>
      <c r="F107" s="153"/>
      <c r="G107" s="153"/>
      <c r="H107" s="153"/>
      <c r="J107" s="154">
        <f t="shared" si="49"/>
        <v>0</v>
      </c>
      <c r="K107" s="154">
        <f t="shared" si="49"/>
        <v>0</v>
      </c>
      <c r="L107" s="154">
        <f t="shared" si="49"/>
        <v>0</v>
      </c>
      <c r="N107" s="152"/>
      <c r="O107" s="155"/>
      <c r="P107" s="155"/>
      <c r="Q107" s="156" t="str">
        <f t="shared" si="43"/>
        <v/>
      </c>
      <c r="R107" s="155"/>
      <c r="S107" s="156" t="str">
        <f t="shared" si="44"/>
        <v/>
      </c>
      <c r="T107" s="140" t="str">
        <f t="shared" ca="1" si="45"/>
        <v/>
      </c>
      <c r="U107" s="139" t="str">
        <f t="shared" si="35"/>
        <v/>
      </c>
      <c r="V107" s="139" t="str">
        <f t="shared" si="36"/>
        <v/>
      </c>
      <c r="W107" s="139" t="str">
        <f t="shared" si="37"/>
        <v/>
      </c>
      <c r="X107" s="327"/>
    </row>
    <row r="108" spans="1:24" ht="18.75" x14ac:dyDescent="0.25">
      <c r="A108" s="157"/>
      <c r="B108" s="158"/>
      <c r="C108" s="157"/>
      <c r="D108" s="157"/>
      <c r="E108" s="159"/>
      <c r="F108" s="160">
        <f>SUM(F103:F107)</f>
        <v>0</v>
      </c>
      <c r="G108" s="160">
        <f>SUM(G103:G107)</f>
        <v>144130000</v>
      </c>
      <c r="H108" s="160">
        <f>SUM(H103:H107)</f>
        <v>251770000</v>
      </c>
      <c r="J108" s="161">
        <f t="shared" si="48"/>
        <v>0</v>
      </c>
      <c r="K108" s="161">
        <f t="shared" si="48"/>
        <v>8884.8477376402425</v>
      </c>
      <c r="L108" s="161">
        <f t="shared" si="48"/>
        <v>15520.281099741092</v>
      </c>
      <c r="N108" s="159"/>
      <c r="O108" s="162"/>
      <c r="P108" s="162"/>
      <c r="Q108" s="156" t="str">
        <f t="shared" si="43"/>
        <v/>
      </c>
      <c r="R108" s="162"/>
      <c r="S108" s="156" t="str">
        <f t="shared" si="44"/>
        <v/>
      </c>
      <c r="T108" s="140" t="str">
        <f t="shared" ca="1" si="45"/>
        <v/>
      </c>
      <c r="U108" s="139" t="str">
        <f t="shared" si="35"/>
        <v/>
      </c>
      <c r="V108" s="139" t="str">
        <f t="shared" si="36"/>
        <v/>
      </c>
      <c r="W108" s="139" t="str">
        <f t="shared" si="37"/>
        <v/>
      </c>
      <c r="X108" s="327"/>
    </row>
    <row r="109" spans="1:24" ht="18.75" x14ac:dyDescent="0.25">
      <c r="Q109" s="156" t="str">
        <f t="shared" si="43"/>
        <v/>
      </c>
      <c r="S109" s="156" t="str">
        <f t="shared" si="44"/>
        <v/>
      </c>
      <c r="T109" s="140" t="str">
        <f t="shared" ca="1" si="45"/>
        <v/>
      </c>
      <c r="U109" s="139" t="str">
        <f t="shared" si="35"/>
        <v/>
      </c>
      <c r="V109" s="139" t="str">
        <f t="shared" si="36"/>
        <v/>
      </c>
      <c r="W109" s="139" t="str">
        <f t="shared" si="37"/>
        <v/>
      </c>
      <c r="X109" s="327"/>
    </row>
    <row r="110" spans="1:24" ht="18.75" x14ac:dyDescent="0.25">
      <c r="A110" s="163" t="str">
        <f>'Funding 2019'!L49</f>
        <v>OFFICE RENOVATION</v>
      </c>
      <c r="B110" s="113" t="str">
        <f>'Funding 2019'!L45</f>
        <v>Renovation Office - Praying Room</v>
      </c>
      <c r="C110" s="147"/>
      <c r="D110" s="147"/>
      <c r="E110" s="148"/>
      <c r="F110" s="148"/>
      <c r="G110" s="148"/>
      <c r="H110" s="148"/>
      <c r="J110" s="149">
        <f t="shared" ref="J110:L115" si="50">F110/$J$2</f>
        <v>0</v>
      </c>
      <c r="K110" s="149">
        <f t="shared" si="50"/>
        <v>0</v>
      </c>
      <c r="L110" s="149">
        <f t="shared" si="50"/>
        <v>0</v>
      </c>
      <c r="N110" s="148"/>
      <c r="O110" s="150"/>
      <c r="P110" s="150"/>
      <c r="Q110" s="156" t="str">
        <f t="shared" si="43"/>
        <v/>
      </c>
      <c r="R110" s="150"/>
      <c r="S110" s="156" t="str">
        <f t="shared" si="44"/>
        <v/>
      </c>
      <c r="T110" s="140" t="str">
        <f t="shared" ca="1" si="45"/>
        <v/>
      </c>
      <c r="U110" s="139" t="str">
        <f t="shared" si="35"/>
        <v/>
      </c>
      <c r="V110" s="139" t="str">
        <f t="shared" si="36"/>
        <v/>
      </c>
      <c r="W110" s="139" t="str">
        <f t="shared" si="37"/>
        <v/>
      </c>
      <c r="X110" s="327"/>
    </row>
    <row r="111" spans="1:24" ht="18.75" x14ac:dyDescent="0.25">
      <c r="A111" s="151">
        <v>1</v>
      </c>
      <c r="B111" s="106" t="str">
        <f>'Funding 2019'!$K$45</f>
        <v>CGMMMTW19006</v>
      </c>
      <c r="C111" s="151"/>
      <c r="D111" s="151"/>
      <c r="E111" s="152"/>
      <c r="F111" s="153"/>
      <c r="G111" s="153"/>
      <c r="H111" s="153"/>
      <c r="J111" s="154">
        <f t="shared" si="50"/>
        <v>0</v>
      </c>
      <c r="K111" s="154">
        <f t="shared" si="50"/>
        <v>0</v>
      </c>
      <c r="L111" s="154">
        <f t="shared" si="50"/>
        <v>0</v>
      </c>
      <c r="N111" s="152"/>
      <c r="O111" s="155"/>
      <c r="P111" s="155"/>
      <c r="Q111" s="156" t="str">
        <f t="shared" si="43"/>
        <v/>
      </c>
      <c r="R111" s="155"/>
      <c r="S111" s="156" t="str">
        <f t="shared" si="44"/>
        <v/>
      </c>
      <c r="T111" s="140" t="str">
        <f t="shared" ca="1" si="45"/>
        <v/>
      </c>
      <c r="U111" s="139" t="str">
        <f t="shared" si="35"/>
        <v/>
      </c>
      <c r="V111" s="139" t="str">
        <f t="shared" si="36"/>
        <v/>
      </c>
      <c r="W111" s="139" t="str">
        <f t="shared" si="37"/>
        <v/>
      </c>
      <c r="X111" s="327"/>
    </row>
    <row r="112" spans="1:24" ht="18.75" x14ac:dyDescent="0.25">
      <c r="A112" s="151">
        <v>2</v>
      </c>
      <c r="B112" s="106" t="str">
        <f>'Funding 2019'!$K$45</f>
        <v>CGMMMTW19006</v>
      </c>
      <c r="C112" s="151"/>
      <c r="D112" s="151"/>
      <c r="E112" s="152"/>
      <c r="F112" s="153"/>
      <c r="G112" s="153"/>
      <c r="H112" s="153"/>
      <c r="J112" s="154">
        <f t="shared" ref="J112:L114" si="51">F112/$J$2</f>
        <v>0</v>
      </c>
      <c r="K112" s="154">
        <f t="shared" si="51"/>
        <v>0</v>
      </c>
      <c r="L112" s="154">
        <f t="shared" si="51"/>
        <v>0</v>
      </c>
      <c r="N112" s="152"/>
      <c r="O112" s="155"/>
      <c r="P112" s="155"/>
      <c r="Q112" s="156" t="str">
        <f t="shared" si="43"/>
        <v/>
      </c>
      <c r="R112" s="155"/>
      <c r="S112" s="156" t="str">
        <f t="shared" si="44"/>
        <v/>
      </c>
      <c r="T112" s="140" t="str">
        <f t="shared" ca="1" si="45"/>
        <v/>
      </c>
      <c r="U112" s="139" t="str">
        <f t="shared" si="35"/>
        <v/>
      </c>
      <c r="V112" s="139" t="str">
        <f t="shared" si="36"/>
        <v/>
      </c>
      <c r="W112" s="139" t="str">
        <f t="shared" si="37"/>
        <v/>
      </c>
      <c r="X112" s="327"/>
    </row>
    <row r="113" spans="1:25" ht="18.75" x14ac:dyDescent="0.25">
      <c r="A113" s="151">
        <v>3</v>
      </c>
      <c r="B113" s="106" t="str">
        <f>'Funding 2019'!$K$45</f>
        <v>CGMMMTW19006</v>
      </c>
      <c r="C113" s="151"/>
      <c r="D113" s="151"/>
      <c r="E113" s="152"/>
      <c r="F113" s="153"/>
      <c r="G113" s="153"/>
      <c r="H113" s="153"/>
      <c r="J113" s="154">
        <f t="shared" si="51"/>
        <v>0</v>
      </c>
      <c r="K113" s="154">
        <f t="shared" si="51"/>
        <v>0</v>
      </c>
      <c r="L113" s="154">
        <f t="shared" si="51"/>
        <v>0</v>
      </c>
      <c r="N113" s="152"/>
      <c r="O113" s="155"/>
      <c r="P113" s="155"/>
      <c r="Q113" s="156" t="str">
        <f t="shared" si="43"/>
        <v/>
      </c>
      <c r="R113" s="155"/>
      <c r="S113" s="156" t="str">
        <f t="shared" si="44"/>
        <v/>
      </c>
      <c r="T113" s="140" t="str">
        <f t="shared" ca="1" si="45"/>
        <v/>
      </c>
      <c r="U113" s="139" t="str">
        <f t="shared" si="35"/>
        <v/>
      </c>
      <c r="V113" s="139" t="str">
        <f t="shared" si="36"/>
        <v/>
      </c>
      <c r="W113" s="139" t="str">
        <f t="shared" si="37"/>
        <v/>
      </c>
      <c r="X113" s="327"/>
    </row>
    <row r="114" spans="1:25" ht="18.75" x14ac:dyDescent="0.25">
      <c r="A114" s="151">
        <v>4</v>
      </c>
      <c r="B114" s="106" t="str">
        <f>'Funding 2019'!$K$45</f>
        <v>CGMMMTW19006</v>
      </c>
      <c r="C114" s="151"/>
      <c r="D114" s="151"/>
      <c r="E114" s="152"/>
      <c r="F114" s="153"/>
      <c r="G114" s="153"/>
      <c r="H114" s="153"/>
      <c r="J114" s="154">
        <f t="shared" si="51"/>
        <v>0</v>
      </c>
      <c r="K114" s="154">
        <f t="shared" si="51"/>
        <v>0</v>
      </c>
      <c r="L114" s="154">
        <f t="shared" si="51"/>
        <v>0</v>
      </c>
      <c r="N114" s="152"/>
      <c r="O114" s="155"/>
      <c r="P114" s="155"/>
      <c r="Q114" s="156" t="str">
        <f t="shared" si="43"/>
        <v/>
      </c>
      <c r="R114" s="155"/>
      <c r="S114" s="156" t="str">
        <f t="shared" si="44"/>
        <v/>
      </c>
      <c r="T114" s="140" t="str">
        <f t="shared" ca="1" si="45"/>
        <v/>
      </c>
      <c r="U114" s="139" t="str">
        <f t="shared" si="35"/>
        <v/>
      </c>
      <c r="V114" s="139" t="str">
        <f t="shared" si="36"/>
        <v/>
      </c>
      <c r="W114" s="139" t="str">
        <f t="shared" si="37"/>
        <v/>
      </c>
      <c r="X114" s="327"/>
    </row>
    <row r="115" spans="1:25" ht="18.75" x14ac:dyDescent="0.25">
      <c r="A115" s="157"/>
      <c r="B115" s="158"/>
      <c r="C115" s="157"/>
      <c r="D115" s="157"/>
      <c r="E115" s="159"/>
      <c r="F115" s="160">
        <f>SUM(F110:F114)</f>
        <v>0</v>
      </c>
      <c r="G115" s="160">
        <f>SUM(G110:G114)</f>
        <v>0</v>
      </c>
      <c r="H115" s="160">
        <f>SUM(H110:H114)</f>
        <v>0</v>
      </c>
      <c r="J115" s="161">
        <f t="shared" si="50"/>
        <v>0</v>
      </c>
      <c r="K115" s="161">
        <f t="shared" si="50"/>
        <v>0</v>
      </c>
      <c r="L115" s="161">
        <f t="shared" si="50"/>
        <v>0</v>
      </c>
      <c r="N115" s="159"/>
      <c r="O115" s="162"/>
      <c r="P115" s="162"/>
      <c r="Q115" s="156" t="str">
        <f t="shared" si="43"/>
        <v/>
      </c>
      <c r="R115" s="162"/>
      <c r="S115" s="156" t="str">
        <f t="shared" si="44"/>
        <v/>
      </c>
      <c r="T115" s="140" t="str">
        <f t="shared" ca="1" si="45"/>
        <v/>
      </c>
      <c r="U115" s="139" t="str">
        <f t="shared" si="35"/>
        <v/>
      </c>
      <c r="V115" s="139" t="str">
        <f t="shared" si="36"/>
        <v/>
      </c>
      <c r="W115" s="139" t="str">
        <f t="shared" si="37"/>
        <v/>
      </c>
      <c r="X115" s="327"/>
    </row>
    <row r="116" spans="1:25" ht="18.75" x14ac:dyDescent="0.25">
      <c r="Q116" s="156" t="str">
        <f t="shared" si="43"/>
        <v/>
      </c>
      <c r="S116" s="156" t="str">
        <f t="shared" si="44"/>
        <v/>
      </c>
      <c r="T116" s="140" t="str">
        <f t="shared" ca="1" si="45"/>
        <v/>
      </c>
      <c r="U116" s="139" t="str">
        <f t="shared" si="35"/>
        <v/>
      </c>
      <c r="V116" s="139" t="str">
        <f t="shared" si="36"/>
        <v/>
      </c>
      <c r="W116" s="139" t="str">
        <f t="shared" si="37"/>
        <v/>
      </c>
      <c r="X116" s="327"/>
    </row>
    <row r="117" spans="1:25" ht="18.75" x14ac:dyDescent="0.25">
      <c r="A117" s="163" t="str">
        <f>'Funding 2019'!L49</f>
        <v>OFFICE RENOVATION</v>
      </c>
      <c r="B117" s="113" t="str">
        <f>'Funding 2019'!L48</f>
        <v>Star Logo</v>
      </c>
      <c r="C117" s="147"/>
      <c r="D117" s="147"/>
      <c r="E117" s="148"/>
      <c r="F117" s="148"/>
      <c r="G117" s="148"/>
      <c r="H117" s="148"/>
      <c r="J117" s="149">
        <f t="shared" ref="J117:J122" si="52">F117/$J$2</f>
        <v>0</v>
      </c>
      <c r="K117" s="149">
        <f t="shared" ref="K117:K122" si="53">G117/$J$2</f>
        <v>0</v>
      </c>
      <c r="L117" s="149">
        <f t="shared" ref="L117:L122" si="54">H117/$J$2</f>
        <v>0</v>
      </c>
      <c r="N117" s="148"/>
      <c r="O117" s="150"/>
      <c r="P117" s="150"/>
      <c r="Q117" s="156" t="str">
        <f t="shared" si="43"/>
        <v/>
      </c>
      <c r="R117" s="150"/>
      <c r="S117" s="156" t="str">
        <f t="shared" si="44"/>
        <v/>
      </c>
      <c r="T117" s="140" t="str">
        <f t="shared" ca="1" si="45"/>
        <v/>
      </c>
      <c r="U117" s="139" t="str">
        <f t="shared" si="35"/>
        <v/>
      </c>
      <c r="V117" s="139" t="str">
        <f t="shared" si="36"/>
        <v/>
      </c>
      <c r="W117" s="139" t="str">
        <f t="shared" si="37"/>
        <v/>
      </c>
      <c r="X117" s="327"/>
    </row>
    <row r="118" spans="1:25" ht="18.75" x14ac:dyDescent="0.25">
      <c r="A118" s="151">
        <v>1</v>
      </c>
      <c r="B118" s="106" t="str">
        <f>'Funding 2019'!$K$48</f>
        <v>CGMMMTW19007</v>
      </c>
      <c r="C118" s="151">
        <v>2100011584</v>
      </c>
      <c r="D118" s="151">
        <v>4500134591</v>
      </c>
      <c r="E118" s="152" t="s">
        <v>345</v>
      </c>
      <c r="F118" s="153">
        <f>29890000*0</f>
        <v>0</v>
      </c>
      <c r="G118" s="153">
        <f>15195000*0</f>
        <v>0</v>
      </c>
      <c r="H118" s="153">
        <v>15195000</v>
      </c>
      <c r="J118" s="154">
        <f t="shared" si="52"/>
        <v>0</v>
      </c>
      <c r="K118" s="154">
        <f t="shared" si="53"/>
        <v>0</v>
      </c>
      <c r="L118" s="154">
        <f t="shared" si="54"/>
        <v>936.69091357415857</v>
      </c>
      <c r="N118" s="152" t="s">
        <v>344</v>
      </c>
      <c r="O118" s="155">
        <v>43522</v>
      </c>
      <c r="P118" s="155">
        <v>43523</v>
      </c>
      <c r="Q118" s="156">
        <f t="shared" si="43"/>
        <v>43497</v>
      </c>
      <c r="R118" s="155">
        <v>43556</v>
      </c>
      <c r="S118" s="156">
        <f t="shared" si="44"/>
        <v>43556</v>
      </c>
      <c r="T118" s="140" t="str">
        <f t="shared" ca="1" si="45"/>
        <v/>
      </c>
      <c r="U118" s="139" t="str">
        <f t="shared" si="35"/>
        <v/>
      </c>
      <c r="V118" s="139" t="str">
        <f t="shared" si="36"/>
        <v/>
      </c>
      <c r="W118" s="139" t="str">
        <f t="shared" si="37"/>
        <v/>
      </c>
      <c r="X118" s="327"/>
    </row>
    <row r="119" spans="1:25" ht="18.75" x14ac:dyDescent="0.25">
      <c r="A119" s="151">
        <v>2</v>
      </c>
      <c r="B119" s="106" t="str">
        <f>'Funding 2019'!$K$48</f>
        <v>CGMMMTW19007</v>
      </c>
      <c r="C119" s="151"/>
      <c r="D119" s="151"/>
      <c r="E119" s="152"/>
      <c r="F119" s="153"/>
      <c r="G119" s="153"/>
      <c r="H119" s="153"/>
      <c r="J119" s="154">
        <f t="shared" ref="J119:L121" si="55">F119/$J$2</f>
        <v>0</v>
      </c>
      <c r="K119" s="154">
        <f t="shared" si="55"/>
        <v>0</v>
      </c>
      <c r="L119" s="154">
        <f t="shared" si="55"/>
        <v>0</v>
      </c>
      <c r="N119" s="152"/>
      <c r="O119" s="155"/>
      <c r="P119" s="155"/>
      <c r="Q119" s="156" t="str">
        <f t="shared" si="43"/>
        <v/>
      </c>
      <c r="R119" s="155"/>
      <c r="S119" s="156" t="str">
        <f t="shared" si="44"/>
        <v/>
      </c>
      <c r="T119" s="140" t="str">
        <f t="shared" ca="1" si="45"/>
        <v/>
      </c>
      <c r="U119" s="139" t="str">
        <f t="shared" si="35"/>
        <v/>
      </c>
      <c r="V119" s="139" t="str">
        <f t="shared" si="36"/>
        <v/>
      </c>
      <c r="W119" s="139" t="str">
        <f t="shared" si="37"/>
        <v/>
      </c>
      <c r="X119" s="327"/>
    </row>
    <row r="120" spans="1:25" ht="18.75" x14ac:dyDescent="0.25">
      <c r="A120" s="151">
        <v>3</v>
      </c>
      <c r="B120" s="106" t="str">
        <f>'Funding 2019'!$K$48</f>
        <v>CGMMMTW19007</v>
      </c>
      <c r="C120" s="151"/>
      <c r="D120" s="151"/>
      <c r="E120" s="152"/>
      <c r="F120" s="153"/>
      <c r="G120" s="153"/>
      <c r="H120" s="153"/>
      <c r="J120" s="154">
        <f t="shared" si="55"/>
        <v>0</v>
      </c>
      <c r="K120" s="154">
        <f t="shared" si="55"/>
        <v>0</v>
      </c>
      <c r="L120" s="154">
        <f t="shared" si="55"/>
        <v>0</v>
      </c>
      <c r="N120" s="152"/>
      <c r="O120" s="155"/>
      <c r="P120" s="155"/>
      <c r="Q120" s="156" t="str">
        <f t="shared" si="43"/>
        <v/>
      </c>
      <c r="R120" s="155"/>
      <c r="S120" s="156" t="str">
        <f t="shared" si="44"/>
        <v/>
      </c>
      <c r="T120" s="140" t="str">
        <f t="shared" ca="1" si="45"/>
        <v/>
      </c>
      <c r="U120" s="139" t="str">
        <f t="shared" si="35"/>
        <v/>
      </c>
      <c r="V120" s="139" t="str">
        <f t="shared" si="36"/>
        <v/>
      </c>
      <c r="W120" s="139" t="str">
        <f t="shared" si="37"/>
        <v/>
      </c>
      <c r="X120" s="327"/>
    </row>
    <row r="121" spans="1:25" ht="18.75" x14ac:dyDescent="0.25">
      <c r="A121" s="151">
        <v>4</v>
      </c>
      <c r="B121" s="106" t="str">
        <f>'Funding 2019'!$K$48</f>
        <v>CGMMMTW19007</v>
      </c>
      <c r="C121" s="151"/>
      <c r="D121" s="151"/>
      <c r="E121" s="152"/>
      <c r="F121" s="153"/>
      <c r="G121" s="153"/>
      <c r="H121" s="153"/>
      <c r="J121" s="154">
        <f t="shared" si="55"/>
        <v>0</v>
      </c>
      <c r="K121" s="154">
        <f t="shared" si="55"/>
        <v>0</v>
      </c>
      <c r="L121" s="154">
        <f t="shared" si="55"/>
        <v>0</v>
      </c>
      <c r="N121" s="152"/>
      <c r="O121" s="155"/>
      <c r="P121" s="155"/>
      <c r="Q121" s="156" t="str">
        <f t="shared" si="43"/>
        <v/>
      </c>
      <c r="R121" s="155"/>
      <c r="S121" s="156" t="str">
        <f t="shared" si="44"/>
        <v/>
      </c>
      <c r="T121" s="140" t="str">
        <f t="shared" ca="1" si="45"/>
        <v/>
      </c>
      <c r="U121" s="139" t="str">
        <f t="shared" si="35"/>
        <v/>
      </c>
      <c r="V121" s="139" t="str">
        <f t="shared" si="36"/>
        <v/>
      </c>
      <c r="W121" s="139" t="str">
        <f t="shared" si="37"/>
        <v/>
      </c>
      <c r="X121" s="327"/>
    </row>
    <row r="122" spans="1:25" ht="18.75" x14ac:dyDescent="0.25">
      <c r="A122" s="157"/>
      <c r="B122" s="158"/>
      <c r="C122" s="157"/>
      <c r="D122" s="157"/>
      <c r="E122" s="159"/>
      <c r="F122" s="160">
        <f>SUM(F117:F121)</f>
        <v>0</v>
      </c>
      <c r="G122" s="160">
        <f>SUM(G117:G121)</f>
        <v>0</v>
      </c>
      <c r="H122" s="160">
        <f>SUM(H117:H121)</f>
        <v>15195000</v>
      </c>
      <c r="J122" s="161">
        <f t="shared" si="52"/>
        <v>0</v>
      </c>
      <c r="K122" s="161">
        <f t="shared" si="53"/>
        <v>0</v>
      </c>
      <c r="L122" s="161">
        <f t="shared" si="54"/>
        <v>936.69091357415857</v>
      </c>
      <c r="N122" s="159"/>
      <c r="O122" s="162"/>
      <c r="P122" s="162"/>
      <c r="Q122" s="156" t="str">
        <f t="shared" si="43"/>
        <v/>
      </c>
      <c r="R122" s="162"/>
      <c r="S122" s="156" t="str">
        <f t="shared" si="44"/>
        <v/>
      </c>
      <c r="T122" s="140" t="str">
        <f t="shared" ca="1" si="45"/>
        <v/>
      </c>
      <c r="U122" s="139" t="str">
        <f t="shared" si="35"/>
        <v/>
      </c>
      <c r="V122" s="139" t="str">
        <f t="shared" si="36"/>
        <v/>
      </c>
      <c r="W122" s="139" t="str">
        <f t="shared" si="37"/>
        <v/>
      </c>
      <c r="X122" s="327"/>
    </row>
    <row r="123" spans="1:25" ht="18.75" x14ac:dyDescent="0.25">
      <c r="Q123" s="156" t="str">
        <f t="shared" si="43"/>
        <v/>
      </c>
      <c r="S123" s="156" t="str">
        <f t="shared" si="44"/>
        <v/>
      </c>
      <c r="T123" s="140" t="str">
        <f t="shared" ca="1" si="45"/>
        <v/>
      </c>
      <c r="U123" s="139" t="str">
        <f t="shared" si="35"/>
        <v/>
      </c>
      <c r="V123" s="139" t="str">
        <f t="shared" si="36"/>
        <v/>
      </c>
      <c r="W123" s="139" t="str">
        <f t="shared" si="37"/>
        <v/>
      </c>
      <c r="X123" s="327"/>
    </row>
    <row r="124" spans="1:25" ht="18.75" x14ac:dyDescent="0.25">
      <c r="A124" s="163" t="str">
        <f>'Funding 2019'!L55</f>
        <v>PC-Quality</v>
      </c>
      <c r="B124" s="113" t="str">
        <f>'Funding 2019'!L51</f>
        <v>Tools &amp; Equipment Quality, Quality Tools PC ( SCS Digital Torques )</v>
      </c>
      <c r="C124" s="147"/>
      <c r="D124" s="147"/>
      <c r="E124" s="148"/>
      <c r="F124" s="148"/>
      <c r="G124" s="148"/>
      <c r="H124" s="148"/>
      <c r="J124" s="149">
        <f t="shared" ref="J124:J129" si="56">F124/$J$2</f>
        <v>0</v>
      </c>
      <c r="K124" s="149">
        <f t="shared" ref="K124:K129" si="57">G124/$J$2</f>
        <v>0</v>
      </c>
      <c r="L124" s="149">
        <f t="shared" ref="L124:L129" si="58">H124/$J$2</f>
        <v>0</v>
      </c>
      <c r="N124" s="148"/>
      <c r="O124" s="150"/>
      <c r="P124" s="150"/>
      <c r="Q124" s="156" t="str">
        <f t="shared" si="43"/>
        <v/>
      </c>
      <c r="R124" s="150"/>
      <c r="S124" s="156" t="str">
        <f t="shared" si="44"/>
        <v/>
      </c>
      <c r="T124" s="140" t="str">
        <f t="shared" ca="1" si="45"/>
        <v/>
      </c>
      <c r="U124" s="139" t="str">
        <f t="shared" si="35"/>
        <v/>
      </c>
      <c r="V124" s="139" t="str">
        <f t="shared" si="36"/>
        <v/>
      </c>
      <c r="W124" s="139" t="str">
        <f t="shared" si="37"/>
        <v/>
      </c>
      <c r="X124" s="327"/>
    </row>
    <row r="125" spans="1:25" ht="18.75" x14ac:dyDescent="0.25">
      <c r="A125" s="151">
        <v>1</v>
      </c>
      <c r="B125" s="106" t="str">
        <f>'Funding 2019'!$K$51</f>
        <v>CGMMQPC19001</v>
      </c>
      <c r="C125" s="151">
        <v>5500011218</v>
      </c>
      <c r="D125" s="151"/>
      <c r="E125" s="152" t="s">
        <v>250</v>
      </c>
      <c r="F125" s="166">
        <f>14922600*0</f>
        <v>0</v>
      </c>
      <c r="G125" s="166"/>
      <c r="H125" s="166">
        <v>14922600</v>
      </c>
      <c r="I125" s="277">
        <f>SUM(F125:H125)</f>
        <v>14922600</v>
      </c>
      <c r="J125" s="154">
        <f t="shared" si="56"/>
        <v>0</v>
      </c>
      <c r="K125" s="154">
        <f t="shared" si="57"/>
        <v>0</v>
      </c>
      <c r="L125" s="154">
        <f t="shared" si="58"/>
        <v>919.89890272469484</v>
      </c>
      <c r="N125" s="152" t="s">
        <v>201</v>
      </c>
      <c r="O125" s="292">
        <v>43521</v>
      </c>
      <c r="P125" s="155">
        <v>43488</v>
      </c>
      <c r="Q125" s="156">
        <f t="shared" si="43"/>
        <v>43466</v>
      </c>
      <c r="R125" s="155">
        <v>43525</v>
      </c>
      <c r="S125" s="156">
        <f t="shared" si="44"/>
        <v>43525</v>
      </c>
      <c r="T125" s="140" t="str">
        <f t="shared" ca="1" si="45"/>
        <v/>
      </c>
      <c r="U125" s="139" t="str">
        <f t="shared" si="35"/>
        <v/>
      </c>
      <c r="V125" s="139" t="str">
        <f t="shared" si="36"/>
        <v/>
      </c>
      <c r="W125" s="139" t="str">
        <f t="shared" si="37"/>
        <v/>
      </c>
      <c r="X125" s="327"/>
    </row>
    <row r="126" spans="1:25" ht="18.75" x14ac:dyDescent="0.25">
      <c r="A126" s="151">
        <v>2</v>
      </c>
      <c r="B126" s="106" t="str">
        <f>'Funding 2019'!$K$51</f>
        <v>CGMMQPC19001</v>
      </c>
      <c r="C126" s="151">
        <v>6100000771</v>
      </c>
      <c r="D126" s="151">
        <v>330419809</v>
      </c>
      <c r="E126" s="152" t="s">
        <v>480</v>
      </c>
      <c r="F126" s="166">
        <f>110359610*0</f>
        <v>0</v>
      </c>
      <c r="G126" s="166">
        <f>0*7626968</f>
        <v>0</v>
      </c>
      <c r="H126" s="166">
        <v>120122836</v>
      </c>
      <c r="I126" s="277">
        <f>SUM(F126:H126)</f>
        <v>120122836</v>
      </c>
      <c r="J126" s="154">
        <f t="shared" ref="J126:L128" si="59">F126/$J$2</f>
        <v>0</v>
      </c>
      <c r="K126" s="154">
        <f t="shared" si="59"/>
        <v>0</v>
      </c>
      <c r="L126" s="154">
        <f t="shared" si="59"/>
        <v>7404.9337936136108</v>
      </c>
      <c r="N126" s="152" t="s">
        <v>481</v>
      </c>
      <c r="O126" s="292">
        <v>43663</v>
      </c>
      <c r="P126" s="155">
        <v>43635</v>
      </c>
      <c r="Q126" s="156">
        <f t="shared" si="43"/>
        <v>43617</v>
      </c>
      <c r="R126" s="155">
        <v>43647</v>
      </c>
      <c r="S126" s="156">
        <f t="shared" si="44"/>
        <v>43647</v>
      </c>
      <c r="T126" s="140" t="str">
        <f t="shared" ca="1" si="45"/>
        <v/>
      </c>
      <c r="U126" s="139" t="str">
        <f t="shared" si="35"/>
        <v/>
      </c>
      <c r="V126" s="139" t="str">
        <f t="shared" si="36"/>
        <v/>
      </c>
      <c r="W126" s="139" t="str">
        <f t="shared" si="37"/>
        <v/>
      </c>
      <c r="X126" s="327"/>
      <c r="Y126" s="139" t="s">
        <v>804</v>
      </c>
    </row>
    <row r="127" spans="1:25" ht="18.75" x14ac:dyDescent="0.25">
      <c r="A127" s="151">
        <v>3</v>
      </c>
      <c r="B127" s="106" t="str">
        <f>'Funding 2019'!$K$51</f>
        <v>CGMMQPC19001</v>
      </c>
      <c r="C127" s="151">
        <v>6100000798</v>
      </c>
      <c r="D127" s="151" t="s">
        <v>856</v>
      </c>
      <c r="E127" s="152" t="s">
        <v>640</v>
      </c>
      <c r="F127" s="166">
        <f>131359620*0</f>
        <v>0</v>
      </c>
      <c r="G127" s="166">
        <v>130996141</v>
      </c>
      <c r="H127" s="280"/>
      <c r="I127" s="277">
        <f>SUM(F127:H127)</f>
        <v>130996141</v>
      </c>
      <c r="J127" s="154">
        <f t="shared" si="59"/>
        <v>0</v>
      </c>
      <c r="K127" s="154">
        <f t="shared" si="59"/>
        <v>8075.2152015781039</v>
      </c>
      <c r="L127" s="154">
        <f t="shared" si="59"/>
        <v>0</v>
      </c>
      <c r="N127" s="152" t="s">
        <v>481</v>
      </c>
      <c r="O127" s="292">
        <v>43798</v>
      </c>
      <c r="P127" s="155">
        <v>43718</v>
      </c>
      <c r="Q127" s="156">
        <f t="shared" si="43"/>
        <v>43709</v>
      </c>
      <c r="R127" s="155"/>
      <c r="S127" s="156" t="str">
        <f t="shared" si="44"/>
        <v/>
      </c>
      <c r="T127" s="140" t="str">
        <f t="shared" ca="1" si="45"/>
        <v/>
      </c>
      <c r="U127" s="139" t="str">
        <f t="shared" si="35"/>
        <v/>
      </c>
      <c r="V127" s="139" t="str">
        <f t="shared" si="36"/>
        <v/>
      </c>
      <c r="W127" s="139" t="str">
        <f t="shared" si="37"/>
        <v/>
      </c>
      <c r="X127" s="327"/>
    </row>
    <row r="128" spans="1:25" ht="18.75" x14ac:dyDescent="0.25">
      <c r="A128" s="151">
        <v>4</v>
      </c>
      <c r="B128" s="106" t="str">
        <f>'Funding 2019'!$K$51</f>
        <v>CGMMQPC19001</v>
      </c>
      <c r="C128" s="151"/>
      <c r="D128" s="151"/>
      <c r="E128" s="152"/>
      <c r="F128" s="166"/>
      <c r="G128" s="166"/>
      <c r="H128" s="166"/>
      <c r="J128" s="154">
        <f t="shared" si="59"/>
        <v>0</v>
      </c>
      <c r="K128" s="154">
        <f t="shared" si="59"/>
        <v>0</v>
      </c>
      <c r="L128" s="154">
        <f t="shared" si="59"/>
        <v>0</v>
      </c>
      <c r="N128" s="152"/>
      <c r="O128" s="155"/>
      <c r="P128" s="155"/>
      <c r="Q128" s="156" t="str">
        <f t="shared" si="43"/>
        <v/>
      </c>
      <c r="R128" s="155"/>
      <c r="S128" s="156" t="str">
        <f t="shared" si="44"/>
        <v/>
      </c>
      <c r="T128" s="140" t="str">
        <f t="shared" ca="1" si="45"/>
        <v/>
      </c>
      <c r="U128" s="139" t="str">
        <f t="shared" si="35"/>
        <v/>
      </c>
      <c r="V128" s="139" t="str">
        <f t="shared" si="36"/>
        <v/>
      </c>
      <c r="W128" s="139" t="str">
        <f t="shared" si="37"/>
        <v/>
      </c>
      <c r="X128" s="327"/>
    </row>
    <row r="129" spans="1:24" ht="18.75" x14ac:dyDescent="0.25">
      <c r="A129" s="157"/>
      <c r="B129" s="158"/>
      <c r="C129" s="157"/>
      <c r="D129" s="157"/>
      <c r="E129" s="159"/>
      <c r="F129" s="160">
        <f>SUM(F124:F128)</f>
        <v>0</v>
      </c>
      <c r="G129" s="160">
        <f>SUM(G124:G128)</f>
        <v>130996141</v>
      </c>
      <c r="H129" s="160">
        <f>SUM(H124:H128)</f>
        <v>135045436</v>
      </c>
      <c r="J129" s="161">
        <f t="shared" si="56"/>
        <v>0</v>
      </c>
      <c r="K129" s="161">
        <f t="shared" si="57"/>
        <v>8075.2152015781039</v>
      </c>
      <c r="L129" s="161">
        <f t="shared" si="58"/>
        <v>8324.8326963383061</v>
      </c>
      <c r="N129" s="159"/>
      <c r="O129" s="162"/>
      <c r="P129" s="162"/>
      <c r="Q129" s="156" t="str">
        <f t="shared" si="43"/>
        <v/>
      </c>
      <c r="R129" s="162"/>
      <c r="S129" s="156" t="str">
        <f t="shared" si="44"/>
        <v/>
      </c>
      <c r="T129" s="140" t="str">
        <f t="shared" ca="1" si="45"/>
        <v/>
      </c>
      <c r="U129" s="139" t="str">
        <f t="shared" si="35"/>
        <v/>
      </c>
      <c r="V129" s="139" t="str">
        <f t="shared" si="36"/>
        <v/>
      </c>
      <c r="W129" s="139" t="str">
        <f t="shared" si="37"/>
        <v/>
      </c>
      <c r="X129" s="327"/>
    </row>
    <row r="130" spans="1:24" ht="18.75" x14ac:dyDescent="0.25">
      <c r="Q130" s="156" t="str">
        <f t="shared" si="43"/>
        <v/>
      </c>
      <c r="S130" s="156" t="str">
        <f t="shared" si="44"/>
        <v/>
      </c>
      <c r="T130" s="140" t="str">
        <f t="shared" ca="1" si="45"/>
        <v/>
      </c>
      <c r="U130" s="139" t="str">
        <f t="shared" si="35"/>
        <v/>
      </c>
      <c r="V130" s="139" t="str">
        <f t="shared" si="36"/>
        <v/>
      </c>
      <c r="W130" s="139" t="str">
        <f t="shared" si="37"/>
        <v/>
      </c>
      <c r="X130" s="327"/>
    </row>
    <row r="131" spans="1:24" ht="18.75" x14ac:dyDescent="0.25">
      <c r="A131" s="163" t="str">
        <f>'Funding 2019'!L55</f>
        <v>PC-Quality</v>
      </c>
      <c r="B131" s="113" t="str">
        <f>'Funding 2019'!L52</f>
        <v xml:space="preserve">Central QM Requirement </v>
      </c>
      <c r="C131" s="147"/>
      <c r="D131" s="147"/>
      <c r="E131" s="148"/>
      <c r="F131" s="148"/>
      <c r="G131" s="148"/>
      <c r="H131" s="148"/>
      <c r="J131" s="149">
        <f t="shared" ref="J131:L132" si="60">F131/$J$2</f>
        <v>0</v>
      </c>
      <c r="K131" s="149">
        <f t="shared" si="60"/>
        <v>0</v>
      </c>
      <c r="L131" s="149">
        <f t="shared" si="60"/>
        <v>0</v>
      </c>
      <c r="N131" s="148"/>
      <c r="O131" s="150"/>
      <c r="P131" s="150"/>
      <c r="Q131" s="156" t="str">
        <f t="shared" si="43"/>
        <v/>
      </c>
      <c r="R131" s="150"/>
      <c r="S131" s="156" t="str">
        <f t="shared" si="44"/>
        <v/>
      </c>
      <c r="T131" s="140" t="str">
        <f t="shared" ca="1" si="45"/>
        <v/>
      </c>
      <c r="U131" s="139" t="str">
        <f t="shared" si="35"/>
        <v/>
      </c>
      <c r="V131" s="139" t="str">
        <f t="shared" si="36"/>
        <v/>
      </c>
      <c r="W131" s="139" t="str">
        <f t="shared" si="37"/>
        <v/>
      </c>
      <c r="X131" s="327"/>
    </row>
    <row r="132" spans="1:24" ht="18.75" x14ac:dyDescent="0.25">
      <c r="A132" s="151">
        <v>1</v>
      </c>
      <c r="B132" s="106" t="str">
        <f>'Funding 2019'!$K$52</f>
        <v>CGMMQPC19002</v>
      </c>
      <c r="C132" s="151">
        <v>2100011764</v>
      </c>
      <c r="D132" s="151">
        <v>4500135197</v>
      </c>
      <c r="E132" s="152" t="s">
        <v>692</v>
      </c>
      <c r="F132" s="166">
        <f>120200000*0</f>
        <v>0</v>
      </c>
      <c r="G132" s="166"/>
      <c r="H132" s="166">
        <v>108180000</v>
      </c>
      <c r="J132" s="154">
        <f t="shared" si="60"/>
        <v>0</v>
      </c>
      <c r="K132" s="154">
        <f t="shared" si="60"/>
        <v>0</v>
      </c>
      <c r="L132" s="154">
        <f t="shared" si="60"/>
        <v>6668.7214893354703</v>
      </c>
      <c r="N132" s="152" t="s">
        <v>693</v>
      </c>
      <c r="O132" s="155">
        <v>43717</v>
      </c>
      <c r="P132" s="155">
        <v>43684</v>
      </c>
      <c r="Q132" s="156">
        <f t="shared" si="43"/>
        <v>43678</v>
      </c>
      <c r="R132" s="155">
        <v>43706</v>
      </c>
      <c r="S132" s="156">
        <f t="shared" si="44"/>
        <v>43678</v>
      </c>
      <c r="T132" s="140" t="str">
        <f t="shared" ca="1" si="45"/>
        <v/>
      </c>
      <c r="U132" s="139" t="str">
        <f t="shared" si="35"/>
        <v/>
      </c>
      <c r="V132" s="139" t="str">
        <f t="shared" si="36"/>
        <v/>
      </c>
      <c r="W132" s="139" t="str">
        <f t="shared" si="37"/>
        <v/>
      </c>
      <c r="X132" s="327"/>
    </row>
    <row r="133" spans="1:24" ht="18.75" x14ac:dyDescent="0.25">
      <c r="A133" s="151">
        <v>2</v>
      </c>
      <c r="B133" s="106" t="str">
        <f>'Funding 2019'!$K$52</f>
        <v>CGMMQPC19002</v>
      </c>
      <c r="C133" s="151">
        <v>2100011776</v>
      </c>
      <c r="D133" s="151">
        <v>4500135249</v>
      </c>
      <c r="E133" s="152" t="s">
        <v>732</v>
      </c>
      <c r="F133" s="166"/>
      <c r="G133" s="166">
        <v>514705600</v>
      </c>
      <c r="H133" s="166"/>
      <c r="J133" s="154">
        <f t="shared" ref="J133:J140" si="61">F133/$J$2</f>
        <v>0</v>
      </c>
      <c r="K133" s="154">
        <f t="shared" ref="K133:K140" si="62">G133/$J$2</f>
        <v>31728.862039206015</v>
      </c>
      <c r="L133" s="154">
        <f t="shared" ref="L133:L140" si="63">H133/$J$2</f>
        <v>0</v>
      </c>
      <c r="N133" s="152" t="s">
        <v>693</v>
      </c>
      <c r="O133" s="155">
        <v>43787</v>
      </c>
      <c r="P133" s="155">
        <v>43692</v>
      </c>
      <c r="Q133" s="156">
        <f t="shared" si="43"/>
        <v>43678</v>
      </c>
      <c r="R133" s="155"/>
      <c r="S133" s="156" t="str">
        <f t="shared" si="44"/>
        <v/>
      </c>
      <c r="T133" s="140" t="str">
        <f t="shared" ca="1" si="45"/>
        <v/>
      </c>
      <c r="U133" s="139" t="str">
        <f t="shared" ref="U133:U196" si="64">IF(A133="","",IF(AND(J133&gt;0,Q133=""), "RED",""))</f>
        <v/>
      </c>
      <c r="V133" s="139" t="str">
        <f t="shared" ref="V133:V196" si="65">IF(A133="","",IF(AND(K133&gt;0,Q133=""), "BLUE",""))</f>
        <v/>
      </c>
      <c r="W133" s="139" t="str">
        <f t="shared" ref="W133:W196" si="66">IF(A133="","",IF(AND(L133&gt;0,S133=""), "YELLOW",""))</f>
        <v/>
      </c>
      <c r="X133" s="327"/>
    </row>
    <row r="134" spans="1:24" ht="18.75" x14ac:dyDescent="0.25">
      <c r="A134" s="151">
        <v>3</v>
      </c>
      <c r="B134" s="106" t="str">
        <f>'Funding 2019'!$K$52</f>
        <v>CGMMQPC19002</v>
      </c>
      <c r="C134" s="151">
        <v>2100011781</v>
      </c>
      <c r="D134" s="151">
        <v>4500135354</v>
      </c>
      <c r="E134" s="293" t="s">
        <v>748</v>
      </c>
      <c r="F134" s="166">
        <f>69390000*0</f>
        <v>0</v>
      </c>
      <c r="G134" s="166">
        <v>54000000</v>
      </c>
      <c r="H134" s="166"/>
      <c r="J134" s="154">
        <f t="shared" si="61"/>
        <v>0</v>
      </c>
      <c r="K134" s="154">
        <f t="shared" si="62"/>
        <v>3328.8127234619651</v>
      </c>
      <c r="L134" s="154">
        <f t="shared" si="63"/>
        <v>0</v>
      </c>
      <c r="N134" s="152" t="s">
        <v>737</v>
      </c>
      <c r="O134" s="155">
        <v>43777</v>
      </c>
      <c r="P134" s="155">
        <v>43706</v>
      </c>
      <c r="Q134" s="156">
        <f t="shared" si="43"/>
        <v>43678</v>
      </c>
      <c r="R134" s="155"/>
      <c r="S134" s="156" t="str">
        <f t="shared" si="44"/>
        <v/>
      </c>
      <c r="T134" s="140" t="str">
        <f t="shared" ref="T134:T197" ca="1" si="67">IF(R134="",IF(O134="",IF(P134="","",IF(P134-TODAY()&lt;=0,TODAY()-P134,"")),IF(O134-TODAY()&lt;=0,TODAY()-O134,"")),IF(SUM(F134:G134)&lt;&gt;0,IF(O134="",IF(P134="","",IF(P134-TODAY()&lt;=0,TODAY()-P134,"")),IF(O134-TODAY()&lt;=0,TODAY()-O134,"")),""))</f>
        <v/>
      </c>
      <c r="U134" s="139" t="str">
        <f t="shared" si="64"/>
        <v/>
      </c>
      <c r="V134" s="139" t="str">
        <f t="shared" si="65"/>
        <v/>
      </c>
      <c r="W134" s="139" t="str">
        <f t="shared" si="66"/>
        <v/>
      </c>
      <c r="X134" s="327"/>
    </row>
    <row r="135" spans="1:24" ht="18.75" x14ac:dyDescent="0.25">
      <c r="A135" s="151">
        <v>4</v>
      </c>
      <c r="B135" s="106" t="str">
        <f>'Funding 2019'!$K$52</f>
        <v>CGMMQPC19002</v>
      </c>
      <c r="C135" s="151">
        <v>2100011800</v>
      </c>
      <c r="D135" s="151">
        <v>4500135313</v>
      </c>
      <c r="E135" s="293" t="s">
        <v>761</v>
      </c>
      <c r="F135" s="166">
        <f>427085781*0</f>
        <v>0</v>
      </c>
      <c r="G135" s="166">
        <v>427085781</v>
      </c>
      <c r="H135" s="166"/>
      <c r="J135" s="154">
        <f t="shared" si="61"/>
        <v>0</v>
      </c>
      <c r="K135" s="154">
        <f t="shared" si="62"/>
        <v>26327.566329675748</v>
      </c>
      <c r="L135" s="154">
        <f t="shared" si="63"/>
        <v>0</v>
      </c>
      <c r="N135" s="152" t="s">
        <v>759</v>
      </c>
      <c r="O135" s="155">
        <v>43799</v>
      </c>
      <c r="P135" s="155">
        <v>43718</v>
      </c>
      <c r="Q135" s="156">
        <f t="shared" si="43"/>
        <v>43709</v>
      </c>
      <c r="R135" s="155"/>
      <c r="S135" s="156" t="str">
        <f t="shared" si="44"/>
        <v/>
      </c>
      <c r="T135" s="140" t="str">
        <f t="shared" ca="1" si="67"/>
        <v/>
      </c>
      <c r="U135" s="139" t="str">
        <f t="shared" si="64"/>
        <v/>
      </c>
      <c r="V135" s="139" t="str">
        <f t="shared" si="65"/>
        <v/>
      </c>
      <c r="W135" s="139" t="str">
        <f t="shared" si="66"/>
        <v/>
      </c>
      <c r="X135" s="327"/>
    </row>
    <row r="136" spans="1:24" ht="18.75" x14ac:dyDescent="0.25">
      <c r="A136" s="151">
        <v>5</v>
      </c>
      <c r="B136" s="106" t="str">
        <f>'Funding 2019'!$K$52</f>
        <v>CGMMQPC19002</v>
      </c>
      <c r="C136" s="151">
        <v>2100011797</v>
      </c>
      <c r="D136" s="151">
        <v>4500135312</v>
      </c>
      <c r="E136" s="293" t="s">
        <v>789</v>
      </c>
      <c r="F136" s="166">
        <f>63928500*0</f>
        <v>0</v>
      </c>
      <c r="G136" s="166">
        <v>48840000</v>
      </c>
      <c r="H136" s="166"/>
      <c r="J136" s="154">
        <f t="shared" si="61"/>
        <v>0</v>
      </c>
      <c r="K136" s="154">
        <f t="shared" si="62"/>
        <v>3010.7261743311551</v>
      </c>
      <c r="L136" s="154">
        <f t="shared" si="63"/>
        <v>0</v>
      </c>
      <c r="N136" s="152" t="s">
        <v>781</v>
      </c>
      <c r="O136" s="155">
        <v>43799</v>
      </c>
      <c r="P136" s="155">
        <v>43714</v>
      </c>
      <c r="Q136" s="156">
        <f t="shared" si="43"/>
        <v>43709</v>
      </c>
      <c r="R136" s="155"/>
      <c r="S136" s="156" t="str">
        <f t="shared" si="44"/>
        <v/>
      </c>
      <c r="T136" s="140" t="str">
        <f t="shared" ca="1" si="67"/>
        <v/>
      </c>
      <c r="U136" s="139" t="str">
        <f t="shared" si="64"/>
        <v/>
      </c>
      <c r="V136" s="139" t="str">
        <f t="shared" si="65"/>
        <v/>
      </c>
      <c r="W136" s="139" t="str">
        <f t="shared" si="66"/>
        <v/>
      </c>
      <c r="X136" s="327"/>
    </row>
    <row r="137" spans="1:24" ht="18.75" x14ac:dyDescent="0.25">
      <c r="A137" s="151">
        <v>6</v>
      </c>
      <c r="B137" s="106" t="str">
        <f>'Funding 2019'!$K$52</f>
        <v>CGMMQPC19002</v>
      </c>
      <c r="C137" s="151">
        <v>2100011803</v>
      </c>
      <c r="D137" s="151">
        <v>4500135391</v>
      </c>
      <c r="E137" s="293" t="s">
        <v>827</v>
      </c>
      <c r="F137" s="183"/>
      <c r="G137" s="183"/>
      <c r="H137" s="183">
        <v>24000000</v>
      </c>
      <c r="J137" s="154">
        <f t="shared" si="61"/>
        <v>0</v>
      </c>
      <c r="K137" s="154">
        <f t="shared" si="62"/>
        <v>0</v>
      </c>
      <c r="L137" s="154">
        <f t="shared" si="63"/>
        <v>1479.4723215386512</v>
      </c>
      <c r="N137" s="152" t="s">
        <v>759</v>
      </c>
      <c r="O137" s="155">
        <v>43739</v>
      </c>
      <c r="P137" s="155">
        <v>43720</v>
      </c>
      <c r="Q137" s="156">
        <f t="shared" si="43"/>
        <v>43709</v>
      </c>
      <c r="R137" s="155">
        <v>43746</v>
      </c>
      <c r="S137" s="156">
        <f t="shared" si="44"/>
        <v>43739</v>
      </c>
      <c r="T137" s="140" t="str">
        <f t="shared" ca="1" si="67"/>
        <v/>
      </c>
      <c r="U137" s="139" t="str">
        <f t="shared" si="64"/>
        <v/>
      </c>
      <c r="V137" s="139" t="str">
        <f t="shared" si="65"/>
        <v/>
      </c>
      <c r="W137" s="139" t="str">
        <f t="shared" si="66"/>
        <v/>
      </c>
      <c r="X137" s="327"/>
    </row>
    <row r="138" spans="1:24" ht="18.75" x14ac:dyDescent="0.25">
      <c r="A138" s="151">
        <v>7</v>
      </c>
      <c r="B138" s="106" t="str">
        <f>'Funding 2019'!$K$52</f>
        <v>CGMMQPC19002</v>
      </c>
      <c r="C138" s="151">
        <v>2100011822</v>
      </c>
      <c r="D138" s="151"/>
      <c r="E138" s="293" t="s">
        <v>862</v>
      </c>
      <c r="F138" s="183">
        <f>184000000*0</f>
        <v>0</v>
      </c>
      <c r="G138" s="166"/>
      <c r="H138" s="166"/>
      <c r="J138" s="154">
        <f t="shared" si="61"/>
        <v>0</v>
      </c>
      <c r="K138" s="154">
        <f t="shared" si="62"/>
        <v>0</v>
      </c>
      <c r="L138" s="154">
        <f t="shared" si="63"/>
        <v>0</v>
      </c>
      <c r="N138" s="152" t="s">
        <v>863</v>
      </c>
      <c r="O138" s="155"/>
      <c r="P138" s="155"/>
      <c r="Q138" s="156" t="str">
        <f t="shared" si="43"/>
        <v/>
      </c>
      <c r="R138" s="155"/>
      <c r="S138" s="156" t="str">
        <f t="shared" si="44"/>
        <v/>
      </c>
      <c r="T138" s="140" t="str">
        <f t="shared" ca="1" si="67"/>
        <v/>
      </c>
      <c r="U138" s="139" t="str">
        <f t="shared" si="64"/>
        <v/>
      </c>
      <c r="V138" s="139" t="str">
        <f t="shared" si="65"/>
        <v/>
      </c>
      <c r="W138" s="139" t="str">
        <f t="shared" si="66"/>
        <v/>
      </c>
      <c r="X138" s="327"/>
    </row>
    <row r="139" spans="1:24" ht="18.75" x14ac:dyDescent="0.25">
      <c r="A139" s="151">
        <v>8</v>
      </c>
      <c r="B139" s="106" t="str">
        <f>'Funding 2019'!$K$52</f>
        <v>CGMMQPC19002</v>
      </c>
      <c r="C139" s="151">
        <v>2100011821</v>
      </c>
      <c r="D139" s="151"/>
      <c r="E139" s="293" t="s">
        <v>864</v>
      </c>
      <c r="F139" s="183">
        <f>35000000*0</f>
        <v>0</v>
      </c>
      <c r="G139" s="166"/>
      <c r="H139" s="166"/>
      <c r="J139" s="154">
        <f t="shared" si="61"/>
        <v>0</v>
      </c>
      <c r="K139" s="154">
        <f t="shared" si="62"/>
        <v>0</v>
      </c>
      <c r="L139" s="154">
        <f t="shared" si="63"/>
        <v>0</v>
      </c>
      <c r="N139" s="152" t="s">
        <v>863</v>
      </c>
      <c r="O139" s="155"/>
      <c r="P139" s="155"/>
      <c r="Q139" s="156" t="str">
        <f t="shared" si="43"/>
        <v/>
      </c>
      <c r="R139" s="155"/>
      <c r="S139" s="156" t="str">
        <f t="shared" si="44"/>
        <v/>
      </c>
      <c r="T139" s="140" t="str">
        <f t="shared" ca="1" si="67"/>
        <v/>
      </c>
      <c r="U139" s="139" t="str">
        <f t="shared" si="64"/>
        <v/>
      </c>
      <c r="V139" s="139" t="str">
        <f t="shared" si="65"/>
        <v/>
      </c>
      <c r="W139" s="139" t="str">
        <f t="shared" si="66"/>
        <v/>
      </c>
      <c r="X139" s="327"/>
    </row>
    <row r="140" spans="1:24" ht="18.75" x14ac:dyDescent="0.25">
      <c r="A140" s="151">
        <v>9</v>
      </c>
      <c r="B140" s="106" t="str">
        <f>'Funding 2019'!$K$52</f>
        <v>CGMMQPC19002</v>
      </c>
      <c r="C140" s="151">
        <v>2100011820</v>
      </c>
      <c r="D140" s="151"/>
      <c r="E140" s="293" t="s">
        <v>865</v>
      </c>
      <c r="F140" s="183">
        <f>85000000*0</f>
        <v>0</v>
      </c>
      <c r="G140" s="166"/>
      <c r="H140" s="166"/>
      <c r="J140" s="154">
        <f t="shared" si="61"/>
        <v>0</v>
      </c>
      <c r="K140" s="154">
        <f t="shared" si="62"/>
        <v>0</v>
      </c>
      <c r="L140" s="154">
        <f t="shared" si="63"/>
        <v>0</v>
      </c>
      <c r="N140" s="152" t="s">
        <v>863</v>
      </c>
      <c r="O140" s="155"/>
      <c r="P140" s="155"/>
      <c r="Q140" s="156" t="str">
        <f t="shared" si="43"/>
        <v/>
      </c>
      <c r="R140" s="155"/>
      <c r="S140" s="156" t="str">
        <f t="shared" si="44"/>
        <v/>
      </c>
      <c r="T140" s="140" t="str">
        <f t="shared" ca="1" si="67"/>
        <v/>
      </c>
      <c r="U140" s="139" t="str">
        <f t="shared" si="64"/>
        <v/>
      </c>
      <c r="V140" s="139" t="str">
        <f t="shared" si="65"/>
        <v/>
      </c>
      <c r="W140" s="139" t="str">
        <f t="shared" si="66"/>
        <v/>
      </c>
      <c r="X140" s="327"/>
    </row>
    <row r="141" spans="1:24" ht="18.75" x14ac:dyDescent="0.25">
      <c r="A141" s="151">
        <v>10</v>
      </c>
      <c r="B141" s="106" t="str">
        <f>'Funding 2019'!$K$52</f>
        <v>CGMMQPC19002</v>
      </c>
      <c r="C141" s="151"/>
      <c r="D141" s="151"/>
      <c r="E141" s="152"/>
      <c r="F141" s="166"/>
      <c r="G141" s="166"/>
      <c r="H141" s="166"/>
      <c r="J141" s="154">
        <f t="shared" ref="J141:L142" si="68">F141/$J$2</f>
        <v>0</v>
      </c>
      <c r="K141" s="154">
        <f t="shared" si="68"/>
        <v>0</v>
      </c>
      <c r="L141" s="154">
        <f t="shared" si="68"/>
        <v>0</v>
      </c>
      <c r="N141" s="152"/>
      <c r="O141" s="155"/>
      <c r="P141" s="155"/>
      <c r="Q141" s="156" t="str">
        <f t="shared" si="43"/>
        <v/>
      </c>
      <c r="R141" s="155"/>
      <c r="S141" s="156" t="str">
        <f t="shared" si="44"/>
        <v/>
      </c>
      <c r="T141" s="140" t="str">
        <f t="shared" ca="1" si="67"/>
        <v/>
      </c>
      <c r="U141" s="139" t="str">
        <f t="shared" si="64"/>
        <v/>
      </c>
      <c r="V141" s="139" t="str">
        <f t="shared" si="65"/>
        <v/>
      </c>
      <c r="W141" s="139" t="str">
        <f t="shared" si="66"/>
        <v/>
      </c>
      <c r="X141" s="327"/>
    </row>
    <row r="142" spans="1:24" ht="18.75" x14ac:dyDescent="0.25">
      <c r="A142" s="157"/>
      <c r="B142" s="158"/>
      <c r="C142" s="157"/>
      <c r="D142" s="157"/>
      <c r="E142" s="159"/>
      <c r="F142" s="160">
        <f>SUM(F131:F141)</f>
        <v>0</v>
      </c>
      <c r="G142" s="160">
        <f>SUM(G131:G141)</f>
        <v>1044631381</v>
      </c>
      <c r="H142" s="160">
        <f>SUM(H131:H141)</f>
        <v>132180000</v>
      </c>
      <c r="J142" s="161">
        <f t="shared" si="68"/>
        <v>0</v>
      </c>
      <c r="K142" s="161">
        <f t="shared" si="68"/>
        <v>64395.967266674888</v>
      </c>
      <c r="L142" s="161">
        <f t="shared" si="68"/>
        <v>8148.1938108741215</v>
      </c>
      <c r="N142" s="159"/>
      <c r="O142" s="162"/>
      <c r="P142" s="162"/>
      <c r="Q142" s="156" t="str">
        <f t="shared" si="43"/>
        <v/>
      </c>
      <c r="R142" s="162"/>
      <c r="S142" s="156" t="str">
        <f t="shared" si="44"/>
        <v/>
      </c>
      <c r="T142" s="140" t="str">
        <f t="shared" ca="1" si="67"/>
        <v/>
      </c>
      <c r="U142" s="139" t="str">
        <f t="shared" si="64"/>
        <v/>
      </c>
      <c r="V142" s="139" t="str">
        <f t="shared" si="65"/>
        <v/>
      </c>
      <c r="W142" s="139" t="str">
        <f t="shared" si="66"/>
        <v/>
      </c>
      <c r="X142" s="327"/>
    </row>
    <row r="143" spans="1:24" ht="18.75" x14ac:dyDescent="0.25">
      <c r="Q143" s="156" t="str">
        <f t="shared" si="43"/>
        <v/>
      </c>
      <c r="S143" s="156" t="str">
        <f t="shared" si="44"/>
        <v/>
      </c>
      <c r="T143" s="140" t="str">
        <f t="shared" ca="1" si="67"/>
        <v/>
      </c>
      <c r="U143" s="139" t="str">
        <f t="shared" si="64"/>
        <v/>
      </c>
      <c r="V143" s="139" t="str">
        <f t="shared" si="65"/>
        <v/>
      </c>
      <c r="W143" s="139" t="str">
        <f t="shared" si="66"/>
        <v/>
      </c>
      <c r="X143" s="327"/>
    </row>
    <row r="144" spans="1:24" ht="18.75" x14ac:dyDescent="0.25">
      <c r="A144" s="163" t="str">
        <f>'Funding 2019'!L55</f>
        <v>PC-Quality</v>
      </c>
      <c r="B144" s="113" t="str">
        <f>'Funding 2019'!L53</f>
        <v>Environment facility to fulfill regulation, RKL-RPL (Wanaherang Plant)</v>
      </c>
      <c r="C144" s="147"/>
      <c r="D144" s="147"/>
      <c r="E144" s="148"/>
      <c r="F144" s="148"/>
      <c r="G144" s="148"/>
      <c r="H144" s="148"/>
      <c r="J144" s="149">
        <f t="shared" ref="J144:J149" si="69">F144/$J$2</f>
        <v>0</v>
      </c>
      <c r="K144" s="149">
        <f t="shared" ref="K144:K149" si="70">G144/$J$2</f>
        <v>0</v>
      </c>
      <c r="L144" s="149">
        <f t="shared" ref="L144:L149" si="71">H144/$J$2</f>
        <v>0</v>
      </c>
      <c r="N144" s="148"/>
      <c r="O144" s="150"/>
      <c r="P144" s="150"/>
      <c r="Q144" s="156" t="str">
        <f t="shared" si="43"/>
        <v/>
      </c>
      <c r="R144" s="150"/>
      <c r="S144" s="156" t="str">
        <f t="shared" si="44"/>
        <v/>
      </c>
      <c r="T144" s="140" t="str">
        <f t="shared" ca="1" si="67"/>
        <v/>
      </c>
      <c r="U144" s="139" t="str">
        <f t="shared" si="64"/>
        <v/>
      </c>
      <c r="V144" s="139" t="str">
        <f t="shared" si="65"/>
        <v/>
      </c>
      <c r="W144" s="139" t="str">
        <f t="shared" si="66"/>
        <v/>
      </c>
      <c r="X144" s="327"/>
    </row>
    <row r="145" spans="1:24" ht="18.75" x14ac:dyDescent="0.25">
      <c r="A145" s="151">
        <v>1</v>
      </c>
      <c r="B145" s="106" t="str">
        <f>'Funding 2019'!$K$53</f>
        <v>CGMMQPC19003</v>
      </c>
      <c r="C145" s="151"/>
      <c r="D145" s="151"/>
      <c r="E145" s="152"/>
      <c r="F145" s="153"/>
      <c r="G145" s="153"/>
      <c r="H145" s="153"/>
      <c r="J145" s="154">
        <f t="shared" si="69"/>
        <v>0</v>
      </c>
      <c r="K145" s="154">
        <f t="shared" si="70"/>
        <v>0</v>
      </c>
      <c r="L145" s="154">
        <f t="shared" si="71"/>
        <v>0</v>
      </c>
      <c r="N145" s="152"/>
      <c r="O145" s="155"/>
      <c r="P145" s="155"/>
      <c r="Q145" s="156" t="str">
        <f t="shared" si="43"/>
        <v/>
      </c>
      <c r="R145" s="155"/>
      <c r="S145" s="156" t="str">
        <f t="shared" si="44"/>
        <v/>
      </c>
      <c r="T145" s="140" t="str">
        <f t="shared" ca="1" si="67"/>
        <v/>
      </c>
      <c r="U145" s="139" t="str">
        <f t="shared" si="64"/>
        <v/>
      </c>
      <c r="V145" s="139" t="str">
        <f t="shared" si="65"/>
        <v/>
      </c>
      <c r="W145" s="139" t="str">
        <f t="shared" si="66"/>
        <v/>
      </c>
      <c r="X145" s="327"/>
    </row>
    <row r="146" spans="1:24" ht="18.75" x14ac:dyDescent="0.25">
      <c r="A146" s="151">
        <v>2</v>
      </c>
      <c r="B146" s="106" t="str">
        <f>'Funding 2019'!$K$53</f>
        <v>CGMMQPC19003</v>
      </c>
      <c r="C146" s="151"/>
      <c r="D146" s="151"/>
      <c r="E146" s="152"/>
      <c r="F146" s="153"/>
      <c r="G146" s="153"/>
      <c r="H146" s="153"/>
      <c r="J146" s="154">
        <f t="shared" ref="J146:L148" si="72">F146/$J$2</f>
        <v>0</v>
      </c>
      <c r="K146" s="154">
        <f t="shared" si="72"/>
        <v>0</v>
      </c>
      <c r="L146" s="154">
        <f t="shared" si="72"/>
        <v>0</v>
      </c>
      <c r="N146" s="152"/>
      <c r="O146" s="155"/>
      <c r="P146" s="155"/>
      <c r="Q146" s="156" t="str">
        <f t="shared" si="43"/>
        <v/>
      </c>
      <c r="R146" s="155"/>
      <c r="S146" s="156" t="str">
        <f t="shared" si="44"/>
        <v/>
      </c>
      <c r="T146" s="140" t="str">
        <f t="shared" ca="1" si="67"/>
        <v/>
      </c>
      <c r="U146" s="139" t="str">
        <f t="shared" si="64"/>
        <v/>
      </c>
      <c r="V146" s="139" t="str">
        <f t="shared" si="65"/>
        <v/>
      </c>
      <c r="W146" s="139" t="str">
        <f t="shared" si="66"/>
        <v/>
      </c>
      <c r="X146" s="327"/>
    </row>
    <row r="147" spans="1:24" ht="18.75" x14ac:dyDescent="0.25">
      <c r="A147" s="151">
        <v>3</v>
      </c>
      <c r="B147" s="106" t="str">
        <f>'Funding 2019'!$K$53</f>
        <v>CGMMQPC19003</v>
      </c>
      <c r="C147" s="151"/>
      <c r="D147" s="151"/>
      <c r="E147" s="152"/>
      <c r="F147" s="153"/>
      <c r="G147" s="153"/>
      <c r="H147" s="153"/>
      <c r="J147" s="154">
        <f t="shared" si="72"/>
        <v>0</v>
      </c>
      <c r="K147" s="154">
        <f t="shared" si="72"/>
        <v>0</v>
      </c>
      <c r="L147" s="154">
        <f t="shared" si="72"/>
        <v>0</v>
      </c>
      <c r="N147" s="152"/>
      <c r="O147" s="155"/>
      <c r="P147" s="155"/>
      <c r="Q147" s="156" t="str">
        <f t="shared" si="43"/>
        <v/>
      </c>
      <c r="R147" s="155"/>
      <c r="S147" s="156" t="str">
        <f t="shared" si="44"/>
        <v/>
      </c>
      <c r="T147" s="140" t="str">
        <f t="shared" ca="1" si="67"/>
        <v/>
      </c>
      <c r="U147" s="139" t="str">
        <f t="shared" si="64"/>
        <v/>
      </c>
      <c r="V147" s="139" t="str">
        <f t="shared" si="65"/>
        <v/>
      </c>
      <c r="W147" s="139" t="str">
        <f t="shared" si="66"/>
        <v/>
      </c>
      <c r="X147" s="327"/>
    </row>
    <row r="148" spans="1:24" ht="18.75" x14ac:dyDescent="0.25">
      <c r="A148" s="151">
        <v>4</v>
      </c>
      <c r="B148" s="106" t="str">
        <f>'Funding 2019'!$K$53</f>
        <v>CGMMQPC19003</v>
      </c>
      <c r="C148" s="151"/>
      <c r="D148" s="151"/>
      <c r="E148" s="152"/>
      <c r="F148" s="153"/>
      <c r="G148" s="153"/>
      <c r="H148" s="153"/>
      <c r="J148" s="154">
        <f t="shared" si="72"/>
        <v>0</v>
      </c>
      <c r="K148" s="154">
        <f t="shared" si="72"/>
        <v>0</v>
      </c>
      <c r="L148" s="154">
        <f t="shared" si="72"/>
        <v>0</v>
      </c>
      <c r="N148" s="152"/>
      <c r="O148" s="155"/>
      <c r="P148" s="155"/>
      <c r="Q148" s="156" t="str">
        <f t="shared" si="43"/>
        <v/>
      </c>
      <c r="R148" s="155"/>
      <c r="S148" s="156" t="str">
        <f t="shared" si="44"/>
        <v/>
      </c>
      <c r="T148" s="140" t="str">
        <f t="shared" ca="1" si="67"/>
        <v/>
      </c>
      <c r="U148" s="139" t="str">
        <f t="shared" si="64"/>
        <v/>
      </c>
      <c r="V148" s="139" t="str">
        <f t="shared" si="65"/>
        <v/>
      </c>
      <c r="W148" s="139" t="str">
        <f t="shared" si="66"/>
        <v/>
      </c>
      <c r="X148" s="327"/>
    </row>
    <row r="149" spans="1:24" ht="18.75" x14ac:dyDescent="0.25">
      <c r="A149" s="157"/>
      <c r="B149" s="158"/>
      <c r="C149" s="157"/>
      <c r="D149" s="157"/>
      <c r="E149" s="159"/>
      <c r="F149" s="160">
        <f>SUM(F144:F148)</f>
        <v>0</v>
      </c>
      <c r="G149" s="160">
        <f>SUM(G144:G148)</f>
        <v>0</v>
      </c>
      <c r="H149" s="160">
        <f>SUM(H144:H148)</f>
        <v>0</v>
      </c>
      <c r="J149" s="161">
        <f t="shared" si="69"/>
        <v>0</v>
      </c>
      <c r="K149" s="161">
        <f t="shared" si="70"/>
        <v>0</v>
      </c>
      <c r="L149" s="161">
        <f t="shared" si="71"/>
        <v>0</v>
      </c>
      <c r="N149" s="159"/>
      <c r="O149" s="162"/>
      <c r="P149" s="162"/>
      <c r="Q149" s="156" t="str">
        <f t="shared" si="43"/>
        <v/>
      </c>
      <c r="R149" s="162"/>
      <c r="S149" s="156" t="str">
        <f t="shared" si="44"/>
        <v/>
      </c>
      <c r="T149" s="140" t="str">
        <f t="shared" ca="1" si="67"/>
        <v/>
      </c>
      <c r="U149" s="139" t="str">
        <f t="shared" si="64"/>
        <v/>
      </c>
      <c r="V149" s="139" t="str">
        <f t="shared" si="65"/>
        <v/>
      </c>
      <c r="W149" s="139" t="str">
        <f t="shared" si="66"/>
        <v/>
      </c>
      <c r="X149" s="327"/>
    </row>
    <row r="150" spans="1:24" ht="18.75" x14ac:dyDescent="0.25">
      <c r="Q150" s="156" t="str">
        <f t="shared" ref="Q150:Q213" si="73">IF(P150="","",IF(YEAR(P150)&lt;=2018,DATE(2018,12,31),EOMONTH(P150,-1)+1))</f>
        <v/>
      </c>
      <c r="S150" s="156" t="str">
        <f t="shared" ref="S150:S213" si="74">IF(R150="","",IF(YEAR(R150)&lt;=2018,DATE(2018,12,31),EOMONTH(R150,-1)+1))</f>
        <v/>
      </c>
      <c r="T150" s="140" t="str">
        <f t="shared" ca="1" si="67"/>
        <v/>
      </c>
      <c r="U150" s="139" t="str">
        <f t="shared" si="64"/>
        <v/>
      </c>
      <c r="V150" s="139" t="str">
        <f t="shared" si="65"/>
        <v/>
      </c>
      <c r="W150" s="139" t="str">
        <f t="shared" si="66"/>
        <v/>
      </c>
      <c r="X150" s="327"/>
    </row>
    <row r="151" spans="1:24" ht="18.75" x14ac:dyDescent="0.25">
      <c r="A151" s="163" t="str">
        <f>'Funding 2019'!L59</f>
        <v>PC-Logistics</v>
      </c>
      <c r="B151" s="113" t="str">
        <f>'Funding 2019'!L57</f>
        <v>Forklift Diesel, Hand Held Barcode</v>
      </c>
      <c r="C151" s="147"/>
      <c r="D151" s="147"/>
      <c r="E151" s="148"/>
      <c r="F151" s="148"/>
      <c r="G151" s="148"/>
      <c r="H151" s="148"/>
      <c r="J151" s="149">
        <f t="shared" ref="J151:L152" si="75">F151/$J$2</f>
        <v>0</v>
      </c>
      <c r="K151" s="149">
        <f t="shared" si="75"/>
        <v>0</v>
      </c>
      <c r="L151" s="149">
        <f t="shared" si="75"/>
        <v>0</v>
      </c>
      <c r="N151" s="148"/>
      <c r="O151" s="150"/>
      <c r="P151" s="150"/>
      <c r="Q151" s="156" t="str">
        <f t="shared" si="73"/>
        <v/>
      </c>
      <c r="R151" s="150"/>
      <c r="S151" s="156" t="str">
        <f t="shared" si="74"/>
        <v/>
      </c>
      <c r="T151" s="140" t="str">
        <f t="shared" ca="1" si="67"/>
        <v/>
      </c>
      <c r="U151" s="139" t="str">
        <f t="shared" si="64"/>
        <v/>
      </c>
      <c r="V151" s="139" t="str">
        <f t="shared" si="65"/>
        <v/>
      </c>
      <c r="W151" s="139" t="str">
        <f t="shared" si="66"/>
        <v/>
      </c>
      <c r="X151" s="327"/>
    </row>
    <row r="152" spans="1:24" ht="18.75" x14ac:dyDescent="0.25">
      <c r="A152" s="151">
        <v>1</v>
      </c>
      <c r="B152" s="106" t="str">
        <f>'Funding 2019'!$K$57</f>
        <v>CGMMLOG19001</v>
      </c>
      <c r="C152" s="151">
        <v>2100011433</v>
      </c>
      <c r="D152" s="151">
        <v>4500134443</v>
      </c>
      <c r="E152" s="152" t="s">
        <v>251</v>
      </c>
      <c r="F152" s="153">
        <f>300000000*0</f>
        <v>0</v>
      </c>
      <c r="G152" s="153"/>
      <c r="H152" s="153">
        <v>300000000</v>
      </c>
      <c r="J152" s="154">
        <f t="shared" si="75"/>
        <v>0</v>
      </c>
      <c r="K152" s="154">
        <f t="shared" si="75"/>
        <v>0</v>
      </c>
      <c r="L152" s="154">
        <f t="shared" si="75"/>
        <v>18493.404019233141</v>
      </c>
      <c r="N152" s="152" t="s">
        <v>174</v>
      </c>
      <c r="O152" s="292">
        <v>43496</v>
      </c>
      <c r="P152" s="155">
        <v>43377</v>
      </c>
      <c r="Q152" s="156">
        <f t="shared" si="73"/>
        <v>43465</v>
      </c>
      <c r="R152" s="155">
        <v>43466</v>
      </c>
      <c r="S152" s="156">
        <f t="shared" si="74"/>
        <v>43466</v>
      </c>
      <c r="T152" s="140" t="str">
        <f t="shared" ca="1" si="67"/>
        <v/>
      </c>
      <c r="U152" s="139" t="str">
        <f t="shared" si="64"/>
        <v/>
      </c>
      <c r="V152" s="139" t="str">
        <f t="shared" si="65"/>
        <v/>
      </c>
      <c r="W152" s="139" t="str">
        <f t="shared" si="66"/>
        <v/>
      </c>
      <c r="X152" s="327"/>
    </row>
    <row r="153" spans="1:24" ht="18.75" x14ac:dyDescent="0.25">
      <c r="A153" s="151">
        <v>2</v>
      </c>
      <c r="B153" s="106" t="str">
        <f>'Funding 2019'!$K$57</f>
        <v>CGMMLOG19001</v>
      </c>
      <c r="C153" s="151">
        <v>2100011547</v>
      </c>
      <c r="D153" s="151">
        <v>4500134546</v>
      </c>
      <c r="E153" s="152" t="s">
        <v>252</v>
      </c>
      <c r="F153" s="153">
        <f>62226500*0</f>
        <v>0</v>
      </c>
      <c r="G153" s="153">
        <f>49158935*0</f>
        <v>0</v>
      </c>
      <c r="H153" s="153">
        <v>49158935</v>
      </c>
      <c r="J153" s="154">
        <f t="shared" ref="J153:J160" si="76">F153/$J$2</f>
        <v>0</v>
      </c>
      <c r="K153" s="154">
        <f t="shared" ref="K153:K160" si="77">G153/$J$2</f>
        <v>0</v>
      </c>
      <c r="L153" s="154">
        <f t="shared" ref="L153:L160" si="78">H153/$J$2</f>
        <v>3030.3868203674024</v>
      </c>
      <c r="N153" s="152" t="s">
        <v>201</v>
      </c>
      <c r="O153" s="292">
        <v>43527</v>
      </c>
      <c r="P153" s="155">
        <v>43497</v>
      </c>
      <c r="Q153" s="156">
        <f t="shared" si="73"/>
        <v>43497</v>
      </c>
      <c r="R153" s="155">
        <v>43497</v>
      </c>
      <c r="S153" s="156">
        <f t="shared" si="74"/>
        <v>43497</v>
      </c>
      <c r="T153" s="140" t="str">
        <f t="shared" ca="1" si="67"/>
        <v/>
      </c>
      <c r="U153" s="139" t="str">
        <f t="shared" si="64"/>
        <v/>
      </c>
      <c r="V153" s="139" t="str">
        <f t="shared" si="65"/>
        <v/>
      </c>
      <c r="W153" s="139" t="str">
        <f t="shared" si="66"/>
        <v/>
      </c>
      <c r="X153" s="327"/>
    </row>
    <row r="154" spans="1:24" ht="18.75" x14ac:dyDescent="0.25">
      <c r="A154" s="151">
        <v>4</v>
      </c>
      <c r="B154" s="106" t="str">
        <f>'Funding 2019'!$K$57</f>
        <v>CGMMLOG19001</v>
      </c>
      <c r="C154" s="151">
        <v>5500011245</v>
      </c>
      <c r="D154" s="151"/>
      <c r="E154" s="152" t="s">
        <v>253</v>
      </c>
      <c r="F154" s="153">
        <f>14599200*0</f>
        <v>0</v>
      </c>
      <c r="G154" s="153"/>
      <c r="H154" s="153">
        <v>14599200</v>
      </c>
      <c r="J154" s="154">
        <f t="shared" si="76"/>
        <v>0</v>
      </c>
      <c r="K154" s="154">
        <f t="shared" si="77"/>
        <v>0</v>
      </c>
      <c r="L154" s="154">
        <f t="shared" si="78"/>
        <v>899.96301319196152</v>
      </c>
      <c r="N154" s="152" t="s">
        <v>201</v>
      </c>
      <c r="O154" s="292">
        <v>43527</v>
      </c>
      <c r="P154" s="155">
        <v>43497</v>
      </c>
      <c r="Q154" s="156">
        <f t="shared" si="73"/>
        <v>43497</v>
      </c>
      <c r="R154" s="155">
        <v>43497</v>
      </c>
      <c r="S154" s="156">
        <f t="shared" si="74"/>
        <v>43497</v>
      </c>
      <c r="T154" s="140" t="str">
        <f t="shared" ca="1" si="67"/>
        <v/>
      </c>
      <c r="U154" s="139" t="str">
        <f t="shared" si="64"/>
        <v/>
      </c>
      <c r="V154" s="139" t="str">
        <f t="shared" si="65"/>
        <v/>
      </c>
      <c r="W154" s="139" t="str">
        <f t="shared" si="66"/>
        <v/>
      </c>
      <c r="X154" s="327"/>
    </row>
    <row r="155" spans="1:24" ht="18.75" x14ac:dyDescent="0.25">
      <c r="A155" s="151">
        <v>5</v>
      </c>
      <c r="B155" s="106" t="str">
        <f>'Funding 2019'!$K$57</f>
        <v>CGMMLOG19001</v>
      </c>
      <c r="C155" s="151">
        <v>5500011247</v>
      </c>
      <c r="D155" s="151"/>
      <c r="E155" s="152" t="s">
        <v>254</v>
      </c>
      <c r="F155" s="153">
        <f>15768750*0</f>
        <v>0</v>
      </c>
      <c r="G155" s="153"/>
      <c r="H155" s="153">
        <f>12781750+797500+2189500</f>
        <v>15768750</v>
      </c>
      <c r="J155" s="154">
        <f t="shared" si="76"/>
        <v>0</v>
      </c>
      <c r="K155" s="154">
        <f t="shared" si="77"/>
        <v>0</v>
      </c>
      <c r="L155" s="154">
        <f t="shared" si="78"/>
        <v>972.05954876094188</v>
      </c>
      <c r="N155" s="152" t="s">
        <v>201</v>
      </c>
      <c r="O155" s="292">
        <v>43527</v>
      </c>
      <c r="P155" s="155">
        <v>43497</v>
      </c>
      <c r="Q155" s="156">
        <f t="shared" si="73"/>
        <v>43497</v>
      </c>
      <c r="R155" s="155">
        <v>43556</v>
      </c>
      <c r="S155" s="156">
        <f t="shared" si="74"/>
        <v>43556</v>
      </c>
      <c r="T155" s="140" t="str">
        <f t="shared" ca="1" si="67"/>
        <v/>
      </c>
      <c r="U155" s="139" t="str">
        <f t="shared" si="64"/>
        <v/>
      </c>
      <c r="V155" s="139" t="str">
        <f t="shared" si="65"/>
        <v/>
      </c>
      <c r="W155" s="139" t="str">
        <f t="shared" si="66"/>
        <v/>
      </c>
      <c r="X155" s="327"/>
    </row>
    <row r="156" spans="1:24" ht="18.75" x14ac:dyDescent="0.25">
      <c r="A156" s="151">
        <v>6</v>
      </c>
      <c r="B156" s="106" t="str">
        <f>'Funding 2019'!$K$57</f>
        <v>CGMMLOG19001</v>
      </c>
      <c r="C156" s="151">
        <v>5500011259</v>
      </c>
      <c r="D156" s="151"/>
      <c r="E156" s="152" t="s">
        <v>255</v>
      </c>
      <c r="F156" s="153">
        <f>3576090*0</f>
        <v>0</v>
      </c>
      <c r="G156" s="153"/>
      <c r="H156" s="153">
        <v>3576090</v>
      </c>
      <c r="J156" s="154">
        <f t="shared" si="76"/>
        <v>0</v>
      </c>
      <c r="K156" s="154">
        <f t="shared" si="77"/>
        <v>0</v>
      </c>
      <c r="L156" s="154">
        <f t="shared" si="78"/>
        <v>220.44692393046481</v>
      </c>
      <c r="N156" s="152" t="s">
        <v>201</v>
      </c>
      <c r="O156" s="292">
        <v>43527</v>
      </c>
      <c r="P156" s="155">
        <v>43502</v>
      </c>
      <c r="Q156" s="156">
        <f t="shared" si="73"/>
        <v>43497</v>
      </c>
      <c r="R156" s="155">
        <v>43497</v>
      </c>
      <c r="S156" s="156">
        <f t="shared" si="74"/>
        <v>43497</v>
      </c>
      <c r="T156" s="140" t="str">
        <f t="shared" ca="1" si="67"/>
        <v/>
      </c>
      <c r="U156" s="139" t="str">
        <f t="shared" si="64"/>
        <v/>
      </c>
      <c r="V156" s="139" t="str">
        <f t="shared" si="65"/>
        <v/>
      </c>
      <c r="W156" s="139" t="str">
        <f t="shared" si="66"/>
        <v/>
      </c>
      <c r="X156" s="327"/>
    </row>
    <row r="157" spans="1:24" ht="18.75" x14ac:dyDescent="0.25">
      <c r="A157" s="151">
        <v>7</v>
      </c>
      <c r="B157" s="106" t="str">
        <f>'Funding 2019'!$K$57</f>
        <v>CGMMLOG19001</v>
      </c>
      <c r="C157" s="151"/>
      <c r="D157" s="151"/>
      <c r="E157" s="152"/>
      <c r="F157" s="153"/>
      <c r="G157" s="153"/>
      <c r="H157" s="153"/>
      <c r="J157" s="154">
        <f t="shared" si="76"/>
        <v>0</v>
      </c>
      <c r="K157" s="154">
        <f t="shared" si="77"/>
        <v>0</v>
      </c>
      <c r="L157" s="154">
        <f t="shared" si="78"/>
        <v>0</v>
      </c>
      <c r="N157" s="152"/>
      <c r="O157" s="155"/>
      <c r="P157" s="155"/>
      <c r="Q157" s="156" t="str">
        <f t="shared" si="73"/>
        <v/>
      </c>
      <c r="R157" s="155"/>
      <c r="S157" s="156" t="str">
        <f t="shared" si="74"/>
        <v/>
      </c>
      <c r="T157" s="140" t="str">
        <f t="shared" ca="1" si="67"/>
        <v/>
      </c>
      <c r="U157" s="139" t="str">
        <f t="shared" si="64"/>
        <v/>
      </c>
      <c r="V157" s="139" t="str">
        <f t="shared" si="65"/>
        <v/>
      </c>
      <c r="W157" s="139" t="str">
        <f t="shared" si="66"/>
        <v/>
      </c>
      <c r="X157" s="327"/>
    </row>
    <row r="158" spans="1:24" ht="18.75" x14ac:dyDescent="0.25">
      <c r="A158" s="151">
        <v>8</v>
      </c>
      <c r="B158" s="106" t="str">
        <f>'Funding 2019'!$K$57</f>
        <v>CGMMLOG19001</v>
      </c>
      <c r="C158" s="151"/>
      <c r="D158" s="151"/>
      <c r="E158" s="152"/>
      <c r="F158" s="153"/>
      <c r="G158" s="153"/>
      <c r="H158" s="153"/>
      <c r="J158" s="154">
        <f t="shared" si="76"/>
        <v>0</v>
      </c>
      <c r="K158" s="154">
        <f t="shared" si="77"/>
        <v>0</v>
      </c>
      <c r="L158" s="154">
        <f t="shared" si="78"/>
        <v>0</v>
      </c>
      <c r="N158" s="152"/>
      <c r="O158" s="155"/>
      <c r="P158" s="155"/>
      <c r="Q158" s="156" t="str">
        <f t="shared" si="73"/>
        <v/>
      </c>
      <c r="R158" s="155"/>
      <c r="S158" s="156" t="str">
        <f t="shared" si="74"/>
        <v/>
      </c>
      <c r="T158" s="140" t="str">
        <f t="shared" ca="1" si="67"/>
        <v/>
      </c>
      <c r="U158" s="139" t="str">
        <f t="shared" si="64"/>
        <v/>
      </c>
      <c r="V158" s="139" t="str">
        <f t="shared" si="65"/>
        <v/>
      </c>
      <c r="W158" s="139" t="str">
        <f t="shared" si="66"/>
        <v/>
      </c>
      <c r="X158" s="327"/>
    </row>
    <row r="159" spans="1:24" ht="18.75" x14ac:dyDescent="0.25">
      <c r="A159" s="151">
        <v>9</v>
      </c>
      <c r="B159" s="106" t="str">
        <f>'Funding 2019'!$K$57</f>
        <v>CGMMLOG19001</v>
      </c>
      <c r="C159" s="151"/>
      <c r="D159" s="151"/>
      <c r="E159" s="152"/>
      <c r="F159" s="153"/>
      <c r="G159" s="153"/>
      <c r="H159" s="153"/>
      <c r="J159" s="154">
        <f t="shared" si="76"/>
        <v>0</v>
      </c>
      <c r="K159" s="154">
        <f t="shared" si="77"/>
        <v>0</v>
      </c>
      <c r="L159" s="154">
        <f t="shared" si="78"/>
        <v>0</v>
      </c>
      <c r="N159" s="152"/>
      <c r="O159" s="155"/>
      <c r="P159" s="155"/>
      <c r="Q159" s="156" t="str">
        <f t="shared" si="73"/>
        <v/>
      </c>
      <c r="R159" s="155"/>
      <c r="S159" s="156" t="str">
        <f t="shared" si="74"/>
        <v/>
      </c>
      <c r="T159" s="140" t="str">
        <f t="shared" ca="1" si="67"/>
        <v/>
      </c>
      <c r="U159" s="139" t="str">
        <f t="shared" si="64"/>
        <v/>
      </c>
      <c r="V159" s="139" t="str">
        <f t="shared" si="65"/>
        <v/>
      </c>
      <c r="W159" s="139" t="str">
        <f t="shared" si="66"/>
        <v/>
      </c>
      <c r="X159" s="327"/>
    </row>
    <row r="160" spans="1:24" ht="18.75" x14ac:dyDescent="0.25">
      <c r="A160" s="151">
        <v>10</v>
      </c>
      <c r="B160" s="106" t="str">
        <f>'Funding 2019'!$K$57</f>
        <v>CGMMLOG19001</v>
      </c>
      <c r="C160" s="151"/>
      <c r="D160" s="151"/>
      <c r="E160" s="152"/>
      <c r="F160" s="153"/>
      <c r="G160" s="153"/>
      <c r="H160" s="153"/>
      <c r="J160" s="154">
        <f t="shared" si="76"/>
        <v>0</v>
      </c>
      <c r="K160" s="154">
        <f t="shared" si="77"/>
        <v>0</v>
      </c>
      <c r="L160" s="154">
        <f t="shared" si="78"/>
        <v>0</v>
      </c>
      <c r="N160" s="152"/>
      <c r="O160" s="155"/>
      <c r="P160" s="155"/>
      <c r="Q160" s="156" t="str">
        <f t="shared" si="73"/>
        <v/>
      </c>
      <c r="R160" s="155"/>
      <c r="S160" s="156" t="str">
        <f t="shared" si="74"/>
        <v/>
      </c>
      <c r="T160" s="140" t="str">
        <f t="shared" ca="1" si="67"/>
        <v/>
      </c>
      <c r="U160" s="139" t="str">
        <f t="shared" si="64"/>
        <v/>
      </c>
      <c r="V160" s="139" t="str">
        <f t="shared" si="65"/>
        <v/>
      </c>
      <c r="W160" s="139" t="str">
        <f t="shared" si="66"/>
        <v/>
      </c>
      <c r="X160" s="327"/>
    </row>
    <row r="161" spans="1:24" ht="18.75" x14ac:dyDescent="0.25">
      <c r="A161" s="157"/>
      <c r="B161" s="158"/>
      <c r="C161" s="157"/>
      <c r="D161" s="157"/>
      <c r="E161" s="159"/>
      <c r="F161" s="160">
        <f>SUM(F151:F160)</f>
        <v>0</v>
      </c>
      <c r="G161" s="160">
        <f>SUM(G151:G160)</f>
        <v>0</v>
      </c>
      <c r="H161" s="160">
        <f>SUM(H151:H160)</f>
        <v>383102975</v>
      </c>
      <c r="J161" s="161">
        <f>F161/$J$2</f>
        <v>0</v>
      </c>
      <c r="K161" s="161">
        <f>G161/$J$2</f>
        <v>0</v>
      </c>
      <c r="L161" s="161">
        <f>H161/$J$2</f>
        <v>23616.260325483912</v>
      </c>
      <c r="N161" s="159"/>
      <c r="O161" s="162"/>
      <c r="P161" s="162"/>
      <c r="Q161" s="156" t="str">
        <f t="shared" si="73"/>
        <v/>
      </c>
      <c r="R161" s="162"/>
      <c r="S161" s="156" t="str">
        <f t="shared" si="74"/>
        <v/>
      </c>
      <c r="T161" s="140" t="str">
        <f t="shared" ca="1" si="67"/>
        <v/>
      </c>
      <c r="U161" s="139" t="str">
        <f t="shared" si="64"/>
        <v/>
      </c>
      <c r="V161" s="139" t="str">
        <f t="shared" si="65"/>
        <v/>
      </c>
      <c r="W161" s="139" t="str">
        <f t="shared" si="66"/>
        <v/>
      </c>
      <c r="X161" s="327"/>
    </row>
    <row r="162" spans="1:24" ht="18.75" x14ac:dyDescent="0.25">
      <c r="Q162" s="156" t="str">
        <f t="shared" si="73"/>
        <v/>
      </c>
      <c r="S162" s="156" t="str">
        <f t="shared" si="74"/>
        <v/>
      </c>
      <c r="T162" s="140" t="str">
        <f t="shared" ca="1" si="67"/>
        <v/>
      </c>
      <c r="U162" s="139" t="str">
        <f t="shared" si="64"/>
        <v/>
      </c>
      <c r="V162" s="139" t="str">
        <f t="shared" si="65"/>
        <v/>
      </c>
      <c r="W162" s="139" t="str">
        <f t="shared" si="66"/>
        <v/>
      </c>
      <c r="X162" s="327"/>
    </row>
    <row r="163" spans="1:24" ht="18.75" x14ac:dyDescent="0.25">
      <c r="A163" s="163" t="str">
        <f>'Funding 2019'!L59</f>
        <v>PC-Logistics</v>
      </c>
      <c r="B163" s="113" t="str">
        <f>'Funding 2019'!L58</f>
        <v>Towing Electric, Towing Gasoline</v>
      </c>
      <c r="C163" s="147"/>
      <c r="D163" s="147"/>
      <c r="E163" s="148"/>
      <c r="F163" s="148"/>
      <c r="G163" s="148"/>
      <c r="H163" s="148"/>
      <c r="J163" s="149">
        <f t="shared" ref="J163:J168" si="79">F163/$J$2</f>
        <v>0</v>
      </c>
      <c r="K163" s="149">
        <f t="shared" ref="K163:K168" si="80">G163/$J$2</f>
        <v>0</v>
      </c>
      <c r="L163" s="149">
        <f t="shared" ref="L163:L168" si="81">H163/$J$2</f>
        <v>0</v>
      </c>
      <c r="N163" s="148"/>
      <c r="O163" s="150"/>
      <c r="P163" s="150"/>
      <c r="Q163" s="156" t="str">
        <f t="shared" si="73"/>
        <v/>
      </c>
      <c r="R163" s="150"/>
      <c r="S163" s="156" t="str">
        <f t="shared" si="74"/>
        <v/>
      </c>
      <c r="T163" s="140" t="str">
        <f t="shared" ca="1" si="67"/>
        <v/>
      </c>
      <c r="U163" s="139" t="str">
        <f t="shared" si="64"/>
        <v/>
      </c>
      <c r="V163" s="139" t="str">
        <f t="shared" si="65"/>
        <v/>
      </c>
      <c r="W163" s="139" t="str">
        <f t="shared" si="66"/>
        <v/>
      </c>
      <c r="X163" s="327"/>
    </row>
    <row r="164" spans="1:24" ht="18.75" x14ac:dyDescent="0.25">
      <c r="A164" s="151">
        <v>1</v>
      </c>
      <c r="B164" s="106" t="str">
        <f>'Funding 2019'!$K$58</f>
        <v>CGMMLOG19002</v>
      </c>
      <c r="C164" s="151">
        <v>2100011560</v>
      </c>
      <c r="D164" s="151">
        <v>4500134661</v>
      </c>
      <c r="E164" s="152" t="s">
        <v>328</v>
      </c>
      <c r="F164" s="153">
        <f>357000000*0</f>
        <v>0</v>
      </c>
      <c r="G164" s="153">
        <f>318750000*0</f>
        <v>0</v>
      </c>
      <c r="H164" s="153">
        <v>318750000</v>
      </c>
      <c r="J164" s="154">
        <f t="shared" si="79"/>
        <v>0</v>
      </c>
      <c r="K164" s="154">
        <f t="shared" si="80"/>
        <v>0</v>
      </c>
      <c r="L164" s="154">
        <f t="shared" si="81"/>
        <v>19649.241770435212</v>
      </c>
      <c r="N164" s="152" t="s">
        <v>195</v>
      </c>
      <c r="O164" s="155">
        <v>43616</v>
      </c>
      <c r="P164" s="155">
        <v>43515</v>
      </c>
      <c r="Q164" s="156">
        <f t="shared" si="73"/>
        <v>43497</v>
      </c>
      <c r="R164" s="155">
        <v>43654</v>
      </c>
      <c r="S164" s="156">
        <f t="shared" si="74"/>
        <v>43647</v>
      </c>
      <c r="T164" s="140" t="str">
        <f t="shared" ca="1" si="67"/>
        <v/>
      </c>
      <c r="U164" s="139" t="str">
        <f t="shared" si="64"/>
        <v/>
      </c>
      <c r="V164" s="139" t="str">
        <f t="shared" si="65"/>
        <v/>
      </c>
      <c r="W164" s="139" t="str">
        <f t="shared" si="66"/>
        <v/>
      </c>
      <c r="X164" s="327"/>
    </row>
    <row r="165" spans="1:24" ht="18.75" x14ac:dyDescent="0.25">
      <c r="A165" s="151">
        <v>2</v>
      </c>
      <c r="B165" s="106" t="str">
        <f>'Funding 2019'!$K$58</f>
        <v>CGMMLOG19002</v>
      </c>
      <c r="C165" s="151"/>
      <c r="D165" s="151"/>
      <c r="E165" s="152"/>
      <c r="F165" s="153"/>
      <c r="G165" s="153"/>
      <c r="H165" s="153"/>
      <c r="J165" s="154">
        <f t="shared" ref="J165:L167" si="82">F165/$J$2</f>
        <v>0</v>
      </c>
      <c r="K165" s="154">
        <f t="shared" si="82"/>
        <v>0</v>
      </c>
      <c r="L165" s="154">
        <f t="shared" si="82"/>
        <v>0</v>
      </c>
      <c r="N165" s="152"/>
      <c r="O165" s="155"/>
      <c r="P165" s="155"/>
      <c r="Q165" s="156" t="str">
        <f t="shared" si="73"/>
        <v/>
      </c>
      <c r="R165" s="155"/>
      <c r="S165" s="156" t="str">
        <f t="shared" si="74"/>
        <v/>
      </c>
      <c r="T165" s="140" t="str">
        <f t="shared" ca="1" si="67"/>
        <v/>
      </c>
      <c r="U165" s="139" t="str">
        <f t="shared" si="64"/>
        <v/>
      </c>
      <c r="V165" s="139" t="str">
        <f t="shared" si="65"/>
        <v/>
      </c>
      <c r="W165" s="139" t="str">
        <f t="shared" si="66"/>
        <v/>
      </c>
      <c r="X165" s="327"/>
    </row>
    <row r="166" spans="1:24" ht="18.75" x14ac:dyDescent="0.25">
      <c r="A166" s="151">
        <v>3</v>
      </c>
      <c r="B166" s="106" t="str">
        <f>'Funding 2019'!$K$58</f>
        <v>CGMMLOG19002</v>
      </c>
      <c r="C166" s="151"/>
      <c r="D166" s="151"/>
      <c r="E166" s="152"/>
      <c r="F166" s="153"/>
      <c r="G166" s="153"/>
      <c r="H166" s="153"/>
      <c r="J166" s="154">
        <f t="shared" si="82"/>
        <v>0</v>
      </c>
      <c r="K166" s="154">
        <f t="shared" si="82"/>
        <v>0</v>
      </c>
      <c r="L166" s="154">
        <f t="shared" si="82"/>
        <v>0</v>
      </c>
      <c r="N166" s="152"/>
      <c r="O166" s="155"/>
      <c r="P166" s="155"/>
      <c r="Q166" s="156" t="str">
        <f t="shared" si="73"/>
        <v/>
      </c>
      <c r="R166" s="155"/>
      <c r="S166" s="156" t="str">
        <f t="shared" si="74"/>
        <v/>
      </c>
      <c r="T166" s="140" t="str">
        <f t="shared" ca="1" si="67"/>
        <v/>
      </c>
      <c r="U166" s="139" t="str">
        <f t="shared" si="64"/>
        <v/>
      </c>
      <c r="V166" s="139" t="str">
        <f t="shared" si="65"/>
        <v/>
      </c>
      <c r="W166" s="139" t="str">
        <f t="shared" si="66"/>
        <v/>
      </c>
      <c r="X166" s="327"/>
    </row>
    <row r="167" spans="1:24" ht="18.75" x14ac:dyDescent="0.25">
      <c r="A167" s="151">
        <v>4</v>
      </c>
      <c r="B167" s="106" t="str">
        <f>'Funding 2019'!$K$58</f>
        <v>CGMMLOG19002</v>
      </c>
      <c r="C167" s="151"/>
      <c r="D167" s="151"/>
      <c r="E167" s="152"/>
      <c r="F167" s="153"/>
      <c r="G167" s="153"/>
      <c r="H167" s="153"/>
      <c r="J167" s="154">
        <f t="shared" si="82"/>
        <v>0</v>
      </c>
      <c r="K167" s="154">
        <f t="shared" si="82"/>
        <v>0</v>
      </c>
      <c r="L167" s="154">
        <f t="shared" si="82"/>
        <v>0</v>
      </c>
      <c r="N167" s="152"/>
      <c r="O167" s="155"/>
      <c r="P167" s="155"/>
      <c r="Q167" s="156" t="str">
        <f t="shared" si="73"/>
        <v/>
      </c>
      <c r="R167" s="155"/>
      <c r="S167" s="156" t="str">
        <f t="shared" si="74"/>
        <v/>
      </c>
      <c r="T167" s="140" t="str">
        <f t="shared" ca="1" si="67"/>
        <v/>
      </c>
      <c r="U167" s="139" t="str">
        <f t="shared" si="64"/>
        <v/>
      </c>
      <c r="V167" s="139" t="str">
        <f t="shared" si="65"/>
        <v/>
      </c>
      <c r="W167" s="139" t="str">
        <f t="shared" si="66"/>
        <v/>
      </c>
      <c r="X167" s="327"/>
    </row>
    <row r="168" spans="1:24" ht="18.75" x14ac:dyDescent="0.25">
      <c r="A168" s="157"/>
      <c r="B168" s="158"/>
      <c r="C168" s="157"/>
      <c r="D168" s="157"/>
      <c r="E168" s="159"/>
      <c r="F168" s="160">
        <f>SUM(F163:F167)</f>
        <v>0</v>
      </c>
      <c r="G168" s="160">
        <f>SUM(G163:G167)</f>
        <v>0</v>
      </c>
      <c r="H168" s="160">
        <f>SUM(H163:H167)</f>
        <v>318750000</v>
      </c>
      <c r="J168" s="161">
        <f t="shared" si="79"/>
        <v>0</v>
      </c>
      <c r="K168" s="161">
        <f t="shared" si="80"/>
        <v>0</v>
      </c>
      <c r="L168" s="161">
        <f t="shared" si="81"/>
        <v>19649.241770435212</v>
      </c>
      <c r="N168" s="159"/>
      <c r="O168" s="162"/>
      <c r="P168" s="162"/>
      <c r="Q168" s="156" t="str">
        <f t="shared" si="73"/>
        <v/>
      </c>
      <c r="R168" s="162"/>
      <c r="S168" s="156" t="str">
        <f t="shared" si="74"/>
        <v/>
      </c>
      <c r="T168" s="140" t="str">
        <f t="shared" ca="1" si="67"/>
        <v/>
      </c>
      <c r="U168" s="139" t="str">
        <f t="shared" si="64"/>
        <v/>
      </c>
      <c r="V168" s="139" t="str">
        <f t="shared" si="65"/>
        <v/>
      </c>
      <c r="W168" s="139" t="str">
        <f t="shared" si="66"/>
        <v/>
      </c>
      <c r="X168" s="327"/>
    </row>
    <row r="169" spans="1:24" ht="18.75" x14ac:dyDescent="0.25">
      <c r="Q169" s="156" t="str">
        <f t="shared" si="73"/>
        <v/>
      </c>
      <c r="S169" s="156" t="str">
        <f t="shared" si="74"/>
        <v/>
      </c>
      <c r="T169" s="140" t="str">
        <f t="shared" ca="1" si="67"/>
        <v/>
      </c>
      <c r="U169" s="139" t="str">
        <f t="shared" si="64"/>
        <v/>
      </c>
      <c r="V169" s="139" t="str">
        <f t="shared" si="65"/>
        <v/>
      </c>
      <c r="W169" s="139" t="str">
        <f t="shared" si="66"/>
        <v/>
      </c>
      <c r="X169" s="327"/>
    </row>
    <row r="170" spans="1:24" ht="18.75" x14ac:dyDescent="0.25">
      <c r="A170" s="163" t="str">
        <f>'Funding 2019'!L70</f>
        <v xml:space="preserve">PC-Assembly Line </v>
      </c>
      <c r="B170" s="113" t="str">
        <f>'Funding 2019'!L61</f>
        <v>Softener Water Treatment, Deutronic, Renewal Helium Tank</v>
      </c>
      <c r="C170" s="147"/>
      <c r="D170" s="147"/>
      <c r="E170" s="148"/>
      <c r="F170" s="148"/>
      <c r="G170" s="148"/>
      <c r="H170" s="148"/>
      <c r="J170" s="149">
        <f t="shared" ref="J170:L171" si="83">F170/$J$2</f>
        <v>0</v>
      </c>
      <c r="K170" s="149">
        <f t="shared" si="83"/>
        <v>0</v>
      </c>
      <c r="L170" s="149">
        <f t="shared" si="83"/>
        <v>0</v>
      </c>
      <c r="N170" s="148"/>
      <c r="O170" s="150"/>
      <c r="P170" s="150"/>
      <c r="Q170" s="156" t="str">
        <f t="shared" si="73"/>
        <v/>
      </c>
      <c r="R170" s="150"/>
      <c r="S170" s="156" t="str">
        <f t="shared" si="74"/>
        <v/>
      </c>
      <c r="T170" s="140" t="str">
        <f t="shared" ca="1" si="67"/>
        <v/>
      </c>
      <c r="U170" s="139" t="str">
        <f t="shared" si="64"/>
        <v/>
      </c>
      <c r="V170" s="139" t="str">
        <f t="shared" si="65"/>
        <v/>
      </c>
      <c r="W170" s="139" t="str">
        <f t="shared" si="66"/>
        <v/>
      </c>
      <c r="X170" s="327"/>
    </row>
    <row r="171" spans="1:24" ht="18.75" x14ac:dyDescent="0.25">
      <c r="A171" s="151">
        <v>3</v>
      </c>
      <c r="B171" s="106" t="str">
        <f>'Funding 2019'!$K$61</f>
        <v>CGMMPRD19000</v>
      </c>
      <c r="C171" s="151">
        <v>2100011627</v>
      </c>
      <c r="D171" s="151">
        <v>4500134764</v>
      </c>
      <c r="E171" s="152" t="s">
        <v>367</v>
      </c>
      <c r="F171" s="153">
        <f>108362471*0</f>
        <v>0</v>
      </c>
      <c r="G171" s="153">
        <f>107635205*0</f>
        <v>0</v>
      </c>
      <c r="H171" s="171">
        <v>121729949</v>
      </c>
      <c r="J171" s="154">
        <f t="shared" si="83"/>
        <v>0</v>
      </c>
      <c r="K171" s="154">
        <f t="shared" si="83"/>
        <v>0</v>
      </c>
      <c r="L171" s="154">
        <f t="shared" si="83"/>
        <v>7504.0037603254841</v>
      </c>
      <c r="N171" s="152" t="s">
        <v>320</v>
      </c>
      <c r="O171" s="292">
        <v>43595</v>
      </c>
      <c r="P171" s="155">
        <v>43566</v>
      </c>
      <c r="Q171" s="156">
        <f t="shared" si="73"/>
        <v>43556</v>
      </c>
      <c r="R171" s="155">
        <v>43690</v>
      </c>
      <c r="S171" s="156">
        <f t="shared" si="74"/>
        <v>43678</v>
      </c>
      <c r="T171" s="140" t="str">
        <f t="shared" ca="1" si="67"/>
        <v/>
      </c>
      <c r="U171" s="139" t="str">
        <f t="shared" si="64"/>
        <v/>
      </c>
      <c r="V171" s="139" t="str">
        <f t="shared" si="65"/>
        <v/>
      </c>
      <c r="W171" s="139" t="str">
        <f t="shared" si="66"/>
        <v/>
      </c>
      <c r="X171" s="327"/>
    </row>
    <row r="172" spans="1:24" ht="18.75" x14ac:dyDescent="0.25">
      <c r="A172" s="151">
        <v>4</v>
      </c>
      <c r="B172" s="106" t="str">
        <f>'Funding 2019'!$K$61</f>
        <v>CGMMPRD19000</v>
      </c>
      <c r="C172" s="151">
        <v>2100011634</v>
      </c>
      <c r="D172" s="151">
        <v>4500134774</v>
      </c>
      <c r="E172" s="152" t="s">
        <v>433</v>
      </c>
      <c r="F172" s="153">
        <f>93499000*0</f>
        <v>0</v>
      </c>
      <c r="G172" s="153">
        <f>87571104*0</f>
        <v>0</v>
      </c>
      <c r="H172" s="171">
        <f>98427638</f>
        <v>98427638</v>
      </c>
      <c r="J172" s="154">
        <f t="shared" ref="J172:J181" si="84">F172/$J$2</f>
        <v>0</v>
      </c>
      <c r="K172" s="154">
        <f t="shared" ref="K172:K181" si="85">G172/$J$2</f>
        <v>0</v>
      </c>
      <c r="L172" s="154">
        <f t="shared" ref="L172:L181" si="86">H172/$J$2</f>
        <v>6067.5402539760817</v>
      </c>
      <c r="N172" s="152" t="s">
        <v>320</v>
      </c>
      <c r="O172" s="292">
        <v>43602</v>
      </c>
      <c r="P172" s="155">
        <v>43578</v>
      </c>
      <c r="Q172" s="156">
        <f t="shared" si="73"/>
        <v>43556</v>
      </c>
      <c r="R172" s="155">
        <v>43586</v>
      </c>
      <c r="S172" s="156">
        <f t="shared" si="74"/>
        <v>43586</v>
      </c>
      <c r="T172" s="140" t="str">
        <f t="shared" ca="1" si="67"/>
        <v/>
      </c>
      <c r="U172" s="139" t="str">
        <f t="shared" si="64"/>
        <v/>
      </c>
      <c r="V172" s="139" t="str">
        <f t="shared" si="65"/>
        <v/>
      </c>
      <c r="W172" s="139" t="str">
        <f t="shared" si="66"/>
        <v/>
      </c>
      <c r="X172" s="327"/>
    </row>
    <row r="173" spans="1:24" ht="18.75" x14ac:dyDescent="0.25">
      <c r="A173" s="151">
        <v>5</v>
      </c>
      <c r="B173" s="106" t="str">
        <f>'Funding 2019'!$K$61</f>
        <v>CGMMPRD19000</v>
      </c>
      <c r="C173" s="151">
        <v>5500011527</v>
      </c>
      <c r="D173" s="151">
        <v>192020719</v>
      </c>
      <c r="E173" s="152" t="s">
        <v>443</v>
      </c>
      <c r="F173" s="153">
        <f>15000000*0</f>
        <v>0</v>
      </c>
      <c r="G173" s="153"/>
      <c r="H173" s="287">
        <v>15000000</v>
      </c>
      <c r="J173" s="154">
        <f t="shared" si="84"/>
        <v>0</v>
      </c>
      <c r="K173" s="154">
        <f t="shared" si="85"/>
        <v>0</v>
      </c>
      <c r="L173" s="154">
        <f t="shared" si="86"/>
        <v>924.67020096165697</v>
      </c>
      <c r="N173" s="152" t="s">
        <v>320</v>
      </c>
      <c r="O173" s="292">
        <v>43588</v>
      </c>
      <c r="P173" s="155">
        <v>43584</v>
      </c>
      <c r="Q173" s="156">
        <f t="shared" si="73"/>
        <v>43556</v>
      </c>
      <c r="R173" s="155">
        <v>43617</v>
      </c>
      <c r="S173" s="156">
        <f t="shared" si="74"/>
        <v>43617</v>
      </c>
      <c r="T173" s="140" t="str">
        <f t="shared" ca="1" si="67"/>
        <v/>
      </c>
      <c r="U173" s="139" t="str">
        <f t="shared" si="64"/>
        <v/>
      </c>
      <c r="V173" s="139" t="str">
        <f t="shared" si="65"/>
        <v/>
      </c>
      <c r="W173" s="139" t="str">
        <f t="shared" si="66"/>
        <v/>
      </c>
      <c r="X173" s="327"/>
    </row>
    <row r="174" spans="1:24" ht="18.75" x14ac:dyDescent="0.25">
      <c r="A174" s="151">
        <v>6</v>
      </c>
      <c r="B174" s="106" t="str">
        <f>'Funding 2019'!$K$61</f>
        <v>CGMMPRD19000</v>
      </c>
      <c r="C174" s="151">
        <v>2100011644</v>
      </c>
      <c r="D174" s="151">
        <v>4500134793</v>
      </c>
      <c r="E174" s="152" t="s">
        <v>444</v>
      </c>
      <c r="F174" s="153">
        <f>47700000*0</f>
        <v>0</v>
      </c>
      <c r="G174" s="153">
        <f>47700000*0</f>
        <v>0</v>
      </c>
      <c r="H174" s="171">
        <v>47700000</v>
      </c>
      <c r="J174" s="154">
        <f t="shared" si="84"/>
        <v>0</v>
      </c>
      <c r="K174" s="154">
        <f t="shared" si="85"/>
        <v>0</v>
      </c>
      <c r="L174" s="154">
        <f t="shared" si="86"/>
        <v>2940.4512390580694</v>
      </c>
      <c r="N174" s="152" t="s">
        <v>320</v>
      </c>
      <c r="O174" s="292">
        <v>43609</v>
      </c>
      <c r="P174" s="155">
        <v>43584</v>
      </c>
      <c r="Q174" s="156">
        <f t="shared" si="73"/>
        <v>43556</v>
      </c>
      <c r="R174" s="155">
        <v>43586</v>
      </c>
      <c r="S174" s="156">
        <f t="shared" si="74"/>
        <v>43586</v>
      </c>
      <c r="T174" s="140" t="str">
        <f t="shared" ca="1" si="67"/>
        <v/>
      </c>
      <c r="U174" s="139" t="str">
        <f t="shared" si="64"/>
        <v/>
      </c>
      <c r="V174" s="139" t="str">
        <f t="shared" si="65"/>
        <v/>
      </c>
      <c r="W174" s="139" t="str">
        <f t="shared" si="66"/>
        <v/>
      </c>
      <c r="X174" s="327"/>
    </row>
    <row r="175" spans="1:24" ht="18.75" x14ac:dyDescent="0.25">
      <c r="A175" s="151">
        <v>7</v>
      </c>
      <c r="B175" s="106" t="str">
        <f>'Funding 2019'!$K$61</f>
        <v>CGMMPRD19000</v>
      </c>
      <c r="C175" s="151">
        <v>2100011706</v>
      </c>
      <c r="D175" s="151">
        <v>4500135051</v>
      </c>
      <c r="E175" s="152" t="s">
        <v>510</v>
      </c>
      <c r="F175" s="153">
        <f>190000000*0</f>
        <v>0</v>
      </c>
      <c r="G175" s="171">
        <v>184300000</v>
      </c>
      <c r="H175" s="153"/>
      <c r="J175" s="154">
        <f t="shared" si="84"/>
        <v>0</v>
      </c>
      <c r="K175" s="154">
        <f t="shared" si="85"/>
        <v>11361.114535815559</v>
      </c>
      <c r="L175" s="154">
        <f t="shared" si="86"/>
        <v>0</v>
      </c>
      <c r="N175" s="152" t="s">
        <v>320</v>
      </c>
      <c r="O175" s="292">
        <v>43753</v>
      </c>
      <c r="P175" s="155">
        <v>43651</v>
      </c>
      <c r="Q175" s="156">
        <f t="shared" si="73"/>
        <v>43647</v>
      </c>
      <c r="R175" s="155"/>
      <c r="S175" s="156" t="str">
        <f t="shared" si="74"/>
        <v/>
      </c>
      <c r="T175" s="140">
        <f t="shared" ca="1" si="67"/>
        <v>20</v>
      </c>
      <c r="U175" s="139" t="str">
        <f t="shared" si="64"/>
        <v/>
      </c>
      <c r="V175" s="139" t="str">
        <f t="shared" si="65"/>
        <v/>
      </c>
      <c r="W175" s="139" t="str">
        <f t="shared" si="66"/>
        <v/>
      </c>
      <c r="X175" s="327"/>
    </row>
    <row r="176" spans="1:24" ht="18.75" x14ac:dyDescent="0.25">
      <c r="A176" s="151">
        <v>8</v>
      </c>
      <c r="B176" s="106" t="str">
        <f>'Funding 2019'!$K$61</f>
        <v>CGMMPRD19000</v>
      </c>
      <c r="C176" s="151">
        <v>5500011738</v>
      </c>
      <c r="D176" s="151">
        <v>1920201719</v>
      </c>
      <c r="E176" s="152" t="s">
        <v>511</v>
      </c>
      <c r="F176" s="153">
        <f>0*15450000</f>
        <v>0</v>
      </c>
      <c r="G176" s="153"/>
      <c r="H176" s="287">
        <v>15450000</v>
      </c>
      <c r="J176" s="154">
        <f t="shared" si="84"/>
        <v>0</v>
      </c>
      <c r="K176" s="154">
        <f t="shared" si="85"/>
        <v>0</v>
      </c>
      <c r="L176" s="154">
        <f t="shared" si="86"/>
        <v>952.41030699050668</v>
      </c>
      <c r="N176" s="152" t="s">
        <v>320</v>
      </c>
      <c r="O176" s="292">
        <v>43696</v>
      </c>
      <c r="P176" s="155">
        <v>43651</v>
      </c>
      <c r="Q176" s="156">
        <f t="shared" si="73"/>
        <v>43647</v>
      </c>
      <c r="R176" s="155">
        <v>43696</v>
      </c>
      <c r="S176" s="156">
        <f t="shared" si="74"/>
        <v>43678</v>
      </c>
      <c r="T176" s="140" t="str">
        <f t="shared" ca="1" si="67"/>
        <v/>
      </c>
      <c r="U176" s="139" t="str">
        <f t="shared" si="64"/>
        <v/>
      </c>
      <c r="V176" s="139" t="str">
        <f t="shared" si="65"/>
        <v/>
      </c>
      <c r="W176" s="139" t="str">
        <f t="shared" si="66"/>
        <v/>
      </c>
      <c r="X176" s="327"/>
    </row>
    <row r="177" spans="1:24" ht="18.75" x14ac:dyDescent="0.25">
      <c r="A177" s="151">
        <v>9</v>
      </c>
      <c r="B177" s="106" t="str">
        <f>'Funding 2019'!$K$61</f>
        <v>CGMMPRD19000</v>
      </c>
      <c r="C177" s="151">
        <v>5500011739</v>
      </c>
      <c r="D177" s="151"/>
      <c r="E177" s="152" t="s">
        <v>512</v>
      </c>
      <c r="F177" s="287"/>
      <c r="G177" s="287"/>
      <c r="H177" s="287">
        <v>15861000</v>
      </c>
      <c r="J177" s="154">
        <f t="shared" si="84"/>
        <v>0</v>
      </c>
      <c r="K177" s="154">
        <f t="shared" si="85"/>
        <v>0</v>
      </c>
      <c r="L177" s="154">
        <f t="shared" si="86"/>
        <v>977.74627049685614</v>
      </c>
      <c r="N177" s="152" t="s">
        <v>320</v>
      </c>
      <c r="O177" s="292">
        <v>43752</v>
      </c>
      <c r="P177" s="155">
        <v>43651</v>
      </c>
      <c r="Q177" s="156">
        <f t="shared" si="73"/>
        <v>43647</v>
      </c>
      <c r="R177" s="155">
        <v>43740</v>
      </c>
      <c r="S177" s="156">
        <f t="shared" si="74"/>
        <v>43739</v>
      </c>
      <c r="T177" s="140" t="str">
        <f t="shared" ca="1" si="67"/>
        <v/>
      </c>
      <c r="U177" s="139" t="str">
        <f t="shared" si="64"/>
        <v/>
      </c>
      <c r="V177" s="139" t="str">
        <f t="shared" si="65"/>
        <v/>
      </c>
      <c r="W177" s="139" t="str">
        <f t="shared" si="66"/>
        <v/>
      </c>
      <c r="X177" s="327"/>
    </row>
    <row r="178" spans="1:24" ht="18.75" x14ac:dyDescent="0.25">
      <c r="A178" s="151">
        <v>10</v>
      </c>
      <c r="B178" s="106" t="str">
        <f>'Funding 2019'!$K$61</f>
        <v>CGMMPRD19000</v>
      </c>
      <c r="C178" s="151">
        <v>2100011729</v>
      </c>
      <c r="D178" s="151">
        <v>4500135129</v>
      </c>
      <c r="E178" s="152" t="s">
        <v>598</v>
      </c>
      <c r="F178" s="153">
        <f>85000000*0</f>
        <v>0</v>
      </c>
      <c r="G178" s="153">
        <f>76500000*0</f>
        <v>0</v>
      </c>
      <c r="H178" s="171">
        <v>76500000</v>
      </c>
      <c r="J178" s="154">
        <f t="shared" si="84"/>
        <v>0</v>
      </c>
      <c r="K178" s="154">
        <f t="shared" si="85"/>
        <v>0</v>
      </c>
      <c r="L178" s="154">
        <f t="shared" si="86"/>
        <v>4715.8180249044508</v>
      </c>
      <c r="N178" s="152" t="s">
        <v>599</v>
      </c>
      <c r="O178" s="292">
        <v>43700</v>
      </c>
      <c r="P178" s="155">
        <v>43664</v>
      </c>
      <c r="Q178" s="156">
        <f t="shared" si="73"/>
        <v>43647</v>
      </c>
      <c r="R178" s="155">
        <v>43693</v>
      </c>
      <c r="S178" s="156">
        <f t="shared" si="74"/>
        <v>43678</v>
      </c>
      <c r="T178" s="140" t="str">
        <f t="shared" ca="1" si="67"/>
        <v/>
      </c>
      <c r="U178" s="139" t="str">
        <f t="shared" si="64"/>
        <v/>
      </c>
      <c r="V178" s="139" t="str">
        <f t="shared" si="65"/>
        <v/>
      </c>
      <c r="W178" s="139" t="str">
        <f t="shared" si="66"/>
        <v/>
      </c>
      <c r="X178" s="327"/>
    </row>
    <row r="179" spans="1:24" ht="18.75" x14ac:dyDescent="0.25">
      <c r="A179" s="151">
        <v>11</v>
      </c>
      <c r="B179" s="106" t="str">
        <f>'Funding 2019'!$K$61</f>
        <v>CGMMPRD19000</v>
      </c>
      <c r="C179" s="151">
        <v>2100011770</v>
      </c>
      <c r="D179" s="151">
        <v>4500135252</v>
      </c>
      <c r="E179" s="152" t="s">
        <v>705</v>
      </c>
      <c r="F179" s="153"/>
      <c r="G179" s="153">
        <v>3485000</v>
      </c>
      <c r="H179" s="171">
        <v>16580000</v>
      </c>
      <c r="J179" s="154">
        <f t="shared" si="84"/>
        <v>0</v>
      </c>
      <c r="K179" s="154">
        <f t="shared" si="85"/>
        <v>214.83171002342499</v>
      </c>
      <c r="L179" s="154">
        <f t="shared" si="86"/>
        <v>1022.0687954629516</v>
      </c>
      <c r="N179" s="152" t="s">
        <v>706</v>
      </c>
      <c r="O179" s="292">
        <v>43752</v>
      </c>
      <c r="P179" s="155">
        <v>43690</v>
      </c>
      <c r="Q179" s="156">
        <f t="shared" si="73"/>
        <v>43678</v>
      </c>
      <c r="R179" s="155">
        <v>43712</v>
      </c>
      <c r="S179" s="156">
        <f t="shared" si="74"/>
        <v>43709</v>
      </c>
      <c r="T179" s="140">
        <f t="shared" ca="1" si="67"/>
        <v>21</v>
      </c>
      <c r="U179" s="139" t="str">
        <f t="shared" si="64"/>
        <v/>
      </c>
      <c r="V179" s="139" t="str">
        <f t="shared" si="65"/>
        <v/>
      </c>
      <c r="W179" s="139" t="str">
        <f t="shared" si="66"/>
        <v/>
      </c>
      <c r="X179" s="327"/>
    </row>
    <row r="180" spans="1:24" ht="18.75" x14ac:dyDescent="0.25">
      <c r="A180" s="151">
        <v>12</v>
      </c>
      <c r="B180" s="106" t="str">
        <f>'Funding 2019'!$K$61</f>
        <v>CGMMPRD19000</v>
      </c>
      <c r="C180" s="151">
        <v>5500012032</v>
      </c>
      <c r="D180" s="151"/>
      <c r="E180" s="152" t="s">
        <v>866</v>
      </c>
      <c r="F180" s="153">
        <v>15000000</v>
      </c>
      <c r="G180" s="153"/>
      <c r="H180" s="153"/>
      <c r="J180" s="154">
        <f t="shared" si="84"/>
        <v>924.67020096165697</v>
      </c>
      <c r="K180" s="154">
        <f t="shared" si="85"/>
        <v>0</v>
      </c>
      <c r="L180" s="154">
        <f t="shared" si="86"/>
        <v>0</v>
      </c>
      <c r="N180" s="152" t="s">
        <v>320</v>
      </c>
      <c r="O180" s="155">
        <v>43775</v>
      </c>
      <c r="P180" s="155">
        <v>43733</v>
      </c>
      <c r="Q180" s="156">
        <f t="shared" si="73"/>
        <v>43709</v>
      </c>
      <c r="R180" s="155"/>
      <c r="S180" s="156" t="str">
        <f t="shared" si="74"/>
        <v/>
      </c>
      <c r="T180" s="140" t="str">
        <f t="shared" ca="1" si="67"/>
        <v/>
      </c>
      <c r="U180" s="139" t="str">
        <f t="shared" si="64"/>
        <v/>
      </c>
      <c r="V180" s="139" t="str">
        <f t="shared" si="65"/>
        <v/>
      </c>
      <c r="W180" s="139" t="str">
        <f t="shared" si="66"/>
        <v/>
      </c>
      <c r="X180" s="327"/>
    </row>
    <row r="181" spans="1:24" ht="18.75" x14ac:dyDescent="0.25">
      <c r="A181" s="151">
        <v>13</v>
      </c>
      <c r="B181" s="106" t="str">
        <f>'Funding 2019'!$K$61</f>
        <v>CGMMPRD19000</v>
      </c>
      <c r="C181" s="151"/>
      <c r="D181" s="151"/>
      <c r="E181" s="152"/>
      <c r="F181" s="153"/>
      <c r="G181" s="153"/>
      <c r="H181" s="153"/>
      <c r="J181" s="154">
        <f t="shared" si="84"/>
        <v>0</v>
      </c>
      <c r="K181" s="154">
        <f t="shared" si="85"/>
        <v>0</v>
      </c>
      <c r="L181" s="154">
        <f t="shared" si="86"/>
        <v>0</v>
      </c>
      <c r="N181" s="152" t="s">
        <v>320</v>
      </c>
      <c r="O181" s="155">
        <v>43763</v>
      </c>
      <c r="P181" s="155">
        <v>43734</v>
      </c>
      <c r="Q181" s="156">
        <f t="shared" si="73"/>
        <v>43709</v>
      </c>
      <c r="R181" s="155"/>
      <c r="S181" s="156" t="str">
        <f t="shared" si="74"/>
        <v/>
      </c>
      <c r="T181" s="140">
        <f t="shared" ca="1" si="67"/>
        <v>10</v>
      </c>
      <c r="U181" s="139" t="str">
        <f t="shared" si="64"/>
        <v/>
      </c>
      <c r="V181" s="139" t="str">
        <f t="shared" si="65"/>
        <v/>
      </c>
      <c r="W181" s="139" t="str">
        <f t="shared" si="66"/>
        <v/>
      </c>
      <c r="X181" s="327"/>
    </row>
    <row r="182" spans="1:24" ht="18.75" x14ac:dyDescent="0.25">
      <c r="A182" s="157"/>
      <c r="B182" s="158"/>
      <c r="C182" s="157"/>
      <c r="D182" s="157"/>
      <c r="E182" s="159"/>
      <c r="F182" s="160">
        <f>SUM(F170:F181)</f>
        <v>15000000</v>
      </c>
      <c r="G182" s="160">
        <f>SUM(G170:G181)</f>
        <v>187785000</v>
      </c>
      <c r="H182" s="160">
        <f>SUM(H170:H181)</f>
        <v>407248587</v>
      </c>
      <c r="J182" s="161">
        <f>F182/$J$2</f>
        <v>924.67020096165697</v>
      </c>
      <c r="K182" s="161">
        <f>G182/$J$2</f>
        <v>11575.946245838984</v>
      </c>
      <c r="L182" s="161">
        <f>H182/$J$2</f>
        <v>25104.708852176056</v>
      </c>
      <c r="N182" s="159"/>
      <c r="O182" s="162"/>
      <c r="P182" s="162"/>
      <c r="Q182" s="156" t="str">
        <f t="shared" si="73"/>
        <v/>
      </c>
      <c r="R182" s="162"/>
      <c r="S182" s="156" t="str">
        <f t="shared" si="74"/>
        <v/>
      </c>
      <c r="T182" s="140" t="str">
        <f t="shared" ca="1" si="67"/>
        <v/>
      </c>
      <c r="U182" s="139" t="str">
        <f t="shared" si="64"/>
        <v/>
      </c>
      <c r="V182" s="139" t="str">
        <f t="shared" si="65"/>
        <v/>
      </c>
      <c r="W182" s="139" t="str">
        <f t="shared" si="66"/>
        <v/>
      </c>
      <c r="X182" s="327"/>
    </row>
    <row r="183" spans="1:24" ht="18.75" x14ac:dyDescent="0.25">
      <c r="Q183" s="156" t="str">
        <f t="shared" si="73"/>
        <v/>
      </c>
      <c r="S183" s="156" t="str">
        <f t="shared" si="74"/>
        <v/>
      </c>
      <c r="T183" s="140" t="str">
        <f t="shared" ca="1" si="67"/>
        <v/>
      </c>
      <c r="U183" s="139" t="str">
        <f t="shared" si="64"/>
        <v/>
      </c>
      <c r="V183" s="139" t="str">
        <f t="shared" si="65"/>
        <v/>
      </c>
      <c r="W183" s="139" t="str">
        <f t="shared" si="66"/>
        <v/>
      </c>
      <c r="X183" s="327"/>
    </row>
    <row r="184" spans="1:24" ht="18.75" x14ac:dyDescent="0.25">
      <c r="A184" s="163" t="str">
        <f>'Funding 2019'!L70</f>
        <v xml:space="preserve">PC-Assembly Line </v>
      </c>
      <c r="B184" s="113" t="str">
        <f>'Funding 2019'!L69</f>
        <v>One time cost</v>
      </c>
      <c r="C184" s="147"/>
      <c r="D184" s="147"/>
      <c r="E184" s="148"/>
      <c r="F184" s="148"/>
      <c r="G184" s="148"/>
      <c r="H184" s="148"/>
      <c r="J184" s="149">
        <f t="shared" ref="J184:J189" si="87">F184/$J$2</f>
        <v>0</v>
      </c>
      <c r="K184" s="149">
        <f t="shared" ref="K184:K189" si="88">G184/$J$2</f>
        <v>0</v>
      </c>
      <c r="L184" s="149">
        <f t="shared" ref="L184:L189" si="89">H184/$J$2</f>
        <v>0</v>
      </c>
      <c r="N184" s="148"/>
      <c r="O184" s="150"/>
      <c r="P184" s="150"/>
      <c r="Q184" s="156" t="str">
        <f t="shared" si="73"/>
        <v/>
      </c>
      <c r="R184" s="150"/>
      <c r="S184" s="156" t="str">
        <f t="shared" si="74"/>
        <v/>
      </c>
      <c r="T184" s="140" t="str">
        <f t="shared" ca="1" si="67"/>
        <v/>
      </c>
      <c r="U184" s="139" t="str">
        <f t="shared" si="64"/>
        <v/>
      </c>
      <c r="V184" s="139" t="str">
        <f t="shared" si="65"/>
        <v/>
      </c>
      <c r="W184" s="139" t="str">
        <f t="shared" si="66"/>
        <v/>
      </c>
      <c r="X184" s="327"/>
    </row>
    <row r="185" spans="1:24" ht="18.75" x14ac:dyDescent="0.25">
      <c r="A185" s="151">
        <v>1</v>
      </c>
      <c r="B185" s="106" t="str">
        <f>'Funding 2019'!$K$69</f>
        <v>EGMMPRD19000</v>
      </c>
      <c r="C185" s="151"/>
      <c r="D185" s="151"/>
      <c r="E185" s="152"/>
      <c r="F185" s="153"/>
      <c r="G185" s="153"/>
      <c r="H185" s="153"/>
      <c r="J185" s="154">
        <f t="shared" si="87"/>
        <v>0</v>
      </c>
      <c r="K185" s="154">
        <f t="shared" si="88"/>
        <v>0</v>
      </c>
      <c r="L185" s="154">
        <f t="shared" si="89"/>
        <v>0</v>
      </c>
      <c r="N185" s="152"/>
      <c r="O185" s="155"/>
      <c r="P185" s="155"/>
      <c r="Q185" s="156" t="str">
        <f t="shared" si="73"/>
        <v/>
      </c>
      <c r="R185" s="155"/>
      <c r="S185" s="156" t="str">
        <f t="shared" si="74"/>
        <v/>
      </c>
      <c r="T185" s="140" t="str">
        <f t="shared" ca="1" si="67"/>
        <v/>
      </c>
      <c r="U185" s="139" t="str">
        <f t="shared" si="64"/>
        <v/>
      </c>
      <c r="V185" s="139" t="str">
        <f t="shared" si="65"/>
        <v/>
      </c>
      <c r="W185" s="139" t="str">
        <f t="shared" si="66"/>
        <v/>
      </c>
      <c r="X185" s="327"/>
    </row>
    <row r="186" spans="1:24" ht="18.75" x14ac:dyDescent="0.25">
      <c r="A186" s="151">
        <v>2</v>
      </c>
      <c r="B186" s="106" t="str">
        <f>'Funding 2019'!$K$69</f>
        <v>EGMMPRD19000</v>
      </c>
      <c r="C186" s="151"/>
      <c r="D186" s="151"/>
      <c r="E186" s="152"/>
      <c r="F186" s="153"/>
      <c r="G186" s="153"/>
      <c r="H186" s="153"/>
      <c r="J186" s="154">
        <f t="shared" ref="J186:L188" si="90">F186/$J$2</f>
        <v>0</v>
      </c>
      <c r="K186" s="154">
        <f t="shared" si="90"/>
        <v>0</v>
      </c>
      <c r="L186" s="154">
        <f t="shared" si="90"/>
        <v>0</v>
      </c>
      <c r="N186" s="152"/>
      <c r="O186" s="155"/>
      <c r="P186" s="155"/>
      <c r="Q186" s="156" t="str">
        <f t="shared" si="73"/>
        <v/>
      </c>
      <c r="R186" s="155"/>
      <c r="S186" s="156" t="str">
        <f t="shared" si="74"/>
        <v/>
      </c>
      <c r="T186" s="140" t="str">
        <f t="shared" ca="1" si="67"/>
        <v/>
      </c>
      <c r="U186" s="139" t="str">
        <f t="shared" si="64"/>
        <v/>
      </c>
      <c r="V186" s="139" t="str">
        <f t="shared" si="65"/>
        <v/>
      </c>
      <c r="W186" s="139" t="str">
        <f t="shared" si="66"/>
        <v/>
      </c>
      <c r="X186" s="327"/>
    </row>
    <row r="187" spans="1:24" ht="18.75" x14ac:dyDescent="0.25">
      <c r="A187" s="151">
        <v>3</v>
      </c>
      <c r="B187" s="106" t="str">
        <f>'Funding 2019'!$K$69</f>
        <v>EGMMPRD19000</v>
      </c>
      <c r="C187" s="151"/>
      <c r="D187" s="151"/>
      <c r="E187" s="152"/>
      <c r="F187" s="153"/>
      <c r="G187" s="153"/>
      <c r="H187" s="153"/>
      <c r="J187" s="154">
        <f t="shared" si="90"/>
        <v>0</v>
      </c>
      <c r="K187" s="154">
        <f t="shared" si="90"/>
        <v>0</v>
      </c>
      <c r="L187" s="154">
        <f t="shared" si="90"/>
        <v>0</v>
      </c>
      <c r="N187" s="152"/>
      <c r="O187" s="155"/>
      <c r="P187" s="155"/>
      <c r="Q187" s="156" t="str">
        <f t="shared" si="73"/>
        <v/>
      </c>
      <c r="R187" s="155"/>
      <c r="S187" s="156" t="str">
        <f t="shared" si="74"/>
        <v/>
      </c>
      <c r="T187" s="140" t="str">
        <f t="shared" ca="1" si="67"/>
        <v/>
      </c>
      <c r="U187" s="139" t="str">
        <f t="shared" si="64"/>
        <v/>
      </c>
      <c r="V187" s="139" t="str">
        <f t="shared" si="65"/>
        <v/>
      </c>
      <c r="W187" s="139" t="str">
        <f t="shared" si="66"/>
        <v/>
      </c>
      <c r="X187" s="327"/>
    </row>
    <row r="188" spans="1:24" ht="18.75" x14ac:dyDescent="0.25">
      <c r="A188" s="151">
        <v>4</v>
      </c>
      <c r="B188" s="106" t="str">
        <f>'Funding 2019'!$K$69</f>
        <v>EGMMPRD19000</v>
      </c>
      <c r="C188" s="151"/>
      <c r="D188" s="151"/>
      <c r="E188" s="152"/>
      <c r="F188" s="153"/>
      <c r="G188" s="153"/>
      <c r="H188" s="153"/>
      <c r="J188" s="154">
        <f t="shared" si="90"/>
        <v>0</v>
      </c>
      <c r="K188" s="154">
        <f t="shared" si="90"/>
        <v>0</v>
      </c>
      <c r="L188" s="154">
        <f t="shared" si="90"/>
        <v>0</v>
      </c>
      <c r="N188" s="152"/>
      <c r="O188" s="155"/>
      <c r="P188" s="155"/>
      <c r="Q188" s="156" t="str">
        <f t="shared" si="73"/>
        <v/>
      </c>
      <c r="R188" s="155"/>
      <c r="S188" s="156" t="str">
        <f t="shared" si="74"/>
        <v/>
      </c>
      <c r="T188" s="140" t="str">
        <f t="shared" ca="1" si="67"/>
        <v/>
      </c>
      <c r="U188" s="139" t="str">
        <f t="shared" si="64"/>
        <v/>
      </c>
      <c r="V188" s="139" t="str">
        <f t="shared" si="65"/>
        <v/>
      </c>
      <c r="W188" s="139" t="str">
        <f t="shared" si="66"/>
        <v/>
      </c>
      <c r="X188" s="327"/>
    </row>
    <row r="189" spans="1:24" ht="18.75" x14ac:dyDescent="0.25">
      <c r="A189" s="157"/>
      <c r="B189" s="158"/>
      <c r="C189" s="157"/>
      <c r="D189" s="157"/>
      <c r="E189" s="159"/>
      <c r="F189" s="160">
        <f>SUM(F184:F188)</f>
        <v>0</v>
      </c>
      <c r="G189" s="160">
        <f>SUM(G184:G188)</f>
        <v>0</v>
      </c>
      <c r="H189" s="160">
        <f>SUM(H184:H188)</f>
        <v>0</v>
      </c>
      <c r="J189" s="161">
        <f t="shared" si="87"/>
        <v>0</v>
      </c>
      <c r="K189" s="161">
        <f t="shared" si="88"/>
        <v>0</v>
      </c>
      <c r="L189" s="161">
        <f t="shared" si="89"/>
        <v>0</v>
      </c>
      <c r="N189" s="159"/>
      <c r="O189" s="162"/>
      <c r="P189" s="162"/>
      <c r="Q189" s="156" t="str">
        <f t="shared" si="73"/>
        <v/>
      </c>
      <c r="R189" s="162"/>
      <c r="S189" s="156" t="str">
        <f t="shared" si="74"/>
        <v/>
      </c>
      <c r="T189" s="140" t="str">
        <f t="shared" ca="1" si="67"/>
        <v/>
      </c>
      <c r="U189" s="139" t="str">
        <f t="shared" si="64"/>
        <v/>
      </c>
      <c r="V189" s="139" t="str">
        <f t="shared" si="65"/>
        <v/>
      </c>
      <c r="W189" s="139" t="str">
        <f t="shared" si="66"/>
        <v/>
      </c>
      <c r="X189" s="327"/>
    </row>
    <row r="190" spans="1:24" ht="18.75" x14ac:dyDescent="0.25">
      <c r="Q190" s="156" t="str">
        <f t="shared" si="73"/>
        <v/>
      </c>
      <c r="S190" s="156" t="str">
        <f t="shared" si="74"/>
        <v/>
      </c>
      <c r="T190" s="140" t="str">
        <f t="shared" ca="1" si="67"/>
        <v/>
      </c>
      <c r="U190" s="139" t="str">
        <f t="shared" si="64"/>
        <v/>
      </c>
      <c r="V190" s="139" t="str">
        <f t="shared" si="65"/>
        <v/>
      </c>
      <c r="W190" s="139" t="str">
        <f t="shared" si="66"/>
        <v/>
      </c>
      <c r="X190" s="327"/>
    </row>
    <row r="191" spans="1:24" ht="18.75" x14ac:dyDescent="0.25">
      <c r="A191" s="163" t="str">
        <f>'Funding 2019'!L70</f>
        <v xml:space="preserve">PC-Assembly Line </v>
      </c>
      <c r="B191" s="113" t="str">
        <f>'Funding 2019'!L65</f>
        <v>Improvement &amp; Renewal Tools at APC-1 Trimming 01 (Cordless Screwdriver, EC Screwdriver, Digital Torque Wrench)</v>
      </c>
      <c r="C191" s="147"/>
      <c r="D191" s="147"/>
      <c r="E191" s="148"/>
      <c r="F191" s="148"/>
      <c r="G191" s="148"/>
      <c r="H191" s="148"/>
      <c r="J191" s="149">
        <f t="shared" ref="J191:J196" si="91">F191/$J$2</f>
        <v>0</v>
      </c>
      <c r="K191" s="149">
        <f t="shared" ref="K191:K196" si="92">G191/$J$2</f>
        <v>0</v>
      </c>
      <c r="L191" s="149">
        <f t="shared" ref="L191:L196" si="93">H191/$J$2</f>
        <v>0</v>
      </c>
      <c r="N191" s="148"/>
      <c r="O191" s="150"/>
      <c r="P191" s="150"/>
      <c r="Q191" s="156" t="str">
        <f t="shared" si="73"/>
        <v/>
      </c>
      <c r="R191" s="150"/>
      <c r="S191" s="156" t="str">
        <f t="shared" si="74"/>
        <v/>
      </c>
      <c r="T191" s="140" t="str">
        <f t="shared" ca="1" si="67"/>
        <v/>
      </c>
      <c r="U191" s="139" t="str">
        <f t="shared" si="64"/>
        <v/>
      </c>
      <c r="V191" s="139" t="str">
        <f t="shared" si="65"/>
        <v/>
      </c>
      <c r="W191" s="139" t="str">
        <f t="shared" si="66"/>
        <v/>
      </c>
      <c r="X191" s="327"/>
    </row>
    <row r="192" spans="1:24" ht="18.75" x14ac:dyDescent="0.25">
      <c r="A192" s="151">
        <v>1</v>
      </c>
      <c r="B192" s="106" t="str">
        <f>'Funding 2019'!$K$65</f>
        <v>CGMMPRD19001</v>
      </c>
      <c r="C192" s="151"/>
      <c r="D192" s="151"/>
      <c r="E192" s="152"/>
      <c r="F192" s="153"/>
      <c r="G192" s="153"/>
      <c r="H192" s="153"/>
      <c r="J192" s="154">
        <f t="shared" si="91"/>
        <v>0</v>
      </c>
      <c r="K192" s="154">
        <f t="shared" si="92"/>
        <v>0</v>
      </c>
      <c r="L192" s="154">
        <f t="shared" si="93"/>
        <v>0</v>
      </c>
      <c r="N192" s="152"/>
      <c r="O192" s="155"/>
      <c r="P192" s="155"/>
      <c r="Q192" s="156" t="str">
        <f t="shared" si="73"/>
        <v/>
      </c>
      <c r="R192" s="155"/>
      <c r="S192" s="156" t="str">
        <f t="shared" si="74"/>
        <v/>
      </c>
      <c r="T192" s="140" t="str">
        <f t="shared" ca="1" si="67"/>
        <v/>
      </c>
      <c r="U192" s="139" t="str">
        <f t="shared" si="64"/>
        <v/>
      </c>
      <c r="V192" s="139" t="str">
        <f t="shared" si="65"/>
        <v/>
      </c>
      <c r="W192" s="139" t="str">
        <f t="shared" si="66"/>
        <v/>
      </c>
      <c r="X192" s="327"/>
    </row>
    <row r="193" spans="1:24" ht="18.75" x14ac:dyDescent="0.25">
      <c r="A193" s="151">
        <v>2</v>
      </c>
      <c r="B193" s="106" t="str">
        <f>'Funding 2019'!$K$65</f>
        <v>CGMMPRD19001</v>
      </c>
      <c r="C193" s="151"/>
      <c r="D193" s="151"/>
      <c r="E193" s="152"/>
      <c r="F193" s="153"/>
      <c r="G193" s="153"/>
      <c r="H193" s="153"/>
      <c r="J193" s="154">
        <f t="shared" ref="J193:L195" si="94">F193/$J$2</f>
        <v>0</v>
      </c>
      <c r="K193" s="154">
        <f t="shared" si="94"/>
        <v>0</v>
      </c>
      <c r="L193" s="154">
        <f t="shared" si="94"/>
        <v>0</v>
      </c>
      <c r="N193" s="152"/>
      <c r="O193" s="155"/>
      <c r="P193" s="155"/>
      <c r="Q193" s="156" t="str">
        <f t="shared" si="73"/>
        <v/>
      </c>
      <c r="R193" s="155"/>
      <c r="S193" s="156" t="str">
        <f t="shared" si="74"/>
        <v/>
      </c>
      <c r="T193" s="140" t="str">
        <f t="shared" ca="1" si="67"/>
        <v/>
      </c>
      <c r="U193" s="139" t="str">
        <f t="shared" si="64"/>
        <v/>
      </c>
      <c r="V193" s="139" t="str">
        <f t="shared" si="65"/>
        <v/>
      </c>
      <c r="W193" s="139" t="str">
        <f t="shared" si="66"/>
        <v/>
      </c>
      <c r="X193" s="327"/>
    </row>
    <row r="194" spans="1:24" ht="18.75" x14ac:dyDescent="0.25">
      <c r="A194" s="151">
        <v>3</v>
      </c>
      <c r="B194" s="106" t="str">
        <f>'Funding 2019'!$K$65</f>
        <v>CGMMPRD19001</v>
      </c>
      <c r="C194" s="151"/>
      <c r="D194" s="151"/>
      <c r="E194" s="152"/>
      <c r="F194" s="153"/>
      <c r="G194" s="153"/>
      <c r="H194" s="153"/>
      <c r="J194" s="154">
        <f t="shared" si="94"/>
        <v>0</v>
      </c>
      <c r="K194" s="154">
        <f t="shared" si="94"/>
        <v>0</v>
      </c>
      <c r="L194" s="154">
        <f t="shared" si="94"/>
        <v>0</v>
      </c>
      <c r="N194" s="152"/>
      <c r="O194" s="155"/>
      <c r="P194" s="155"/>
      <c r="Q194" s="156" t="str">
        <f t="shared" si="73"/>
        <v/>
      </c>
      <c r="R194" s="155"/>
      <c r="S194" s="156" t="str">
        <f t="shared" si="74"/>
        <v/>
      </c>
      <c r="T194" s="140" t="str">
        <f t="shared" ca="1" si="67"/>
        <v/>
      </c>
      <c r="U194" s="139" t="str">
        <f t="shared" si="64"/>
        <v/>
      </c>
      <c r="V194" s="139" t="str">
        <f t="shared" si="65"/>
        <v/>
      </c>
      <c r="W194" s="139" t="str">
        <f t="shared" si="66"/>
        <v/>
      </c>
      <c r="X194" s="327"/>
    </row>
    <row r="195" spans="1:24" ht="18.75" x14ac:dyDescent="0.25">
      <c r="A195" s="151">
        <v>4</v>
      </c>
      <c r="B195" s="106" t="str">
        <f>'Funding 2019'!$K$65</f>
        <v>CGMMPRD19001</v>
      </c>
      <c r="C195" s="151"/>
      <c r="D195" s="151"/>
      <c r="E195" s="152"/>
      <c r="F195" s="153"/>
      <c r="G195" s="153"/>
      <c r="H195" s="153"/>
      <c r="J195" s="154">
        <f t="shared" si="94"/>
        <v>0</v>
      </c>
      <c r="K195" s="154">
        <f t="shared" si="94"/>
        <v>0</v>
      </c>
      <c r="L195" s="154">
        <f t="shared" si="94"/>
        <v>0</v>
      </c>
      <c r="N195" s="152"/>
      <c r="O195" s="155"/>
      <c r="P195" s="155"/>
      <c r="Q195" s="156" t="str">
        <f t="shared" si="73"/>
        <v/>
      </c>
      <c r="R195" s="155"/>
      <c r="S195" s="156" t="str">
        <f t="shared" si="74"/>
        <v/>
      </c>
      <c r="T195" s="140" t="str">
        <f t="shared" ca="1" si="67"/>
        <v/>
      </c>
      <c r="U195" s="139" t="str">
        <f t="shared" si="64"/>
        <v/>
      </c>
      <c r="V195" s="139" t="str">
        <f t="shared" si="65"/>
        <v/>
      </c>
      <c r="W195" s="139" t="str">
        <f t="shared" si="66"/>
        <v/>
      </c>
      <c r="X195" s="327"/>
    </row>
    <row r="196" spans="1:24" ht="18.75" x14ac:dyDescent="0.25">
      <c r="A196" s="157"/>
      <c r="B196" s="158"/>
      <c r="C196" s="157"/>
      <c r="D196" s="157"/>
      <c r="E196" s="159"/>
      <c r="F196" s="160">
        <f>SUM(F191:F195)</f>
        <v>0</v>
      </c>
      <c r="G196" s="160">
        <f>SUM(G191:G195)</f>
        <v>0</v>
      </c>
      <c r="H196" s="160">
        <f>SUM(H191:H195)</f>
        <v>0</v>
      </c>
      <c r="J196" s="161">
        <f t="shared" si="91"/>
        <v>0</v>
      </c>
      <c r="K196" s="161">
        <f t="shared" si="92"/>
        <v>0</v>
      </c>
      <c r="L196" s="161">
        <f t="shared" si="93"/>
        <v>0</v>
      </c>
      <c r="N196" s="159"/>
      <c r="O196" s="162"/>
      <c r="P196" s="162"/>
      <c r="Q196" s="156" t="str">
        <f t="shared" si="73"/>
        <v/>
      </c>
      <c r="R196" s="162"/>
      <c r="S196" s="156" t="str">
        <f t="shared" si="74"/>
        <v/>
      </c>
      <c r="T196" s="140" t="str">
        <f t="shared" ca="1" si="67"/>
        <v/>
      </c>
      <c r="U196" s="139" t="str">
        <f t="shared" si="64"/>
        <v/>
      </c>
      <c r="V196" s="139" t="str">
        <f t="shared" si="65"/>
        <v/>
      </c>
      <c r="W196" s="139" t="str">
        <f t="shared" si="66"/>
        <v/>
      </c>
      <c r="X196" s="327"/>
    </row>
    <row r="197" spans="1:24" ht="18.75" x14ac:dyDescent="0.25">
      <c r="Q197" s="156" t="str">
        <f t="shared" si="73"/>
        <v/>
      </c>
      <c r="S197" s="156" t="str">
        <f t="shared" si="74"/>
        <v/>
      </c>
      <c r="T197" s="140" t="str">
        <f t="shared" ca="1" si="67"/>
        <v/>
      </c>
      <c r="U197" s="139" t="str">
        <f t="shared" ref="U197:U260" si="95">IF(A197="","",IF(AND(J197&gt;0,Q197=""), "RED",""))</f>
        <v/>
      </c>
      <c r="V197" s="139" t="str">
        <f t="shared" ref="V197:V260" si="96">IF(A197="","",IF(AND(K197&gt;0,Q197=""), "BLUE",""))</f>
        <v/>
      </c>
      <c r="W197" s="139" t="str">
        <f t="shared" ref="W197:W260" si="97">IF(A197="","",IF(AND(L197&gt;0,S197=""), "YELLOW",""))</f>
        <v/>
      </c>
      <c r="X197" s="327"/>
    </row>
    <row r="198" spans="1:24" ht="18.75" x14ac:dyDescent="0.25">
      <c r="A198" s="163" t="str">
        <f>'Funding 2019'!L70</f>
        <v xml:space="preserve">PC-Assembly Line </v>
      </c>
      <c r="B198" s="113" t="str">
        <f>'Funding 2019'!L66</f>
        <v>Improvement &amp; Renewal Tools at APC-2 Trimming 02  (Cordless Screwdriver, EC Screwdriver, Digital Torque Wrench)</v>
      </c>
      <c r="C198" s="147"/>
      <c r="D198" s="147"/>
      <c r="E198" s="148"/>
      <c r="F198" s="148"/>
      <c r="G198" s="148"/>
      <c r="H198" s="148"/>
      <c r="J198" s="149">
        <f t="shared" ref="J198:J203" si="98">F198/$J$2</f>
        <v>0</v>
      </c>
      <c r="K198" s="149">
        <f t="shared" ref="K198:K203" si="99">G198/$J$2</f>
        <v>0</v>
      </c>
      <c r="L198" s="149">
        <f t="shared" ref="L198:L203" si="100">H198/$J$2</f>
        <v>0</v>
      </c>
      <c r="N198" s="148"/>
      <c r="O198" s="150"/>
      <c r="P198" s="150"/>
      <c r="Q198" s="156" t="str">
        <f t="shared" si="73"/>
        <v/>
      </c>
      <c r="R198" s="150"/>
      <c r="S198" s="156" t="str">
        <f t="shared" si="74"/>
        <v/>
      </c>
      <c r="T198" s="140" t="str">
        <f t="shared" ref="T198:T261" ca="1" si="101">IF(R198="",IF(O198="",IF(P198="","",IF(P198-TODAY()&lt;=0,TODAY()-P198,"")),IF(O198-TODAY()&lt;=0,TODAY()-O198,"")),IF(SUM(F198:G198)&lt;&gt;0,IF(O198="",IF(P198="","",IF(P198-TODAY()&lt;=0,TODAY()-P198,"")),IF(O198-TODAY()&lt;=0,TODAY()-O198,"")),""))</f>
        <v/>
      </c>
      <c r="U198" s="139" t="str">
        <f t="shared" si="95"/>
        <v/>
      </c>
      <c r="V198" s="139" t="str">
        <f t="shared" si="96"/>
        <v/>
      </c>
      <c r="W198" s="139" t="str">
        <f t="shared" si="97"/>
        <v/>
      </c>
      <c r="X198" s="327"/>
    </row>
    <row r="199" spans="1:24" ht="18.75" x14ac:dyDescent="0.25">
      <c r="A199" s="151">
        <v>1</v>
      </c>
      <c r="B199" s="106" t="str">
        <f>'Funding 2019'!$K$66</f>
        <v>CGMMPRD19002</v>
      </c>
      <c r="C199" s="151">
        <v>5500011134</v>
      </c>
      <c r="D199" s="151"/>
      <c r="E199" s="152" t="s">
        <v>256</v>
      </c>
      <c r="F199" s="153">
        <f>23950000*0</f>
        <v>0</v>
      </c>
      <c r="G199" s="153"/>
      <c r="H199" s="153">
        <v>23950000</v>
      </c>
      <c r="J199" s="154">
        <f t="shared" si="98"/>
        <v>0</v>
      </c>
      <c r="K199" s="154">
        <f t="shared" si="99"/>
        <v>0</v>
      </c>
      <c r="L199" s="154">
        <f t="shared" si="100"/>
        <v>1476.3900875354457</v>
      </c>
      <c r="N199" s="152" t="s">
        <v>178</v>
      </c>
      <c r="O199" s="155">
        <v>43615</v>
      </c>
      <c r="P199" s="155">
        <v>43461</v>
      </c>
      <c r="Q199" s="156">
        <f t="shared" si="73"/>
        <v>43465</v>
      </c>
      <c r="R199" s="155">
        <v>43664</v>
      </c>
      <c r="S199" s="156">
        <f t="shared" si="74"/>
        <v>43647</v>
      </c>
      <c r="T199" s="140" t="str">
        <f t="shared" ca="1" si="101"/>
        <v/>
      </c>
      <c r="U199" s="139" t="str">
        <f t="shared" si="95"/>
        <v/>
      </c>
      <c r="V199" s="139" t="str">
        <f t="shared" si="96"/>
        <v/>
      </c>
      <c r="W199" s="139" t="str">
        <f t="shared" si="97"/>
        <v/>
      </c>
      <c r="X199" s="327"/>
    </row>
    <row r="200" spans="1:24" ht="18.75" x14ac:dyDescent="0.25">
      <c r="A200" s="151">
        <v>2</v>
      </c>
      <c r="B200" s="106" t="str">
        <f>'Funding 2019'!$K$66</f>
        <v>CGMMPRD19002</v>
      </c>
      <c r="C200" s="151"/>
      <c r="D200" s="151"/>
      <c r="E200" s="152" t="s">
        <v>587</v>
      </c>
      <c r="F200" s="153"/>
      <c r="G200" s="153"/>
      <c r="H200" s="153">
        <v>3975000</v>
      </c>
      <c r="J200" s="154">
        <f t="shared" ref="J200:L202" si="102">F200/$J$2</f>
        <v>0</v>
      </c>
      <c r="K200" s="154">
        <f t="shared" si="102"/>
        <v>0</v>
      </c>
      <c r="L200" s="154">
        <f t="shared" si="102"/>
        <v>245.0376032548391</v>
      </c>
      <c r="N200" s="152" t="s">
        <v>178</v>
      </c>
      <c r="O200" s="155">
        <v>43643</v>
      </c>
      <c r="P200" s="155">
        <v>43643</v>
      </c>
      <c r="Q200" s="156">
        <f t="shared" si="73"/>
        <v>43617</v>
      </c>
      <c r="R200" s="155">
        <v>43617</v>
      </c>
      <c r="S200" s="156">
        <f t="shared" si="74"/>
        <v>43617</v>
      </c>
      <c r="T200" s="140" t="str">
        <f t="shared" ca="1" si="101"/>
        <v/>
      </c>
      <c r="U200" s="139" t="str">
        <f t="shared" si="95"/>
        <v/>
      </c>
      <c r="V200" s="139" t="str">
        <f t="shared" si="96"/>
        <v/>
      </c>
      <c r="W200" s="139" t="str">
        <f t="shared" si="97"/>
        <v/>
      </c>
      <c r="X200" s="327"/>
    </row>
    <row r="201" spans="1:24" ht="18.75" x14ac:dyDescent="0.25">
      <c r="A201" s="151">
        <v>3</v>
      </c>
      <c r="B201" s="106" t="str">
        <f>'Funding 2019'!$K$66</f>
        <v>CGMMPRD19002</v>
      </c>
      <c r="C201" s="151"/>
      <c r="D201" s="151"/>
      <c r="E201" s="152" t="s">
        <v>715</v>
      </c>
      <c r="F201" s="153"/>
      <c r="G201" s="153"/>
      <c r="H201" s="153">
        <v>5525000</v>
      </c>
      <c r="J201" s="154">
        <f t="shared" si="102"/>
        <v>0</v>
      </c>
      <c r="K201" s="154">
        <f t="shared" si="102"/>
        <v>0</v>
      </c>
      <c r="L201" s="154">
        <f t="shared" si="102"/>
        <v>340.58685735421034</v>
      </c>
      <c r="N201" s="152" t="s">
        <v>178</v>
      </c>
      <c r="O201" s="155">
        <v>43643</v>
      </c>
      <c r="P201" s="155">
        <v>43643</v>
      </c>
      <c r="Q201" s="156">
        <f t="shared" si="73"/>
        <v>43617</v>
      </c>
      <c r="R201" s="155">
        <v>43677</v>
      </c>
      <c r="S201" s="156">
        <f t="shared" si="74"/>
        <v>43647</v>
      </c>
      <c r="T201" s="140" t="str">
        <f t="shared" ca="1" si="101"/>
        <v/>
      </c>
      <c r="U201" s="139" t="str">
        <f t="shared" si="95"/>
        <v/>
      </c>
      <c r="V201" s="139" t="str">
        <f t="shared" si="96"/>
        <v/>
      </c>
      <c r="W201" s="139" t="str">
        <f t="shared" si="97"/>
        <v/>
      </c>
      <c r="X201" s="327"/>
    </row>
    <row r="202" spans="1:24" ht="18.75" x14ac:dyDescent="0.25">
      <c r="A202" s="151">
        <v>4</v>
      </c>
      <c r="B202" s="106" t="str">
        <f>'Funding 2019'!$K$66</f>
        <v>CGMMPRD19002</v>
      </c>
      <c r="C202" s="151"/>
      <c r="D202" s="151"/>
      <c r="E202" s="152"/>
      <c r="F202" s="153"/>
      <c r="G202" s="153"/>
      <c r="H202" s="153"/>
      <c r="J202" s="154">
        <f t="shared" si="102"/>
        <v>0</v>
      </c>
      <c r="K202" s="154">
        <f t="shared" si="102"/>
        <v>0</v>
      </c>
      <c r="L202" s="154">
        <f t="shared" si="102"/>
        <v>0</v>
      </c>
      <c r="N202" s="152"/>
      <c r="O202" s="155"/>
      <c r="P202" s="155"/>
      <c r="Q202" s="156" t="str">
        <f t="shared" si="73"/>
        <v/>
      </c>
      <c r="R202" s="155"/>
      <c r="S202" s="156" t="str">
        <f t="shared" si="74"/>
        <v/>
      </c>
      <c r="T202" s="140" t="str">
        <f t="shared" ca="1" si="101"/>
        <v/>
      </c>
      <c r="U202" s="139" t="str">
        <f t="shared" si="95"/>
        <v/>
      </c>
      <c r="V202" s="139" t="str">
        <f t="shared" si="96"/>
        <v/>
      </c>
      <c r="W202" s="139" t="str">
        <f t="shared" si="97"/>
        <v/>
      </c>
      <c r="X202" s="327"/>
    </row>
    <row r="203" spans="1:24" ht="18.75" x14ac:dyDescent="0.25">
      <c r="A203" s="157"/>
      <c r="B203" s="158"/>
      <c r="C203" s="157"/>
      <c r="D203" s="157"/>
      <c r="E203" s="159"/>
      <c r="F203" s="160">
        <f>SUM(F198:F202)</f>
        <v>0</v>
      </c>
      <c r="G203" s="160">
        <f>SUM(G198:G202)</f>
        <v>0</v>
      </c>
      <c r="H203" s="160">
        <f>SUM(H198:H202)</f>
        <v>33450000</v>
      </c>
      <c r="J203" s="161">
        <f t="shared" si="98"/>
        <v>0</v>
      </c>
      <c r="K203" s="161">
        <f t="shared" si="99"/>
        <v>0</v>
      </c>
      <c r="L203" s="161">
        <f t="shared" si="100"/>
        <v>2062.0145481444952</v>
      </c>
      <c r="N203" s="159"/>
      <c r="O203" s="162"/>
      <c r="P203" s="162"/>
      <c r="Q203" s="156" t="str">
        <f t="shared" si="73"/>
        <v/>
      </c>
      <c r="R203" s="162"/>
      <c r="S203" s="156" t="str">
        <f t="shared" si="74"/>
        <v/>
      </c>
      <c r="T203" s="140" t="str">
        <f t="shared" ca="1" si="101"/>
        <v/>
      </c>
      <c r="U203" s="139" t="str">
        <f t="shared" si="95"/>
        <v/>
      </c>
      <c r="V203" s="139" t="str">
        <f t="shared" si="96"/>
        <v/>
      </c>
      <c r="W203" s="139" t="str">
        <f t="shared" si="97"/>
        <v/>
      </c>
      <c r="X203" s="327"/>
    </row>
    <row r="204" spans="1:24" ht="18.75" x14ac:dyDescent="0.25">
      <c r="Q204" s="156" t="str">
        <f t="shared" si="73"/>
        <v/>
      </c>
      <c r="S204" s="156" t="str">
        <f t="shared" si="74"/>
        <v/>
      </c>
      <c r="T204" s="140" t="str">
        <f t="shared" ca="1" si="101"/>
        <v/>
      </c>
      <c r="U204" s="139" t="str">
        <f t="shared" si="95"/>
        <v/>
      </c>
      <c r="V204" s="139" t="str">
        <f t="shared" si="96"/>
        <v/>
      </c>
      <c r="W204" s="139" t="str">
        <f t="shared" si="97"/>
        <v/>
      </c>
      <c r="X204" s="327"/>
    </row>
    <row r="205" spans="1:24" ht="18.75" x14ac:dyDescent="0.25">
      <c r="A205" s="163" t="str">
        <f>'Funding 2019'!L70</f>
        <v xml:space="preserve">PC-Assembly Line </v>
      </c>
      <c r="B205" s="113" t="str">
        <f>'Funding 2019'!L67</f>
        <v>Improvement &amp; Renewal Tools at Rectification and Testing Line (Cordless Screwdriver, EC Screwdriver, Digital Torque Wrench)</v>
      </c>
      <c r="C205" s="147"/>
      <c r="D205" s="147"/>
      <c r="E205" s="148"/>
      <c r="F205" s="148"/>
      <c r="G205" s="148"/>
      <c r="H205" s="148"/>
      <c r="J205" s="149">
        <f t="shared" ref="J205:J210" si="103">F205/$J$2</f>
        <v>0</v>
      </c>
      <c r="K205" s="149">
        <f t="shared" ref="K205:K210" si="104">G205/$J$2</f>
        <v>0</v>
      </c>
      <c r="L205" s="149">
        <f t="shared" ref="L205:L210" si="105">H205/$J$2</f>
        <v>0</v>
      </c>
      <c r="N205" s="148"/>
      <c r="O205" s="150"/>
      <c r="P205" s="150"/>
      <c r="Q205" s="156" t="str">
        <f t="shared" si="73"/>
        <v/>
      </c>
      <c r="R205" s="150"/>
      <c r="S205" s="156" t="str">
        <f t="shared" si="74"/>
        <v/>
      </c>
      <c r="T205" s="140" t="str">
        <f t="shared" ca="1" si="101"/>
        <v/>
      </c>
      <c r="U205" s="139" t="str">
        <f t="shared" si="95"/>
        <v/>
      </c>
      <c r="V205" s="139" t="str">
        <f t="shared" si="96"/>
        <v/>
      </c>
      <c r="W205" s="139" t="str">
        <f t="shared" si="97"/>
        <v/>
      </c>
      <c r="X205" s="327"/>
    </row>
    <row r="206" spans="1:24" ht="18.75" x14ac:dyDescent="0.25">
      <c r="A206" s="151">
        <v>1</v>
      </c>
      <c r="B206" s="106" t="str">
        <f>'Funding 2019'!$K$67</f>
        <v>CGMMPRD19003</v>
      </c>
      <c r="C206" s="151"/>
      <c r="D206" s="151"/>
      <c r="E206" s="152" t="s">
        <v>319</v>
      </c>
      <c r="F206" s="153"/>
      <c r="G206" s="153"/>
      <c r="H206" s="153">
        <v>45000000</v>
      </c>
      <c r="J206" s="154">
        <f t="shared" si="103"/>
        <v>0</v>
      </c>
      <c r="K206" s="154">
        <f t="shared" si="104"/>
        <v>0</v>
      </c>
      <c r="L206" s="154">
        <f t="shared" si="105"/>
        <v>2774.0106028849709</v>
      </c>
      <c r="N206" s="152" t="s">
        <v>320</v>
      </c>
      <c r="O206" s="155">
        <v>43508</v>
      </c>
      <c r="P206" s="155">
        <v>43449</v>
      </c>
      <c r="Q206" s="156">
        <f t="shared" si="73"/>
        <v>43465</v>
      </c>
      <c r="R206" s="155">
        <v>43497</v>
      </c>
      <c r="S206" s="156">
        <f t="shared" si="74"/>
        <v>43497</v>
      </c>
      <c r="T206" s="140" t="str">
        <f t="shared" ca="1" si="101"/>
        <v/>
      </c>
      <c r="U206" s="139" t="str">
        <f t="shared" si="95"/>
        <v/>
      </c>
      <c r="V206" s="139" t="str">
        <f t="shared" si="96"/>
        <v/>
      </c>
      <c r="W206" s="139" t="str">
        <f t="shared" si="97"/>
        <v/>
      </c>
      <c r="X206" s="327"/>
    </row>
    <row r="207" spans="1:24" ht="18.75" x14ac:dyDescent="0.25">
      <c r="A207" s="151">
        <v>2</v>
      </c>
      <c r="B207" s="106" t="str">
        <f>'Funding 2019'!$K$67</f>
        <v>CGMMPRD19003</v>
      </c>
      <c r="C207" s="151"/>
      <c r="D207" s="151"/>
      <c r="E207" s="152"/>
      <c r="F207" s="153"/>
      <c r="G207" s="153"/>
      <c r="H207" s="153"/>
      <c r="J207" s="154">
        <f t="shared" ref="J207:L209" si="106">F207/$J$2</f>
        <v>0</v>
      </c>
      <c r="K207" s="154">
        <f t="shared" si="106"/>
        <v>0</v>
      </c>
      <c r="L207" s="154">
        <f t="shared" si="106"/>
        <v>0</v>
      </c>
      <c r="N207" s="152"/>
      <c r="O207" s="155"/>
      <c r="P207" s="155"/>
      <c r="Q207" s="156" t="str">
        <f t="shared" si="73"/>
        <v/>
      </c>
      <c r="R207" s="155"/>
      <c r="S207" s="156" t="str">
        <f t="shared" si="74"/>
        <v/>
      </c>
      <c r="T207" s="140" t="str">
        <f t="shared" ca="1" si="101"/>
        <v/>
      </c>
      <c r="U207" s="139" t="str">
        <f t="shared" si="95"/>
        <v/>
      </c>
      <c r="V207" s="139" t="str">
        <f t="shared" si="96"/>
        <v/>
      </c>
      <c r="W207" s="139" t="str">
        <f t="shared" si="97"/>
        <v/>
      </c>
      <c r="X207" s="327"/>
    </row>
    <row r="208" spans="1:24" ht="18.75" x14ac:dyDescent="0.25">
      <c r="A208" s="151">
        <v>3</v>
      </c>
      <c r="B208" s="106" t="str">
        <f>'Funding 2019'!$K$67</f>
        <v>CGMMPRD19003</v>
      </c>
      <c r="C208" s="151"/>
      <c r="D208" s="151"/>
      <c r="E208" s="152"/>
      <c r="F208" s="153"/>
      <c r="G208" s="153"/>
      <c r="H208" s="153"/>
      <c r="J208" s="154">
        <f t="shared" si="106"/>
        <v>0</v>
      </c>
      <c r="K208" s="154">
        <f t="shared" si="106"/>
        <v>0</v>
      </c>
      <c r="L208" s="154">
        <f t="shared" si="106"/>
        <v>0</v>
      </c>
      <c r="N208" s="152"/>
      <c r="O208" s="155"/>
      <c r="P208" s="155"/>
      <c r="Q208" s="156" t="str">
        <f t="shared" si="73"/>
        <v/>
      </c>
      <c r="R208" s="155"/>
      <c r="S208" s="156" t="str">
        <f t="shared" si="74"/>
        <v/>
      </c>
      <c r="T208" s="140" t="str">
        <f t="shared" ca="1" si="101"/>
        <v/>
      </c>
      <c r="U208" s="139" t="str">
        <f t="shared" si="95"/>
        <v/>
      </c>
      <c r="V208" s="139" t="str">
        <f t="shared" si="96"/>
        <v/>
      </c>
      <c r="W208" s="139" t="str">
        <f t="shared" si="97"/>
        <v/>
      </c>
      <c r="X208" s="327"/>
    </row>
    <row r="209" spans="1:25" ht="18.75" x14ac:dyDescent="0.25">
      <c r="A209" s="151">
        <v>4</v>
      </c>
      <c r="B209" s="106" t="str">
        <f>'Funding 2019'!$K$67</f>
        <v>CGMMPRD19003</v>
      </c>
      <c r="C209" s="151"/>
      <c r="D209" s="151"/>
      <c r="E209" s="152"/>
      <c r="F209" s="153"/>
      <c r="G209" s="153"/>
      <c r="H209" s="153"/>
      <c r="J209" s="154">
        <f t="shared" si="106"/>
        <v>0</v>
      </c>
      <c r="K209" s="154">
        <f t="shared" si="106"/>
        <v>0</v>
      </c>
      <c r="L209" s="154">
        <f t="shared" si="106"/>
        <v>0</v>
      </c>
      <c r="N209" s="152"/>
      <c r="O209" s="155"/>
      <c r="P209" s="155"/>
      <c r="Q209" s="156" t="str">
        <f t="shared" si="73"/>
        <v/>
      </c>
      <c r="R209" s="155"/>
      <c r="S209" s="156" t="str">
        <f t="shared" si="74"/>
        <v/>
      </c>
      <c r="T209" s="140" t="str">
        <f t="shared" ca="1" si="101"/>
        <v/>
      </c>
      <c r="U209" s="139" t="str">
        <f t="shared" si="95"/>
        <v/>
      </c>
      <c r="V209" s="139" t="str">
        <f t="shared" si="96"/>
        <v/>
      </c>
      <c r="W209" s="139" t="str">
        <f t="shared" si="97"/>
        <v/>
      </c>
      <c r="X209" s="327"/>
    </row>
    <row r="210" spans="1:25" ht="18.75" x14ac:dyDescent="0.25">
      <c r="A210" s="157"/>
      <c r="B210" s="158"/>
      <c r="C210" s="157"/>
      <c r="D210" s="157"/>
      <c r="E210" s="159"/>
      <c r="F210" s="160">
        <f>SUM(F205:F209)</f>
        <v>0</v>
      </c>
      <c r="G210" s="160">
        <f>SUM(G205:G209)</f>
        <v>0</v>
      </c>
      <c r="H210" s="160">
        <f>SUM(H205:H209)</f>
        <v>45000000</v>
      </c>
      <c r="J210" s="161">
        <f t="shared" si="103"/>
        <v>0</v>
      </c>
      <c r="K210" s="161">
        <f t="shared" si="104"/>
        <v>0</v>
      </c>
      <c r="L210" s="161">
        <f t="shared" si="105"/>
        <v>2774.0106028849709</v>
      </c>
      <c r="N210" s="159"/>
      <c r="O210" s="162"/>
      <c r="P210" s="162"/>
      <c r="Q210" s="156" t="str">
        <f t="shared" si="73"/>
        <v/>
      </c>
      <c r="R210" s="162"/>
      <c r="S210" s="156" t="str">
        <f t="shared" si="74"/>
        <v/>
      </c>
      <c r="T210" s="140" t="str">
        <f t="shared" ca="1" si="101"/>
        <v/>
      </c>
      <c r="U210" s="139" t="str">
        <f t="shared" si="95"/>
        <v/>
      </c>
      <c r="V210" s="139" t="str">
        <f t="shared" si="96"/>
        <v/>
      </c>
      <c r="W210" s="139" t="str">
        <f t="shared" si="97"/>
        <v/>
      </c>
      <c r="X210" s="327"/>
    </row>
    <row r="211" spans="1:25" ht="18.75" x14ac:dyDescent="0.25">
      <c r="Q211" s="156" t="str">
        <f t="shared" si="73"/>
        <v/>
      </c>
      <c r="S211" s="156" t="str">
        <f t="shared" si="74"/>
        <v/>
      </c>
      <c r="T211" s="140" t="str">
        <f t="shared" ca="1" si="101"/>
        <v/>
      </c>
      <c r="U211" s="139" t="str">
        <f t="shared" si="95"/>
        <v/>
      </c>
      <c r="V211" s="139" t="str">
        <f t="shared" si="96"/>
        <v/>
      </c>
      <c r="W211" s="139" t="str">
        <f t="shared" si="97"/>
        <v/>
      </c>
      <c r="X211" s="327"/>
    </row>
    <row r="212" spans="1:25" ht="18.75" x14ac:dyDescent="0.25">
      <c r="A212" s="163" t="str">
        <f>'Funding 2019'!L70</f>
        <v xml:space="preserve">PC-Assembly Line </v>
      </c>
      <c r="B212" s="113" t="str">
        <f>'Funding 2019'!L68</f>
        <v>Improvement &amp; Renewal Tools at Engine Assy and Power Train (Cordless Screwdriver, EC Screwdriver, Digital Torque Wrench)</v>
      </c>
      <c r="C212" s="147"/>
      <c r="D212" s="147"/>
      <c r="E212" s="148"/>
      <c r="F212" s="148"/>
      <c r="G212" s="148"/>
      <c r="H212" s="148"/>
      <c r="J212" s="149">
        <f t="shared" ref="J212:J217" si="107">F212/$J$2</f>
        <v>0</v>
      </c>
      <c r="K212" s="149">
        <f t="shared" ref="K212:K217" si="108">G212/$J$2</f>
        <v>0</v>
      </c>
      <c r="L212" s="149">
        <f t="shared" ref="L212:L217" si="109">H212/$J$2</f>
        <v>0</v>
      </c>
      <c r="N212" s="148"/>
      <c r="O212" s="150"/>
      <c r="P212" s="150"/>
      <c r="Q212" s="156" t="str">
        <f t="shared" si="73"/>
        <v/>
      </c>
      <c r="R212" s="150"/>
      <c r="S212" s="156" t="str">
        <f t="shared" si="74"/>
        <v/>
      </c>
      <c r="T212" s="140" t="str">
        <f t="shared" ca="1" si="101"/>
        <v/>
      </c>
      <c r="U212" s="139" t="str">
        <f t="shared" si="95"/>
        <v/>
      </c>
      <c r="V212" s="139" t="str">
        <f t="shared" si="96"/>
        <v/>
      </c>
      <c r="W212" s="139" t="str">
        <f t="shared" si="97"/>
        <v/>
      </c>
      <c r="X212" s="327"/>
    </row>
    <row r="213" spans="1:25" ht="18.75" x14ac:dyDescent="0.25">
      <c r="A213" s="151">
        <v>1</v>
      </c>
      <c r="B213" s="106" t="str">
        <f>'Funding 2019'!$K$68</f>
        <v>CGMMPRD19004</v>
      </c>
      <c r="C213" s="151"/>
      <c r="D213" s="151"/>
      <c r="E213" s="152"/>
      <c r="F213" s="153"/>
      <c r="G213" s="153"/>
      <c r="H213" s="153"/>
      <c r="J213" s="154">
        <f t="shared" si="107"/>
        <v>0</v>
      </c>
      <c r="K213" s="154">
        <f t="shared" si="108"/>
        <v>0</v>
      </c>
      <c r="L213" s="154">
        <f t="shared" si="109"/>
        <v>0</v>
      </c>
      <c r="N213" s="152"/>
      <c r="O213" s="155"/>
      <c r="P213" s="155"/>
      <c r="Q213" s="156" t="str">
        <f t="shared" si="73"/>
        <v/>
      </c>
      <c r="R213" s="155"/>
      <c r="S213" s="156" t="str">
        <f t="shared" si="74"/>
        <v/>
      </c>
      <c r="T213" s="140" t="str">
        <f t="shared" ca="1" si="101"/>
        <v/>
      </c>
      <c r="U213" s="139" t="str">
        <f t="shared" si="95"/>
        <v/>
      </c>
      <c r="V213" s="139" t="str">
        <f t="shared" si="96"/>
        <v/>
      </c>
      <c r="W213" s="139" t="str">
        <f t="shared" si="97"/>
        <v/>
      </c>
      <c r="X213" s="327"/>
    </row>
    <row r="214" spans="1:25" ht="18.75" x14ac:dyDescent="0.25">
      <c r="A214" s="151">
        <v>2</v>
      </c>
      <c r="B214" s="106" t="str">
        <f>'Funding 2019'!$K$68</f>
        <v>CGMMPRD19004</v>
      </c>
      <c r="C214" s="151"/>
      <c r="D214" s="151"/>
      <c r="E214" s="152"/>
      <c r="F214" s="153"/>
      <c r="G214" s="153"/>
      <c r="H214" s="153"/>
      <c r="J214" s="154">
        <f t="shared" ref="J214:L216" si="110">F214/$J$2</f>
        <v>0</v>
      </c>
      <c r="K214" s="154">
        <f t="shared" si="110"/>
        <v>0</v>
      </c>
      <c r="L214" s="154">
        <f t="shared" si="110"/>
        <v>0</v>
      </c>
      <c r="N214" s="152"/>
      <c r="O214" s="155"/>
      <c r="P214" s="155"/>
      <c r="Q214" s="156" t="str">
        <f t="shared" ref="Q214:Q277" si="111">IF(P214="","",IF(YEAR(P214)&lt;=2018,DATE(2018,12,31),EOMONTH(P214,-1)+1))</f>
        <v/>
      </c>
      <c r="R214" s="155"/>
      <c r="S214" s="156" t="str">
        <f t="shared" ref="S214:S277" si="112">IF(R214="","",IF(YEAR(R214)&lt;=2018,DATE(2018,12,31),EOMONTH(R214,-1)+1))</f>
        <v/>
      </c>
      <c r="T214" s="140" t="str">
        <f t="shared" ca="1" si="101"/>
        <v/>
      </c>
      <c r="U214" s="139" t="str">
        <f t="shared" si="95"/>
        <v/>
      </c>
      <c r="V214" s="139" t="str">
        <f t="shared" si="96"/>
        <v/>
      </c>
      <c r="W214" s="139" t="str">
        <f t="shared" si="97"/>
        <v/>
      </c>
      <c r="X214" s="327"/>
    </row>
    <row r="215" spans="1:25" ht="18.75" x14ac:dyDescent="0.25">
      <c r="A215" s="151">
        <v>3</v>
      </c>
      <c r="B215" s="106" t="str">
        <f>'Funding 2019'!$K$68</f>
        <v>CGMMPRD19004</v>
      </c>
      <c r="C215" s="151"/>
      <c r="D215" s="151"/>
      <c r="E215" s="152"/>
      <c r="F215" s="153"/>
      <c r="G215" s="153"/>
      <c r="H215" s="153"/>
      <c r="J215" s="154">
        <f t="shared" si="110"/>
        <v>0</v>
      </c>
      <c r="K215" s="154">
        <f t="shared" si="110"/>
        <v>0</v>
      </c>
      <c r="L215" s="154">
        <f t="shared" si="110"/>
        <v>0</v>
      </c>
      <c r="N215" s="152"/>
      <c r="O215" s="155"/>
      <c r="P215" s="155"/>
      <c r="Q215" s="156" t="str">
        <f t="shared" si="111"/>
        <v/>
      </c>
      <c r="R215" s="155"/>
      <c r="S215" s="156" t="str">
        <f t="shared" si="112"/>
        <v/>
      </c>
      <c r="T215" s="140" t="str">
        <f t="shared" ca="1" si="101"/>
        <v/>
      </c>
      <c r="U215" s="139" t="str">
        <f t="shared" si="95"/>
        <v/>
      </c>
      <c r="V215" s="139" t="str">
        <f t="shared" si="96"/>
        <v/>
      </c>
      <c r="W215" s="139" t="str">
        <f t="shared" si="97"/>
        <v/>
      </c>
      <c r="X215" s="327"/>
    </row>
    <row r="216" spans="1:25" ht="18.75" x14ac:dyDescent="0.25">
      <c r="A216" s="151">
        <v>4</v>
      </c>
      <c r="B216" s="106" t="str">
        <f>'Funding 2019'!$K$68</f>
        <v>CGMMPRD19004</v>
      </c>
      <c r="C216" s="151"/>
      <c r="D216" s="151"/>
      <c r="E216" s="152"/>
      <c r="F216" s="153"/>
      <c r="G216" s="153"/>
      <c r="H216" s="153"/>
      <c r="J216" s="154">
        <f t="shared" si="110"/>
        <v>0</v>
      </c>
      <c r="K216" s="154">
        <f t="shared" si="110"/>
        <v>0</v>
      </c>
      <c r="L216" s="154">
        <f t="shared" si="110"/>
        <v>0</v>
      </c>
      <c r="N216" s="152"/>
      <c r="O216" s="155"/>
      <c r="P216" s="155"/>
      <c r="Q216" s="156" t="str">
        <f t="shared" si="111"/>
        <v/>
      </c>
      <c r="R216" s="155"/>
      <c r="S216" s="156" t="str">
        <f t="shared" si="112"/>
        <v/>
      </c>
      <c r="T216" s="140" t="str">
        <f t="shared" ca="1" si="101"/>
        <v/>
      </c>
      <c r="U216" s="139" t="str">
        <f t="shared" si="95"/>
        <v/>
      </c>
      <c r="V216" s="139" t="str">
        <f t="shared" si="96"/>
        <v/>
      </c>
      <c r="W216" s="139" t="str">
        <f t="shared" si="97"/>
        <v/>
      </c>
      <c r="X216" s="327"/>
    </row>
    <row r="217" spans="1:25" ht="18.75" x14ac:dyDescent="0.25">
      <c r="A217" s="157"/>
      <c r="B217" s="158"/>
      <c r="C217" s="157"/>
      <c r="D217" s="157"/>
      <c r="E217" s="159"/>
      <c r="F217" s="160">
        <f>SUM(F212:F216)</f>
        <v>0</v>
      </c>
      <c r="G217" s="160">
        <f>SUM(G212:G216)</f>
        <v>0</v>
      </c>
      <c r="H217" s="160">
        <f>SUM(H212:H216)</f>
        <v>0</v>
      </c>
      <c r="J217" s="161">
        <f t="shared" si="107"/>
        <v>0</v>
      </c>
      <c r="K217" s="161">
        <f t="shared" si="108"/>
        <v>0</v>
      </c>
      <c r="L217" s="161">
        <f t="shared" si="109"/>
        <v>0</v>
      </c>
      <c r="N217" s="159"/>
      <c r="O217" s="162"/>
      <c r="P217" s="162"/>
      <c r="Q217" s="156" t="str">
        <f t="shared" si="111"/>
        <v/>
      </c>
      <c r="R217" s="162"/>
      <c r="S217" s="156" t="str">
        <f t="shared" si="112"/>
        <v/>
      </c>
      <c r="T217" s="140" t="str">
        <f t="shared" ca="1" si="101"/>
        <v/>
      </c>
      <c r="U217" s="139" t="str">
        <f t="shared" si="95"/>
        <v/>
      </c>
      <c r="V217" s="139" t="str">
        <f t="shared" si="96"/>
        <v/>
      </c>
      <c r="W217" s="139" t="str">
        <f t="shared" si="97"/>
        <v/>
      </c>
      <c r="X217" s="327"/>
    </row>
    <row r="218" spans="1:25" ht="18.75" x14ac:dyDescent="0.25">
      <c r="Q218" s="156" t="str">
        <f t="shared" si="111"/>
        <v/>
      </c>
      <c r="S218" s="156" t="str">
        <f t="shared" si="112"/>
        <v/>
      </c>
      <c r="T218" s="140" t="str">
        <f t="shared" ca="1" si="101"/>
        <v/>
      </c>
      <c r="U218" s="139" t="str">
        <f t="shared" si="95"/>
        <v/>
      </c>
      <c r="V218" s="139" t="str">
        <f t="shared" si="96"/>
        <v/>
      </c>
      <c r="W218" s="139" t="str">
        <f t="shared" si="97"/>
        <v/>
      </c>
      <c r="X218" s="327"/>
    </row>
    <row r="219" spans="1:25" ht="18.75" x14ac:dyDescent="0.25">
      <c r="A219" s="163" t="str">
        <f>'Funding 2019'!L99</f>
        <v>Investment Product</v>
      </c>
      <c r="B219" s="113" t="str">
        <f>'Funding 2019'!L83</f>
        <v>V177 - A Class</v>
      </c>
      <c r="C219" s="147"/>
      <c r="D219" s="147"/>
      <c r="E219" s="148"/>
      <c r="F219" s="148"/>
      <c r="G219" s="148"/>
      <c r="H219" s="148"/>
      <c r="J219" s="149">
        <f t="shared" ref="J219:L220" si="113">F219/$J$2</f>
        <v>0</v>
      </c>
      <c r="K219" s="149">
        <f t="shared" si="113"/>
        <v>0</v>
      </c>
      <c r="L219" s="149">
        <f t="shared" si="113"/>
        <v>0</v>
      </c>
      <c r="N219" s="148"/>
      <c r="O219" s="150"/>
      <c r="P219" s="150"/>
      <c r="Q219" s="156" t="str">
        <f t="shared" si="111"/>
        <v/>
      </c>
      <c r="R219" s="150"/>
      <c r="S219" s="156" t="str">
        <f t="shared" si="112"/>
        <v/>
      </c>
      <c r="T219" s="140" t="str">
        <f t="shared" ca="1" si="101"/>
        <v/>
      </c>
      <c r="U219" s="139" t="str">
        <f t="shared" si="95"/>
        <v/>
      </c>
      <c r="V219" s="139" t="str">
        <f t="shared" si="96"/>
        <v/>
      </c>
      <c r="W219" s="139" t="str">
        <f t="shared" si="97"/>
        <v/>
      </c>
      <c r="X219" s="327"/>
    </row>
    <row r="220" spans="1:25" ht="18.75" x14ac:dyDescent="0.25">
      <c r="A220" s="151">
        <v>1</v>
      </c>
      <c r="B220" s="106" t="str">
        <f>'Funding 2019'!$K$83</f>
        <v>CGMM2019V177</v>
      </c>
      <c r="C220" s="151">
        <v>6100000753</v>
      </c>
      <c r="D220" s="151">
        <v>330419802</v>
      </c>
      <c r="E220" s="152" t="s">
        <v>402</v>
      </c>
      <c r="F220" s="153"/>
      <c r="G220" s="153">
        <v>1621463393</v>
      </c>
      <c r="H220" s="153"/>
      <c r="J220" s="154">
        <f t="shared" si="113"/>
        <v>0</v>
      </c>
      <c r="K220" s="154">
        <f t="shared" si="113"/>
        <v>99954.59209715201</v>
      </c>
      <c r="L220" s="154">
        <f t="shared" si="113"/>
        <v>0</v>
      </c>
      <c r="N220" s="152" t="s">
        <v>171</v>
      </c>
      <c r="O220" s="318">
        <v>43811</v>
      </c>
      <c r="P220" s="155">
        <v>43577</v>
      </c>
      <c r="Q220" s="156">
        <f t="shared" si="111"/>
        <v>43556</v>
      </c>
      <c r="R220" s="155"/>
      <c r="S220" s="156" t="str">
        <f t="shared" si="112"/>
        <v/>
      </c>
      <c r="T220" s="140" t="str">
        <f t="shared" ca="1" si="101"/>
        <v/>
      </c>
      <c r="U220" s="139" t="str">
        <f t="shared" si="95"/>
        <v/>
      </c>
      <c r="V220" s="139" t="str">
        <f t="shared" si="96"/>
        <v/>
      </c>
      <c r="W220" s="139" t="str">
        <f t="shared" si="97"/>
        <v/>
      </c>
      <c r="X220" s="327"/>
      <c r="Y220" s="139" t="s">
        <v>783</v>
      </c>
    </row>
    <row r="221" spans="1:25" ht="18.75" x14ac:dyDescent="0.25">
      <c r="A221" s="151">
        <v>2</v>
      </c>
      <c r="B221" s="106" t="str">
        <f>'Funding 2019'!$K$83</f>
        <v>CGMM2019V177</v>
      </c>
      <c r="C221" s="151">
        <v>6100000758</v>
      </c>
      <c r="D221" s="151">
        <v>330419803</v>
      </c>
      <c r="E221" s="152" t="s">
        <v>403</v>
      </c>
      <c r="F221" s="153"/>
      <c r="G221" s="153">
        <v>532986480</v>
      </c>
      <c r="H221" s="153"/>
      <c r="J221" s="154">
        <f t="shared" ref="J221:J232" si="114">F221/$J$2</f>
        <v>0</v>
      </c>
      <c r="K221" s="154">
        <f t="shared" ref="K221:K232" si="115">G221/$J$2</f>
        <v>32855.781038096415</v>
      </c>
      <c r="L221" s="154">
        <f t="shared" ref="L221:L232" si="116">H221/$J$2</f>
        <v>0</v>
      </c>
      <c r="N221" s="152" t="s">
        <v>171</v>
      </c>
      <c r="O221" s="155">
        <v>43777</v>
      </c>
      <c r="P221" s="155">
        <v>43577</v>
      </c>
      <c r="Q221" s="156">
        <f t="shared" si="111"/>
        <v>43556</v>
      </c>
      <c r="R221" s="155"/>
      <c r="S221" s="156" t="str">
        <f t="shared" si="112"/>
        <v/>
      </c>
      <c r="T221" s="140" t="str">
        <f t="shared" ca="1" si="101"/>
        <v/>
      </c>
      <c r="U221" s="139" t="str">
        <f t="shared" si="95"/>
        <v/>
      </c>
      <c r="V221" s="139" t="str">
        <f t="shared" si="96"/>
        <v/>
      </c>
      <c r="W221" s="139" t="str">
        <f t="shared" si="97"/>
        <v/>
      </c>
      <c r="X221" s="327"/>
    </row>
    <row r="222" spans="1:25" ht="18.75" x14ac:dyDescent="0.25">
      <c r="A222" s="151">
        <v>3</v>
      </c>
      <c r="B222" s="106" t="str">
        <f>'Funding 2019'!$K$83</f>
        <v>CGMM2019V177</v>
      </c>
      <c r="C222" s="151">
        <v>6100000759</v>
      </c>
      <c r="D222" s="151">
        <v>330419807</v>
      </c>
      <c r="E222" s="152" t="s">
        <v>404</v>
      </c>
      <c r="F222" s="153">
        <v>23343753</v>
      </c>
      <c r="G222" s="153"/>
      <c r="H222" s="153"/>
      <c r="J222" s="154">
        <f t="shared" si="114"/>
        <v>1439.018185180619</v>
      </c>
      <c r="K222" s="154">
        <f t="shared" si="115"/>
        <v>0</v>
      </c>
      <c r="L222" s="154">
        <f t="shared" si="116"/>
        <v>0</v>
      </c>
      <c r="N222" s="152" t="s">
        <v>171</v>
      </c>
      <c r="O222" s="155">
        <v>43798</v>
      </c>
      <c r="P222" s="155">
        <v>43577</v>
      </c>
      <c r="Q222" s="156">
        <f t="shared" si="111"/>
        <v>43556</v>
      </c>
      <c r="R222" s="155"/>
      <c r="S222" s="156" t="str">
        <f t="shared" si="112"/>
        <v/>
      </c>
      <c r="T222" s="140" t="str">
        <f t="shared" ca="1" si="101"/>
        <v/>
      </c>
      <c r="U222" s="139" t="str">
        <f t="shared" si="95"/>
        <v/>
      </c>
      <c r="V222" s="139" t="str">
        <f t="shared" si="96"/>
        <v/>
      </c>
      <c r="W222" s="139" t="str">
        <f t="shared" si="97"/>
        <v/>
      </c>
      <c r="X222" s="327"/>
      <c r="Y222" s="139" t="s">
        <v>795</v>
      </c>
    </row>
    <row r="223" spans="1:25" ht="18.75" x14ac:dyDescent="0.25">
      <c r="A223" s="151">
        <v>4</v>
      </c>
      <c r="B223" s="106" t="str">
        <f>'Funding 2019'!$K$83</f>
        <v>CGMM2019V177</v>
      </c>
      <c r="C223" s="151">
        <v>2100011857</v>
      </c>
      <c r="D223" s="151">
        <v>4500135438</v>
      </c>
      <c r="E223" s="410" t="s">
        <v>883</v>
      </c>
      <c r="F223" s="153"/>
      <c r="G223" s="153">
        <f>5409267036*0.3</f>
        <v>1622780110.8</v>
      </c>
      <c r="H223" s="153"/>
      <c r="J223" s="154">
        <f t="shared" si="114"/>
        <v>0</v>
      </c>
      <c r="K223" s="154">
        <f t="shared" si="115"/>
        <v>100035.76074466773</v>
      </c>
      <c r="L223" s="154">
        <f t="shared" si="116"/>
        <v>0</v>
      </c>
      <c r="N223" s="152" t="s">
        <v>171</v>
      </c>
      <c r="O223" s="318">
        <v>43811</v>
      </c>
      <c r="P223" s="155">
        <v>43740</v>
      </c>
      <c r="Q223" s="156">
        <f t="shared" si="111"/>
        <v>43739</v>
      </c>
      <c r="R223" s="155"/>
      <c r="S223" s="156" t="str">
        <f t="shared" si="112"/>
        <v/>
      </c>
      <c r="T223" s="140" t="str">
        <f t="shared" ca="1" si="101"/>
        <v/>
      </c>
      <c r="U223" s="139" t="str">
        <f t="shared" si="95"/>
        <v/>
      </c>
      <c r="V223" s="139" t="str">
        <f t="shared" si="96"/>
        <v/>
      </c>
      <c r="W223" s="139" t="str">
        <f t="shared" si="97"/>
        <v/>
      </c>
      <c r="X223" s="327"/>
    </row>
    <row r="224" spans="1:25" ht="18.75" x14ac:dyDescent="0.25">
      <c r="A224" s="151">
        <v>5</v>
      </c>
      <c r="B224" s="106" t="str">
        <f>'Funding 2019'!$K$83</f>
        <v>CGMM2019V177</v>
      </c>
      <c r="C224" s="151">
        <v>2100011856</v>
      </c>
      <c r="D224" s="151"/>
      <c r="E224" s="410" t="s">
        <v>884</v>
      </c>
      <c r="F224" s="153">
        <f>5560000000*0.3</f>
        <v>1668000000</v>
      </c>
      <c r="G224" s="153"/>
      <c r="H224" s="153"/>
      <c r="J224" s="154">
        <f t="shared" si="114"/>
        <v>102823.32634693626</v>
      </c>
      <c r="K224" s="154">
        <f t="shared" si="115"/>
        <v>0</v>
      </c>
      <c r="L224" s="154">
        <f t="shared" si="116"/>
        <v>0</v>
      </c>
      <c r="N224" s="152" t="s">
        <v>171</v>
      </c>
      <c r="O224" s="318">
        <v>43811</v>
      </c>
      <c r="P224" s="155">
        <v>43740</v>
      </c>
      <c r="Q224" s="156">
        <f t="shared" si="111"/>
        <v>43739</v>
      </c>
      <c r="R224" s="155"/>
      <c r="S224" s="156" t="str">
        <f t="shared" si="112"/>
        <v/>
      </c>
      <c r="T224" s="140" t="str">
        <f t="shared" ca="1" si="101"/>
        <v/>
      </c>
      <c r="U224" s="139" t="str">
        <f t="shared" si="95"/>
        <v/>
      </c>
      <c r="V224" s="139" t="str">
        <f t="shared" si="96"/>
        <v/>
      </c>
      <c r="W224" s="139" t="str">
        <f t="shared" si="97"/>
        <v/>
      </c>
      <c r="X224" s="327"/>
    </row>
    <row r="225" spans="1:25" ht="18.75" x14ac:dyDescent="0.25">
      <c r="A225" s="151">
        <v>6</v>
      </c>
      <c r="B225" s="106" t="str">
        <f>'Funding 2019'!$K$83</f>
        <v>CGMM2019V177</v>
      </c>
      <c r="C225" s="151">
        <v>2100011685</v>
      </c>
      <c r="D225" s="151">
        <v>4500134964</v>
      </c>
      <c r="E225" s="410" t="s">
        <v>885</v>
      </c>
      <c r="F225" s="153"/>
      <c r="G225" s="153">
        <f>1916695000*0.3</f>
        <v>575008500</v>
      </c>
      <c r="H225" s="153"/>
      <c r="J225" s="154">
        <f t="shared" si="114"/>
        <v>0</v>
      </c>
      <c r="K225" s="154">
        <f t="shared" si="115"/>
        <v>35446.215016644062</v>
      </c>
      <c r="L225" s="154">
        <f t="shared" si="116"/>
        <v>0</v>
      </c>
      <c r="N225" s="152" t="s">
        <v>165</v>
      </c>
      <c r="O225" s="318">
        <v>43811</v>
      </c>
      <c r="P225" s="155">
        <v>43633</v>
      </c>
      <c r="Q225" s="156">
        <f t="shared" si="111"/>
        <v>43617</v>
      </c>
      <c r="R225" s="155"/>
      <c r="S225" s="156" t="str">
        <f t="shared" si="112"/>
        <v/>
      </c>
      <c r="T225" s="140" t="str">
        <f t="shared" ca="1" si="101"/>
        <v/>
      </c>
      <c r="U225" s="139" t="str">
        <f t="shared" si="95"/>
        <v/>
      </c>
      <c r="V225" s="139" t="str">
        <f t="shared" si="96"/>
        <v/>
      </c>
      <c r="W225" s="139" t="str">
        <f t="shared" si="97"/>
        <v/>
      </c>
      <c r="X225" s="327"/>
    </row>
    <row r="226" spans="1:25" ht="18.75" x14ac:dyDescent="0.25">
      <c r="A226" s="151">
        <v>7</v>
      </c>
      <c r="B226" s="106" t="str">
        <f>'Funding 2019'!$K$83</f>
        <v>CGMM2019V177</v>
      </c>
      <c r="C226" s="151">
        <v>2100011911</v>
      </c>
      <c r="D226" s="151"/>
      <c r="E226" s="410" t="s">
        <v>936</v>
      </c>
      <c r="F226" s="153">
        <f>1310490245*0.3</f>
        <v>393147073.5</v>
      </c>
      <c r="G226" s="153"/>
      <c r="H226" s="153"/>
      <c r="J226" s="154">
        <f t="shared" si="114"/>
        <v>24235.425564048823</v>
      </c>
      <c r="K226" s="154">
        <f t="shared" si="115"/>
        <v>0</v>
      </c>
      <c r="L226" s="154">
        <f t="shared" si="116"/>
        <v>0</v>
      </c>
      <c r="N226" s="152" t="s">
        <v>165</v>
      </c>
      <c r="O226" s="155">
        <v>43819</v>
      </c>
      <c r="P226" s="155">
        <v>43773</v>
      </c>
      <c r="Q226" s="156">
        <f t="shared" si="111"/>
        <v>43770</v>
      </c>
      <c r="R226" s="155"/>
      <c r="S226" s="156" t="str">
        <f t="shared" si="112"/>
        <v/>
      </c>
      <c r="T226" s="140" t="str">
        <f t="shared" ca="1" si="101"/>
        <v/>
      </c>
      <c r="U226" s="139" t="str">
        <f t="shared" si="95"/>
        <v/>
      </c>
      <c r="V226" s="139" t="str">
        <f t="shared" si="96"/>
        <v/>
      </c>
      <c r="W226" s="139" t="str">
        <f t="shared" si="97"/>
        <v/>
      </c>
      <c r="X226" s="327"/>
    </row>
    <row r="227" spans="1:25" ht="18.75" x14ac:dyDescent="0.25">
      <c r="A227" s="151">
        <v>8</v>
      </c>
      <c r="B227" s="106" t="str">
        <f>'Funding 2019'!$K$83</f>
        <v>CGMM2019V177</v>
      </c>
      <c r="C227" s="151">
        <v>2100011910</v>
      </c>
      <c r="D227" s="151"/>
      <c r="E227" s="410" t="s">
        <v>935</v>
      </c>
      <c r="F227" s="153">
        <f>2367805948*0.2</f>
        <v>473561189.60000002</v>
      </c>
      <c r="G227" s="153"/>
      <c r="H227" s="153"/>
      <c r="J227" s="154">
        <f t="shared" si="114"/>
        <v>29192.528023671559</v>
      </c>
      <c r="K227" s="154">
        <f t="shared" si="115"/>
        <v>0</v>
      </c>
      <c r="L227" s="154">
        <f t="shared" si="116"/>
        <v>0</v>
      </c>
      <c r="N227" s="152" t="s">
        <v>165</v>
      </c>
      <c r="O227" s="155">
        <v>43819</v>
      </c>
      <c r="P227" s="155">
        <v>43773</v>
      </c>
      <c r="Q227" s="156">
        <f t="shared" si="111"/>
        <v>43770</v>
      </c>
      <c r="R227" s="155"/>
      <c r="S227" s="156" t="str">
        <f t="shared" si="112"/>
        <v/>
      </c>
      <c r="T227" s="140" t="str">
        <f t="shared" ca="1" si="101"/>
        <v/>
      </c>
      <c r="U227" s="139" t="str">
        <f t="shared" si="95"/>
        <v/>
      </c>
      <c r="V227" s="139" t="str">
        <f t="shared" si="96"/>
        <v/>
      </c>
      <c r="W227" s="139" t="str">
        <f t="shared" si="97"/>
        <v/>
      </c>
      <c r="X227" s="327"/>
    </row>
    <row r="228" spans="1:25" ht="18.75" x14ac:dyDescent="0.25">
      <c r="A228" s="151">
        <v>9</v>
      </c>
      <c r="B228" s="106" t="str">
        <f>'Funding 2019'!$K$83</f>
        <v>CGMM2019V177</v>
      </c>
      <c r="C228" s="151"/>
      <c r="D228" s="151"/>
      <c r="E228" s="410" t="s">
        <v>886</v>
      </c>
      <c r="F228" s="153"/>
      <c r="G228" s="153"/>
      <c r="H228" s="153"/>
      <c r="J228" s="154">
        <f t="shared" si="114"/>
        <v>0</v>
      </c>
      <c r="K228" s="154">
        <f t="shared" si="115"/>
        <v>0</v>
      </c>
      <c r="L228" s="154">
        <f t="shared" si="116"/>
        <v>0</v>
      </c>
      <c r="N228" s="152"/>
      <c r="O228" s="155"/>
      <c r="P228" s="155"/>
      <c r="Q228" s="156" t="str">
        <f t="shared" si="111"/>
        <v/>
      </c>
      <c r="R228" s="155"/>
      <c r="S228" s="156" t="str">
        <f t="shared" si="112"/>
        <v/>
      </c>
      <c r="T228" s="140" t="str">
        <f t="shared" ca="1" si="101"/>
        <v/>
      </c>
      <c r="U228" s="139" t="str">
        <f t="shared" si="95"/>
        <v/>
      </c>
      <c r="V228" s="139" t="str">
        <f t="shared" si="96"/>
        <v/>
      </c>
      <c r="W228" s="139" t="str">
        <f t="shared" si="97"/>
        <v/>
      </c>
      <c r="X228" s="327"/>
    </row>
    <row r="229" spans="1:25" ht="18.75" x14ac:dyDescent="0.25">
      <c r="A229" s="151">
        <v>10</v>
      </c>
      <c r="B229" s="106" t="str">
        <f>'Funding 2019'!$K$83</f>
        <v>CGMM2019V177</v>
      </c>
      <c r="C229" s="151"/>
      <c r="D229" s="151"/>
      <c r="E229" s="152"/>
      <c r="F229" s="153"/>
      <c r="G229" s="153"/>
      <c r="H229" s="153"/>
      <c r="J229" s="154">
        <f t="shared" si="114"/>
        <v>0</v>
      </c>
      <c r="K229" s="154">
        <f t="shared" si="115"/>
        <v>0</v>
      </c>
      <c r="L229" s="154">
        <f t="shared" si="116"/>
        <v>0</v>
      </c>
      <c r="N229" s="152"/>
      <c r="O229" s="155"/>
      <c r="P229" s="155"/>
      <c r="Q229" s="156" t="str">
        <f t="shared" si="111"/>
        <v/>
      </c>
      <c r="R229" s="155"/>
      <c r="S229" s="156" t="str">
        <f t="shared" si="112"/>
        <v/>
      </c>
      <c r="T229" s="140" t="str">
        <f t="shared" ca="1" si="101"/>
        <v/>
      </c>
      <c r="U229" s="139" t="str">
        <f t="shared" si="95"/>
        <v/>
      </c>
      <c r="V229" s="139" t="str">
        <f t="shared" si="96"/>
        <v/>
      </c>
      <c r="W229" s="139" t="str">
        <f t="shared" si="97"/>
        <v/>
      </c>
      <c r="X229" s="327"/>
    </row>
    <row r="230" spans="1:25" ht="18.75" x14ac:dyDescent="0.25">
      <c r="A230" s="151">
        <v>11</v>
      </c>
      <c r="B230" s="106" t="str">
        <f>'Funding 2019'!$K$83</f>
        <v>CGMM2019V177</v>
      </c>
      <c r="C230" s="151"/>
      <c r="D230" s="151"/>
      <c r="E230" s="152"/>
      <c r="F230" s="153"/>
      <c r="G230" s="153"/>
      <c r="H230" s="153"/>
      <c r="J230" s="154">
        <f t="shared" si="114"/>
        <v>0</v>
      </c>
      <c r="K230" s="154">
        <f t="shared" si="115"/>
        <v>0</v>
      </c>
      <c r="L230" s="154">
        <f t="shared" si="116"/>
        <v>0</v>
      </c>
      <c r="N230" s="152"/>
      <c r="O230" s="155"/>
      <c r="P230" s="155"/>
      <c r="Q230" s="156" t="str">
        <f t="shared" si="111"/>
        <v/>
      </c>
      <c r="R230" s="155"/>
      <c r="S230" s="156" t="str">
        <f t="shared" si="112"/>
        <v/>
      </c>
      <c r="T230" s="140" t="str">
        <f t="shared" ca="1" si="101"/>
        <v/>
      </c>
      <c r="U230" s="139" t="str">
        <f t="shared" si="95"/>
        <v/>
      </c>
      <c r="V230" s="139" t="str">
        <f t="shared" si="96"/>
        <v/>
      </c>
      <c r="W230" s="139" t="str">
        <f t="shared" si="97"/>
        <v/>
      </c>
      <c r="X230" s="327"/>
    </row>
    <row r="231" spans="1:25" ht="18.75" x14ac:dyDescent="0.25">
      <c r="A231" s="151">
        <v>12</v>
      </c>
      <c r="B231" s="106" t="str">
        <f>'Funding 2019'!$K$83</f>
        <v>CGMM2019V177</v>
      </c>
      <c r="C231" s="151"/>
      <c r="D231" s="151"/>
      <c r="E231" s="152"/>
      <c r="F231" s="153"/>
      <c r="G231" s="153"/>
      <c r="H231" s="153"/>
      <c r="J231" s="154">
        <f t="shared" si="114"/>
        <v>0</v>
      </c>
      <c r="K231" s="154">
        <f t="shared" si="115"/>
        <v>0</v>
      </c>
      <c r="L231" s="154">
        <f t="shared" si="116"/>
        <v>0</v>
      </c>
      <c r="N231" s="152"/>
      <c r="O231" s="155"/>
      <c r="P231" s="155"/>
      <c r="Q231" s="156" t="str">
        <f t="shared" si="111"/>
        <v/>
      </c>
      <c r="R231" s="155"/>
      <c r="S231" s="156" t="str">
        <f t="shared" si="112"/>
        <v/>
      </c>
      <c r="T231" s="140" t="str">
        <f t="shared" ca="1" si="101"/>
        <v/>
      </c>
      <c r="U231" s="139" t="str">
        <f t="shared" si="95"/>
        <v/>
      </c>
      <c r="V231" s="139" t="str">
        <f t="shared" si="96"/>
        <v/>
      </c>
      <c r="W231" s="139" t="str">
        <f t="shared" si="97"/>
        <v/>
      </c>
      <c r="X231" s="327"/>
    </row>
    <row r="232" spans="1:25" ht="18.75" x14ac:dyDescent="0.25">
      <c r="A232" s="151">
        <v>13</v>
      </c>
      <c r="B232" s="106" t="str">
        <f>'Funding 2019'!$K$83</f>
        <v>CGMM2019V177</v>
      </c>
      <c r="C232" s="151"/>
      <c r="D232" s="151"/>
      <c r="E232" s="152"/>
      <c r="F232" s="153"/>
      <c r="G232" s="153"/>
      <c r="H232" s="153"/>
      <c r="J232" s="154">
        <f t="shared" si="114"/>
        <v>0</v>
      </c>
      <c r="K232" s="154">
        <f t="shared" si="115"/>
        <v>0</v>
      </c>
      <c r="L232" s="154">
        <f t="shared" si="116"/>
        <v>0</v>
      </c>
      <c r="N232" s="152"/>
      <c r="O232" s="155"/>
      <c r="P232" s="155"/>
      <c r="Q232" s="156" t="str">
        <f t="shared" si="111"/>
        <v/>
      </c>
      <c r="R232" s="155"/>
      <c r="S232" s="156" t="str">
        <f t="shared" si="112"/>
        <v/>
      </c>
      <c r="T232" s="140" t="str">
        <f t="shared" ca="1" si="101"/>
        <v/>
      </c>
      <c r="U232" s="139" t="str">
        <f t="shared" si="95"/>
        <v/>
      </c>
      <c r="V232" s="139" t="str">
        <f t="shared" si="96"/>
        <v/>
      </c>
      <c r="W232" s="139" t="str">
        <f t="shared" si="97"/>
        <v/>
      </c>
      <c r="X232" s="327"/>
    </row>
    <row r="233" spans="1:25" ht="18.75" x14ac:dyDescent="0.25">
      <c r="A233" s="157"/>
      <c r="B233" s="158"/>
      <c r="C233" s="157"/>
      <c r="D233" s="157"/>
      <c r="E233" s="159"/>
      <c r="F233" s="160">
        <f>SUM(F219:F232)</f>
        <v>2558052016.0999999</v>
      </c>
      <c r="G233" s="160">
        <f>SUM(G219:G232)</f>
        <v>4352238483.8000002</v>
      </c>
      <c r="H233" s="160">
        <f>SUM(H219:H232)</f>
        <v>0</v>
      </c>
      <c r="J233" s="161">
        <f>F233/$J$2</f>
        <v>157690.29811983724</v>
      </c>
      <c r="K233" s="161">
        <f>G233/$J$2</f>
        <v>268292.34889656026</v>
      </c>
      <c r="L233" s="161">
        <f>H233/$J$2</f>
        <v>0</v>
      </c>
      <c r="N233" s="159"/>
      <c r="O233" s="162"/>
      <c r="P233" s="162"/>
      <c r="Q233" s="156" t="str">
        <f t="shared" si="111"/>
        <v/>
      </c>
      <c r="R233" s="162"/>
      <c r="S233" s="156" t="str">
        <f t="shared" si="112"/>
        <v/>
      </c>
      <c r="T233" s="140" t="str">
        <f t="shared" ca="1" si="101"/>
        <v/>
      </c>
      <c r="U233" s="139" t="str">
        <f t="shared" si="95"/>
        <v/>
      </c>
      <c r="V233" s="139" t="str">
        <f t="shared" si="96"/>
        <v/>
      </c>
      <c r="W233" s="139" t="str">
        <f t="shared" si="97"/>
        <v/>
      </c>
      <c r="X233" s="327"/>
    </row>
    <row r="234" spans="1:25" ht="18.75" x14ac:dyDescent="0.25">
      <c r="Q234" s="156" t="str">
        <f t="shared" si="111"/>
        <v/>
      </c>
      <c r="S234" s="156" t="str">
        <f t="shared" si="112"/>
        <v/>
      </c>
      <c r="T234" s="140" t="str">
        <f t="shared" ca="1" si="101"/>
        <v/>
      </c>
      <c r="U234" s="139" t="str">
        <f t="shared" si="95"/>
        <v/>
      </c>
      <c r="V234" s="139" t="str">
        <f t="shared" si="96"/>
        <v/>
      </c>
      <c r="W234" s="139" t="str">
        <f t="shared" si="97"/>
        <v/>
      </c>
      <c r="X234" s="327"/>
    </row>
    <row r="235" spans="1:25" ht="18.75" x14ac:dyDescent="0.25">
      <c r="A235" s="163" t="str">
        <f>'Funding 2019'!L99</f>
        <v>Investment Product</v>
      </c>
      <c r="B235" s="113" t="str">
        <f>'Funding 2019'!L84</f>
        <v>X167 - GLS</v>
      </c>
      <c r="C235" s="147"/>
      <c r="D235" s="147"/>
      <c r="E235" s="148"/>
      <c r="F235" s="148"/>
      <c r="G235" s="148"/>
      <c r="H235" s="148"/>
      <c r="J235" s="149">
        <f t="shared" ref="J235:L236" si="117">F235/$J$2</f>
        <v>0</v>
      </c>
      <c r="K235" s="149">
        <f t="shared" si="117"/>
        <v>0</v>
      </c>
      <c r="L235" s="149">
        <f t="shared" si="117"/>
        <v>0</v>
      </c>
      <c r="N235" s="148"/>
      <c r="O235" s="150"/>
      <c r="P235" s="150"/>
      <c r="Q235" s="156" t="str">
        <f t="shared" si="111"/>
        <v/>
      </c>
      <c r="R235" s="150"/>
      <c r="S235" s="156" t="str">
        <f t="shared" si="112"/>
        <v/>
      </c>
      <c r="T235" s="140" t="str">
        <f t="shared" ca="1" si="101"/>
        <v/>
      </c>
      <c r="U235" s="139" t="str">
        <f t="shared" si="95"/>
        <v/>
      </c>
      <c r="V235" s="139" t="str">
        <f t="shared" si="96"/>
        <v/>
      </c>
      <c r="W235" s="139" t="str">
        <f t="shared" si="97"/>
        <v/>
      </c>
      <c r="X235" s="327"/>
    </row>
    <row r="236" spans="1:25" ht="18.75" x14ac:dyDescent="0.25">
      <c r="A236" s="151">
        <v>1</v>
      </c>
      <c r="B236" s="106" t="str">
        <f>'Funding 2019'!$K$84</f>
        <v>CGMM2019X167</v>
      </c>
      <c r="C236" s="151">
        <v>6100000731</v>
      </c>
      <c r="D236" s="151">
        <v>330219807</v>
      </c>
      <c r="E236" s="152" t="s">
        <v>331</v>
      </c>
      <c r="F236" s="286"/>
      <c r="G236" s="171"/>
      <c r="H236" s="294">
        <f>84075992+412004327+12252356</f>
        <v>508332675</v>
      </c>
      <c r="J236" s="154">
        <f t="shared" si="117"/>
        <v>0</v>
      </c>
      <c r="K236" s="154">
        <f t="shared" si="117"/>
        <v>0</v>
      </c>
      <c r="L236" s="154">
        <f t="shared" si="117"/>
        <v>31336.005116508444</v>
      </c>
      <c r="N236" s="152" t="s">
        <v>167</v>
      </c>
      <c r="O236" s="155">
        <v>43755</v>
      </c>
      <c r="P236" s="155">
        <v>43516</v>
      </c>
      <c r="Q236" s="156">
        <f t="shared" si="111"/>
        <v>43497</v>
      </c>
      <c r="R236" s="155">
        <v>43617</v>
      </c>
      <c r="S236" s="156">
        <f t="shared" si="112"/>
        <v>43617</v>
      </c>
      <c r="T236" s="140" t="str">
        <f t="shared" ca="1" si="101"/>
        <v/>
      </c>
      <c r="U236" s="139" t="str">
        <f t="shared" si="95"/>
        <v/>
      </c>
      <c r="V236" s="139" t="str">
        <f t="shared" si="96"/>
        <v/>
      </c>
      <c r="W236" s="139" t="str">
        <f t="shared" si="97"/>
        <v/>
      </c>
      <c r="X236" s="327"/>
    </row>
    <row r="237" spans="1:25" ht="18.75" x14ac:dyDescent="0.25">
      <c r="A237" s="151">
        <v>2</v>
      </c>
      <c r="B237" s="106" t="str">
        <f>'Funding 2019'!$K$84</f>
        <v>CGMM2019X167</v>
      </c>
      <c r="C237" s="151">
        <v>6100000733</v>
      </c>
      <c r="D237" s="151">
        <v>330219808</v>
      </c>
      <c r="E237" s="284" t="s">
        <v>334</v>
      </c>
      <c r="F237" s="286">
        <f>287534398*0</f>
        <v>0</v>
      </c>
      <c r="G237" s="166"/>
      <c r="H237" s="287">
        <v>203766336</v>
      </c>
      <c r="J237" s="154">
        <f t="shared" ref="J237:J254" si="118">F237/$J$2</f>
        <v>0</v>
      </c>
      <c r="K237" s="154">
        <f t="shared" ref="K237:K254" si="119">G237/$J$2</f>
        <v>0</v>
      </c>
      <c r="L237" s="154">
        <f t="shared" ref="L237:L254" si="120">H237/$J$2</f>
        <v>12561.110590556034</v>
      </c>
      <c r="N237" s="152" t="s">
        <v>167</v>
      </c>
      <c r="O237" s="155">
        <v>43628</v>
      </c>
      <c r="P237" s="155">
        <v>43518</v>
      </c>
      <c r="Q237" s="156">
        <f t="shared" si="111"/>
        <v>43497</v>
      </c>
      <c r="R237" s="155">
        <v>43682</v>
      </c>
      <c r="S237" s="156">
        <f t="shared" si="112"/>
        <v>43678</v>
      </c>
      <c r="T237" s="140" t="str">
        <f t="shared" ca="1" si="101"/>
        <v/>
      </c>
      <c r="U237" s="139" t="str">
        <f t="shared" si="95"/>
        <v/>
      </c>
      <c r="V237" s="139" t="str">
        <f t="shared" si="96"/>
        <v/>
      </c>
      <c r="W237" s="139" t="str">
        <f t="shared" si="97"/>
        <v/>
      </c>
      <c r="X237" s="327"/>
      <c r="Y237" s="139" t="s">
        <v>802</v>
      </c>
    </row>
    <row r="238" spans="1:25" ht="18.75" x14ac:dyDescent="0.25">
      <c r="A238" s="151">
        <v>3</v>
      </c>
      <c r="B238" s="106" t="str">
        <f>'Funding 2019'!$K$84</f>
        <v>CGMM2019X167</v>
      </c>
      <c r="C238" s="151">
        <v>6100000741</v>
      </c>
      <c r="D238" s="151">
        <v>330319804</v>
      </c>
      <c r="E238" s="284" t="s">
        <v>350</v>
      </c>
      <c r="F238" s="286"/>
      <c r="G238" s="166"/>
      <c r="H238" s="287">
        <v>762682412</v>
      </c>
      <c r="J238" s="154">
        <f t="shared" si="118"/>
        <v>0</v>
      </c>
      <c r="K238" s="154">
        <f t="shared" si="119"/>
        <v>0</v>
      </c>
      <c r="L238" s="154">
        <f t="shared" si="120"/>
        <v>47015.313278264082</v>
      </c>
      <c r="N238" s="152" t="s">
        <v>167</v>
      </c>
      <c r="O238" s="155">
        <v>43675</v>
      </c>
      <c r="P238" s="155">
        <v>43537</v>
      </c>
      <c r="Q238" s="156">
        <f t="shared" si="111"/>
        <v>43525</v>
      </c>
      <c r="R238" s="155">
        <v>43682</v>
      </c>
      <c r="S238" s="156">
        <f t="shared" si="112"/>
        <v>43678</v>
      </c>
      <c r="T238" s="140" t="str">
        <f t="shared" ca="1" si="101"/>
        <v/>
      </c>
      <c r="U238" s="139" t="str">
        <f t="shared" si="95"/>
        <v/>
      </c>
      <c r="V238" s="139" t="str">
        <f t="shared" si="96"/>
        <v/>
      </c>
      <c r="W238" s="139" t="str">
        <f t="shared" si="97"/>
        <v/>
      </c>
      <c r="X238" s="327"/>
      <c r="Y238" s="139" t="s">
        <v>802</v>
      </c>
    </row>
    <row r="239" spans="1:25" ht="18.75" x14ac:dyDescent="0.25">
      <c r="A239" s="151">
        <v>4</v>
      </c>
      <c r="B239" s="106" t="str">
        <f>'Funding 2019'!$K$84</f>
        <v>CGMM2019X167</v>
      </c>
      <c r="C239" s="151">
        <v>6100000746</v>
      </c>
      <c r="D239" s="151">
        <v>330319807</v>
      </c>
      <c r="E239" s="152" t="s">
        <v>351</v>
      </c>
      <c r="F239" s="286">
        <f>519051029*0</f>
        <v>0</v>
      </c>
      <c r="G239" s="166"/>
      <c r="H239" s="294">
        <v>391329313</v>
      </c>
      <c r="J239" s="154">
        <f t="shared" si="118"/>
        <v>0</v>
      </c>
      <c r="K239" s="154">
        <f t="shared" si="119"/>
        <v>0</v>
      </c>
      <c r="L239" s="154">
        <f t="shared" si="120"/>
        <v>24123.370299593145</v>
      </c>
      <c r="N239" s="152" t="s">
        <v>167</v>
      </c>
      <c r="O239" s="155">
        <v>43647</v>
      </c>
      <c r="P239" s="155">
        <v>43539</v>
      </c>
      <c r="Q239" s="156">
        <f t="shared" si="111"/>
        <v>43525</v>
      </c>
      <c r="R239" s="155">
        <v>43647</v>
      </c>
      <c r="S239" s="156">
        <f t="shared" si="112"/>
        <v>43647</v>
      </c>
      <c r="T239" s="140" t="str">
        <f t="shared" ca="1" si="101"/>
        <v/>
      </c>
      <c r="U239" s="139" t="str">
        <f t="shared" si="95"/>
        <v/>
      </c>
      <c r="V239" s="139" t="str">
        <f t="shared" si="96"/>
        <v/>
      </c>
      <c r="W239" s="139" t="str">
        <f t="shared" si="97"/>
        <v/>
      </c>
      <c r="X239" s="327"/>
    </row>
    <row r="240" spans="1:25" ht="18.75" x14ac:dyDescent="0.25">
      <c r="A240" s="151">
        <v>5</v>
      </c>
      <c r="B240" s="106" t="str">
        <f>'Funding 2019'!$K$84</f>
        <v>CGMM2019X167</v>
      </c>
      <c r="C240" s="151">
        <v>6100000783</v>
      </c>
      <c r="D240" s="151"/>
      <c r="E240" s="152" t="s">
        <v>613</v>
      </c>
      <c r="F240" s="413">
        <v>140313703</v>
      </c>
      <c r="G240" s="166"/>
      <c r="H240" s="166"/>
      <c r="J240" s="154">
        <f t="shared" si="118"/>
        <v>8649.5933300456163</v>
      </c>
      <c r="K240" s="154">
        <f t="shared" si="119"/>
        <v>0</v>
      </c>
      <c r="L240" s="154">
        <f t="shared" si="120"/>
        <v>0</v>
      </c>
      <c r="N240" s="152" t="s">
        <v>165</v>
      </c>
      <c r="O240" s="155">
        <v>43766</v>
      </c>
      <c r="P240" s="155">
        <v>43670</v>
      </c>
      <c r="Q240" s="156">
        <f t="shared" si="111"/>
        <v>43647</v>
      </c>
      <c r="R240" s="155"/>
      <c r="S240" s="156" t="str">
        <f t="shared" si="112"/>
        <v/>
      </c>
      <c r="T240" s="140">
        <f t="shared" ca="1" si="101"/>
        <v>7</v>
      </c>
      <c r="U240" s="139" t="str">
        <f t="shared" si="95"/>
        <v/>
      </c>
      <c r="V240" s="139" t="str">
        <f t="shared" si="96"/>
        <v/>
      </c>
      <c r="W240" s="139" t="str">
        <f t="shared" si="97"/>
        <v/>
      </c>
      <c r="X240" s="327"/>
    </row>
    <row r="241" spans="1:24" ht="18.75" x14ac:dyDescent="0.25">
      <c r="A241" s="151">
        <v>6</v>
      </c>
      <c r="B241" s="106" t="str">
        <f>'Funding 2019'!$K$84</f>
        <v>CGMM2019X167</v>
      </c>
      <c r="C241" s="151">
        <v>2100011761</v>
      </c>
      <c r="D241" s="151">
        <v>4500135181</v>
      </c>
      <c r="E241" s="152" t="s">
        <v>648</v>
      </c>
      <c r="F241" s="286">
        <f>0*40000000</f>
        <v>0</v>
      </c>
      <c r="G241" s="287">
        <v>36000000</v>
      </c>
      <c r="H241" s="166"/>
      <c r="J241" s="154">
        <f t="shared" si="118"/>
        <v>0</v>
      </c>
      <c r="K241" s="154">
        <f t="shared" si="119"/>
        <v>2219.2084823079767</v>
      </c>
      <c r="L241" s="154">
        <f t="shared" si="120"/>
        <v>0</v>
      </c>
      <c r="N241" s="152" t="s">
        <v>165</v>
      </c>
      <c r="O241" s="155">
        <v>43769</v>
      </c>
      <c r="P241" s="155">
        <v>43682</v>
      </c>
      <c r="Q241" s="156">
        <f t="shared" si="111"/>
        <v>43678</v>
      </c>
      <c r="R241" s="155"/>
      <c r="S241" s="156" t="str">
        <f t="shared" si="112"/>
        <v/>
      </c>
      <c r="T241" s="140">
        <f t="shared" ca="1" si="101"/>
        <v>4</v>
      </c>
      <c r="U241" s="139" t="str">
        <f t="shared" si="95"/>
        <v/>
      </c>
      <c r="V241" s="139" t="str">
        <f t="shared" si="96"/>
        <v/>
      </c>
      <c r="W241" s="139" t="str">
        <f t="shared" si="97"/>
        <v/>
      </c>
      <c r="X241" s="327"/>
    </row>
    <row r="242" spans="1:24" ht="18.75" x14ac:dyDescent="0.25">
      <c r="A242" s="151">
        <v>7</v>
      </c>
      <c r="B242" s="106" t="str">
        <f>'Funding 2019'!$K$84</f>
        <v>CGMM2019X167</v>
      </c>
      <c r="C242" s="151"/>
      <c r="D242" s="151" t="s">
        <v>718</v>
      </c>
      <c r="E242" s="152" t="s">
        <v>719</v>
      </c>
      <c r="F242" s="286"/>
      <c r="G242" s="166"/>
      <c r="H242" s="287">
        <v>3825918</v>
      </c>
      <c r="J242" s="154">
        <f t="shared" si="118"/>
        <v>0</v>
      </c>
      <c r="K242" s="154">
        <f t="shared" si="119"/>
        <v>0</v>
      </c>
      <c r="L242" s="154">
        <f t="shared" si="120"/>
        <v>235.8474910615214</v>
      </c>
      <c r="N242" s="152"/>
      <c r="O242" s="155">
        <v>43696</v>
      </c>
      <c r="P242" s="155">
        <v>43686</v>
      </c>
      <c r="Q242" s="156">
        <f t="shared" si="111"/>
        <v>43678</v>
      </c>
      <c r="R242" s="155">
        <v>43700</v>
      </c>
      <c r="S242" s="156">
        <f t="shared" si="112"/>
        <v>43678</v>
      </c>
      <c r="T242" s="140" t="str">
        <f t="shared" ca="1" si="101"/>
        <v/>
      </c>
      <c r="U242" s="139" t="str">
        <f t="shared" si="95"/>
        <v/>
      </c>
      <c r="V242" s="139" t="str">
        <f t="shared" si="96"/>
        <v/>
      </c>
      <c r="W242" s="139" t="str">
        <f t="shared" si="97"/>
        <v/>
      </c>
      <c r="X242" s="327"/>
    </row>
    <row r="243" spans="1:24" ht="18.75" x14ac:dyDescent="0.25">
      <c r="A243" s="151">
        <v>8</v>
      </c>
      <c r="B243" s="106" t="str">
        <f>'Funding 2019'!$K$84</f>
        <v>CGMM2019X167</v>
      </c>
      <c r="C243" s="151"/>
      <c r="D243" s="151" t="s">
        <v>716</v>
      </c>
      <c r="E243" s="152" t="s">
        <v>717</v>
      </c>
      <c r="F243" s="286"/>
      <c r="G243" s="166"/>
      <c r="H243" s="294">
        <v>35323490</v>
      </c>
      <c r="J243" s="154">
        <f t="shared" si="118"/>
        <v>0</v>
      </c>
      <c r="K243" s="154">
        <f t="shared" si="119"/>
        <v>0</v>
      </c>
      <c r="L243" s="154">
        <f t="shared" si="120"/>
        <v>2177.5052397978056</v>
      </c>
      <c r="N243" s="152"/>
      <c r="O243" s="155">
        <v>43766</v>
      </c>
      <c r="P243" s="155">
        <v>43686</v>
      </c>
      <c r="Q243" s="156">
        <f t="shared" si="111"/>
        <v>43678</v>
      </c>
      <c r="R243" s="155">
        <v>43690</v>
      </c>
      <c r="S243" s="156">
        <f t="shared" si="112"/>
        <v>43678</v>
      </c>
      <c r="T243" s="140" t="str">
        <f t="shared" ca="1" si="101"/>
        <v/>
      </c>
      <c r="U243" s="139" t="str">
        <f t="shared" si="95"/>
        <v/>
      </c>
      <c r="V243" s="139" t="str">
        <f t="shared" si="96"/>
        <v/>
      </c>
      <c r="W243" s="139" t="str">
        <f t="shared" si="97"/>
        <v/>
      </c>
      <c r="X243" s="327"/>
    </row>
    <row r="244" spans="1:24" ht="18.75" x14ac:dyDescent="0.25">
      <c r="A244" s="151">
        <v>9</v>
      </c>
      <c r="B244" s="106" t="str">
        <f>'Funding 2019'!$K$84</f>
        <v>CGMM2019X167</v>
      </c>
      <c r="C244" s="151">
        <v>5500011947</v>
      </c>
      <c r="D244" s="151"/>
      <c r="E244" s="152" t="s">
        <v>758</v>
      </c>
      <c r="F244" s="286">
        <v>15800000</v>
      </c>
      <c r="G244" s="166"/>
      <c r="H244" s="166"/>
      <c r="J244" s="154">
        <f t="shared" si="118"/>
        <v>973.98594501294542</v>
      </c>
      <c r="K244" s="154">
        <f t="shared" si="119"/>
        <v>0</v>
      </c>
      <c r="L244" s="154">
        <f t="shared" si="120"/>
        <v>0</v>
      </c>
      <c r="N244" s="152" t="s">
        <v>198</v>
      </c>
      <c r="O244" s="155">
        <v>43769</v>
      </c>
      <c r="P244" s="155">
        <v>43707</v>
      </c>
      <c r="Q244" s="156">
        <f t="shared" si="111"/>
        <v>43678</v>
      </c>
      <c r="R244" s="155"/>
      <c r="S244" s="156" t="str">
        <f t="shared" si="112"/>
        <v/>
      </c>
      <c r="T244" s="140">
        <f t="shared" ca="1" si="101"/>
        <v>4</v>
      </c>
      <c r="U244" s="139" t="str">
        <f t="shared" si="95"/>
        <v/>
      </c>
      <c r="V244" s="139" t="str">
        <f t="shared" si="96"/>
        <v/>
      </c>
      <c r="W244" s="139" t="str">
        <f t="shared" si="97"/>
        <v/>
      </c>
      <c r="X244" s="327"/>
    </row>
    <row r="245" spans="1:24" ht="18.75" x14ac:dyDescent="0.25">
      <c r="A245" s="151">
        <v>10</v>
      </c>
      <c r="B245" s="106" t="str">
        <f>'Funding 2019'!$K$84</f>
        <v>CGMM2019X167</v>
      </c>
      <c r="C245" s="151">
        <v>2100011791</v>
      </c>
      <c r="D245" s="151"/>
      <c r="E245" s="152" t="s">
        <v>762</v>
      </c>
      <c r="F245" s="166"/>
      <c r="G245" s="287">
        <v>195000000</v>
      </c>
      <c r="H245" s="166"/>
      <c r="J245" s="154">
        <f t="shared" si="118"/>
        <v>0</v>
      </c>
      <c r="K245" s="154">
        <f t="shared" si="119"/>
        <v>12020.712612501542</v>
      </c>
      <c r="L245" s="154">
        <f t="shared" si="120"/>
        <v>0</v>
      </c>
      <c r="N245" s="152" t="s">
        <v>198</v>
      </c>
      <c r="O245" s="155">
        <v>43798</v>
      </c>
      <c r="P245" s="155">
        <v>43710</v>
      </c>
      <c r="Q245" s="156">
        <f t="shared" si="111"/>
        <v>43709</v>
      </c>
      <c r="R245" s="155"/>
      <c r="S245" s="156" t="str">
        <f t="shared" si="112"/>
        <v/>
      </c>
      <c r="T245" s="140" t="str">
        <f t="shared" ca="1" si="101"/>
        <v/>
      </c>
      <c r="U245" s="139" t="str">
        <f t="shared" si="95"/>
        <v/>
      </c>
      <c r="V245" s="139" t="str">
        <f t="shared" si="96"/>
        <v/>
      </c>
      <c r="W245" s="139" t="str">
        <f t="shared" si="97"/>
        <v/>
      </c>
      <c r="X245" s="327"/>
    </row>
    <row r="246" spans="1:24" ht="18.75" x14ac:dyDescent="0.25">
      <c r="A246" s="151">
        <v>11</v>
      </c>
      <c r="B246" s="106" t="str">
        <f>'Funding 2019'!$K$84</f>
        <v>CGMM2019X167</v>
      </c>
      <c r="C246" s="151">
        <v>6100000801</v>
      </c>
      <c r="D246" s="151"/>
      <c r="E246" s="152" t="s">
        <v>847</v>
      </c>
      <c r="F246" s="287">
        <v>110782856</v>
      </c>
      <c r="G246" s="166"/>
      <c r="H246" s="166"/>
      <c r="J246" s="154">
        <f t="shared" si="118"/>
        <v>6829.1737147084204</v>
      </c>
      <c r="K246" s="154">
        <f t="shared" si="119"/>
        <v>0</v>
      </c>
      <c r="L246" s="154">
        <f t="shared" si="120"/>
        <v>0</v>
      </c>
      <c r="N246" s="152" t="s">
        <v>729</v>
      </c>
      <c r="O246" s="155">
        <v>43756</v>
      </c>
      <c r="P246" s="155">
        <v>43727</v>
      </c>
      <c r="Q246" s="156">
        <f t="shared" si="111"/>
        <v>43709</v>
      </c>
      <c r="R246" s="155"/>
      <c r="S246" s="156" t="str">
        <f t="shared" si="112"/>
        <v/>
      </c>
      <c r="T246" s="140">
        <f t="shared" ca="1" si="101"/>
        <v>17</v>
      </c>
      <c r="U246" s="139" t="str">
        <f t="shared" si="95"/>
        <v/>
      </c>
      <c r="V246" s="139" t="str">
        <f t="shared" si="96"/>
        <v/>
      </c>
      <c r="W246" s="139" t="str">
        <f t="shared" si="97"/>
        <v/>
      </c>
      <c r="X246" s="327"/>
    </row>
    <row r="247" spans="1:24" ht="18.75" x14ac:dyDescent="0.25">
      <c r="A247" s="151">
        <v>12</v>
      </c>
      <c r="B247" s="106" t="str">
        <f>'Funding 2019'!$K$84</f>
        <v>CGMM2019X167</v>
      </c>
      <c r="C247" s="151">
        <v>2100011833</v>
      </c>
      <c r="D247" s="151"/>
      <c r="E247" s="152" t="s">
        <v>867</v>
      </c>
      <c r="F247" s="287">
        <v>812732798</v>
      </c>
      <c r="G247" s="166"/>
      <c r="H247" s="166"/>
      <c r="J247" s="154">
        <f t="shared" si="118"/>
        <v>50100.653310319321</v>
      </c>
      <c r="K247" s="154">
        <f t="shared" si="119"/>
        <v>0</v>
      </c>
      <c r="L247" s="154">
        <f t="shared" si="120"/>
        <v>0</v>
      </c>
      <c r="N247" s="152" t="s">
        <v>729</v>
      </c>
      <c r="O247" s="155">
        <v>43776</v>
      </c>
      <c r="P247" s="155">
        <v>43735</v>
      </c>
      <c r="Q247" s="156">
        <f t="shared" si="111"/>
        <v>43709</v>
      </c>
      <c r="R247" s="155"/>
      <c r="S247" s="156" t="str">
        <f t="shared" si="112"/>
        <v/>
      </c>
      <c r="T247" s="140" t="str">
        <f t="shared" ca="1" si="101"/>
        <v/>
      </c>
      <c r="U247" s="139" t="str">
        <f t="shared" si="95"/>
        <v/>
      </c>
      <c r="V247" s="139" t="str">
        <f t="shared" si="96"/>
        <v/>
      </c>
      <c r="W247" s="139" t="str">
        <f t="shared" si="97"/>
        <v/>
      </c>
      <c r="X247" s="327"/>
    </row>
    <row r="248" spans="1:24" ht="18.75" x14ac:dyDescent="0.25">
      <c r="A248" s="151">
        <v>13</v>
      </c>
      <c r="B248" s="106" t="str">
        <f>'Funding 2019'!$K$84</f>
        <v>CGMM2019X167</v>
      </c>
      <c r="C248" s="151">
        <v>5500012047</v>
      </c>
      <c r="D248" s="151"/>
      <c r="E248" s="152" t="s">
        <v>899</v>
      </c>
      <c r="F248" s="287">
        <v>15500000</v>
      </c>
      <c r="G248" s="166"/>
      <c r="H248" s="166"/>
      <c r="J248" s="154">
        <f t="shared" si="118"/>
        <v>955.49254099371228</v>
      </c>
      <c r="K248" s="154">
        <f t="shared" si="119"/>
        <v>0</v>
      </c>
      <c r="L248" s="154">
        <f t="shared" si="120"/>
        <v>0</v>
      </c>
      <c r="N248" s="152" t="s">
        <v>900</v>
      </c>
      <c r="O248" s="155">
        <v>43798</v>
      </c>
      <c r="P248" s="155">
        <v>43759</v>
      </c>
      <c r="Q248" s="156">
        <f t="shared" si="111"/>
        <v>43739</v>
      </c>
      <c r="R248" s="155"/>
      <c r="S248" s="156" t="str">
        <f t="shared" si="112"/>
        <v/>
      </c>
      <c r="T248" s="140" t="str">
        <f t="shared" ca="1" si="101"/>
        <v/>
      </c>
      <c r="U248" s="139" t="str">
        <f t="shared" si="95"/>
        <v/>
      </c>
      <c r="V248" s="139" t="str">
        <f t="shared" si="96"/>
        <v/>
      </c>
      <c r="W248" s="139" t="str">
        <f t="shared" si="97"/>
        <v/>
      </c>
      <c r="X248" s="327"/>
    </row>
    <row r="249" spans="1:24" ht="18.75" x14ac:dyDescent="0.25">
      <c r="A249" s="151">
        <v>14</v>
      </c>
      <c r="B249" s="106" t="str">
        <f>'Funding 2019'!$K$84</f>
        <v>CGMM2019X167</v>
      </c>
      <c r="C249" s="151">
        <v>6100000806</v>
      </c>
      <c r="D249" s="151" t="s">
        <v>902</v>
      </c>
      <c r="E249" s="139" t="s">
        <v>901</v>
      </c>
      <c r="F249" s="166"/>
      <c r="G249" s="287">
        <v>218419711</v>
      </c>
      <c r="H249" s="166"/>
      <c r="J249" s="154">
        <f t="shared" si="118"/>
        <v>0</v>
      </c>
      <c r="K249" s="154">
        <f t="shared" si="119"/>
        <v>13464.413204290469</v>
      </c>
      <c r="L249" s="154">
        <f t="shared" si="120"/>
        <v>0</v>
      </c>
      <c r="N249" s="152" t="s">
        <v>729</v>
      </c>
      <c r="O249" s="155">
        <v>43777</v>
      </c>
      <c r="P249" s="155">
        <v>43759</v>
      </c>
      <c r="Q249" s="156">
        <f t="shared" si="111"/>
        <v>43739</v>
      </c>
      <c r="R249" s="155"/>
      <c r="S249" s="156" t="str">
        <f t="shared" si="112"/>
        <v/>
      </c>
      <c r="T249" s="140" t="str">
        <f t="shared" ca="1" si="101"/>
        <v/>
      </c>
      <c r="U249" s="139" t="str">
        <f t="shared" si="95"/>
        <v/>
      </c>
      <c r="V249" s="139" t="str">
        <f t="shared" si="96"/>
        <v/>
      </c>
      <c r="W249" s="139" t="str">
        <f t="shared" si="97"/>
        <v/>
      </c>
      <c r="X249" s="327"/>
    </row>
    <row r="250" spans="1:24" ht="18.75" x14ac:dyDescent="0.25">
      <c r="A250" s="151">
        <v>15</v>
      </c>
      <c r="B250" s="106" t="str">
        <f>'Funding 2019'!$K$84</f>
        <v>CGMM2019X167</v>
      </c>
      <c r="C250" s="151">
        <v>2100011893</v>
      </c>
      <c r="D250" s="151"/>
      <c r="E250" s="152" t="s">
        <v>910</v>
      </c>
      <c r="F250" s="166">
        <v>922243212</v>
      </c>
      <c r="G250" s="166"/>
      <c r="H250" s="166"/>
      <c r="J250" s="154">
        <f t="shared" si="118"/>
        <v>56851.387745037602</v>
      </c>
      <c r="K250" s="154">
        <f t="shared" si="119"/>
        <v>0</v>
      </c>
      <c r="L250" s="154">
        <f t="shared" si="120"/>
        <v>0</v>
      </c>
      <c r="N250" s="152" t="s">
        <v>552</v>
      </c>
      <c r="O250" s="155">
        <v>43819</v>
      </c>
      <c r="P250" s="155">
        <v>43763</v>
      </c>
      <c r="Q250" s="156">
        <f t="shared" si="111"/>
        <v>43739</v>
      </c>
      <c r="R250" s="155"/>
      <c r="S250" s="156" t="str">
        <f t="shared" si="112"/>
        <v/>
      </c>
      <c r="T250" s="140" t="str">
        <f t="shared" ca="1" si="101"/>
        <v/>
      </c>
      <c r="U250" s="139" t="str">
        <f t="shared" si="95"/>
        <v/>
      </c>
      <c r="V250" s="139" t="str">
        <f t="shared" si="96"/>
        <v/>
      </c>
      <c r="W250" s="139" t="str">
        <f t="shared" si="97"/>
        <v/>
      </c>
      <c r="X250" s="327"/>
    </row>
    <row r="251" spans="1:24" ht="18.75" x14ac:dyDescent="0.25">
      <c r="A251" s="151">
        <v>16</v>
      </c>
      <c r="B251" s="106" t="str">
        <f>'Funding 2019'!$K$84</f>
        <v>CGMM2019X167</v>
      </c>
      <c r="C251" s="151"/>
      <c r="D251" s="151"/>
      <c r="E251" s="152"/>
      <c r="F251" s="166"/>
      <c r="G251" s="166"/>
      <c r="H251" s="166"/>
      <c r="J251" s="154">
        <f t="shared" si="118"/>
        <v>0</v>
      </c>
      <c r="K251" s="154">
        <f t="shared" si="119"/>
        <v>0</v>
      </c>
      <c r="L251" s="154">
        <f t="shared" si="120"/>
        <v>0</v>
      </c>
      <c r="N251" s="152"/>
      <c r="O251" s="155"/>
      <c r="P251" s="155"/>
      <c r="Q251" s="156" t="str">
        <f t="shared" si="111"/>
        <v/>
      </c>
      <c r="R251" s="155"/>
      <c r="S251" s="156" t="str">
        <f t="shared" si="112"/>
        <v/>
      </c>
      <c r="T251" s="140" t="str">
        <f t="shared" ca="1" si="101"/>
        <v/>
      </c>
      <c r="U251" s="139" t="str">
        <f t="shared" si="95"/>
        <v/>
      </c>
      <c r="V251" s="139" t="str">
        <f t="shared" si="96"/>
        <v/>
      </c>
      <c r="W251" s="139" t="str">
        <f t="shared" si="97"/>
        <v/>
      </c>
      <c r="X251" s="327"/>
    </row>
    <row r="252" spans="1:24" ht="18.75" x14ac:dyDescent="0.25">
      <c r="A252" s="151">
        <v>17</v>
      </c>
      <c r="B252" s="106" t="str">
        <f>'Funding 2019'!$K$84</f>
        <v>CGMM2019X167</v>
      </c>
      <c r="C252" s="151"/>
      <c r="D252" s="151"/>
      <c r="E252" s="152"/>
      <c r="F252" s="166"/>
      <c r="G252" s="166"/>
      <c r="H252" s="166"/>
      <c r="J252" s="154">
        <f t="shared" si="118"/>
        <v>0</v>
      </c>
      <c r="K252" s="154">
        <f t="shared" si="119"/>
        <v>0</v>
      </c>
      <c r="L252" s="154">
        <f t="shared" si="120"/>
        <v>0</v>
      </c>
      <c r="N252" s="152"/>
      <c r="O252" s="155"/>
      <c r="P252" s="155"/>
      <c r="Q252" s="156" t="str">
        <f t="shared" si="111"/>
        <v/>
      </c>
      <c r="R252" s="155"/>
      <c r="S252" s="156" t="str">
        <f t="shared" si="112"/>
        <v/>
      </c>
      <c r="T252" s="140" t="str">
        <f t="shared" ca="1" si="101"/>
        <v/>
      </c>
      <c r="U252" s="139" t="str">
        <f t="shared" si="95"/>
        <v/>
      </c>
      <c r="V252" s="139" t="str">
        <f t="shared" si="96"/>
        <v/>
      </c>
      <c r="W252" s="139" t="str">
        <f t="shared" si="97"/>
        <v/>
      </c>
      <c r="X252" s="327"/>
    </row>
    <row r="253" spans="1:24" ht="18.75" x14ac:dyDescent="0.25">
      <c r="A253" s="151">
        <v>18</v>
      </c>
      <c r="B253" s="106" t="str">
        <f>'Funding 2019'!$K$84</f>
        <v>CGMM2019X167</v>
      </c>
      <c r="C253" s="151"/>
      <c r="D253" s="151"/>
      <c r="E253" s="152"/>
      <c r="F253" s="166"/>
      <c r="G253" s="166"/>
      <c r="H253" s="166"/>
      <c r="J253" s="154">
        <f t="shared" si="118"/>
        <v>0</v>
      </c>
      <c r="K253" s="154">
        <f t="shared" si="119"/>
        <v>0</v>
      </c>
      <c r="L253" s="154">
        <f t="shared" si="120"/>
        <v>0</v>
      </c>
      <c r="N253" s="152"/>
      <c r="O253" s="155"/>
      <c r="P253" s="155"/>
      <c r="Q253" s="156" t="str">
        <f t="shared" si="111"/>
        <v/>
      </c>
      <c r="R253" s="155"/>
      <c r="S253" s="156" t="str">
        <f t="shared" si="112"/>
        <v/>
      </c>
      <c r="T253" s="140" t="str">
        <f t="shared" ca="1" si="101"/>
        <v/>
      </c>
      <c r="U253" s="139" t="str">
        <f t="shared" si="95"/>
        <v/>
      </c>
      <c r="V253" s="139" t="str">
        <f t="shared" si="96"/>
        <v/>
      </c>
      <c r="W253" s="139" t="str">
        <f t="shared" si="97"/>
        <v/>
      </c>
      <c r="X253" s="327"/>
    </row>
    <row r="254" spans="1:24" ht="18.75" x14ac:dyDescent="0.25">
      <c r="A254" s="151">
        <v>19</v>
      </c>
      <c r="B254" s="106" t="str">
        <f>'Funding 2019'!$K$84</f>
        <v>CGMM2019X167</v>
      </c>
      <c r="C254" s="151"/>
      <c r="D254" s="172" t="s">
        <v>464</v>
      </c>
      <c r="E254" s="173" t="s">
        <v>476</v>
      </c>
      <c r="F254" s="174"/>
      <c r="G254" s="174"/>
      <c r="H254" s="174">
        <v>145497974</v>
      </c>
      <c r="J254" s="154">
        <f t="shared" si="118"/>
        <v>0</v>
      </c>
      <c r="K254" s="154">
        <f t="shared" si="119"/>
        <v>0</v>
      </c>
      <c r="L254" s="154">
        <f t="shared" si="120"/>
        <v>8969.1760572062631</v>
      </c>
      <c r="N254" s="152"/>
      <c r="O254" s="155"/>
      <c r="P254" s="155">
        <v>43465</v>
      </c>
      <c r="Q254" s="156">
        <f t="shared" si="111"/>
        <v>43465</v>
      </c>
      <c r="R254" s="169">
        <v>43586</v>
      </c>
      <c r="S254" s="156">
        <f t="shared" si="112"/>
        <v>43586</v>
      </c>
      <c r="T254" s="140" t="str">
        <f t="shared" ca="1" si="101"/>
        <v/>
      </c>
      <c r="U254" s="139" t="str">
        <f t="shared" si="95"/>
        <v/>
      </c>
      <c r="V254" s="139" t="str">
        <f t="shared" si="96"/>
        <v/>
      </c>
      <c r="W254" s="139" t="str">
        <f t="shared" si="97"/>
        <v/>
      </c>
      <c r="X254" s="327"/>
    </row>
    <row r="255" spans="1:24" ht="18.75" x14ac:dyDescent="0.25">
      <c r="A255" s="157"/>
      <c r="B255" s="158"/>
      <c r="C255" s="157"/>
      <c r="D255" s="157"/>
      <c r="E255" s="159"/>
      <c r="F255" s="160">
        <f>SUM(F235:F254)</f>
        <v>2017372569</v>
      </c>
      <c r="G255" s="160">
        <f>SUM(G235:G254)</f>
        <v>449419711</v>
      </c>
      <c r="H255" s="160">
        <f>SUM(H235:H254)</f>
        <v>2050758118</v>
      </c>
      <c r="J255" s="161">
        <f>F255/$J$2</f>
        <v>124360.28658611763</v>
      </c>
      <c r="K255" s="161">
        <f>G255/$J$2</f>
        <v>27704.334299099988</v>
      </c>
      <c r="L255" s="161">
        <f>H255/$J$2</f>
        <v>126418.32807298731</v>
      </c>
      <c r="N255" s="159"/>
      <c r="O255" s="162"/>
      <c r="P255" s="162"/>
      <c r="Q255" s="156" t="str">
        <f t="shared" si="111"/>
        <v/>
      </c>
      <c r="R255" s="162"/>
      <c r="S255" s="156" t="str">
        <f t="shared" si="112"/>
        <v/>
      </c>
      <c r="T255" s="140" t="str">
        <f t="shared" ca="1" si="101"/>
        <v/>
      </c>
      <c r="U255" s="139" t="str">
        <f t="shared" si="95"/>
        <v/>
      </c>
      <c r="V255" s="139" t="str">
        <f t="shared" si="96"/>
        <v/>
      </c>
      <c r="W255" s="139" t="str">
        <f t="shared" si="97"/>
        <v/>
      </c>
      <c r="X255" s="327"/>
    </row>
    <row r="256" spans="1:24" ht="18.75" x14ac:dyDescent="0.25">
      <c r="Q256" s="156" t="str">
        <f t="shared" si="111"/>
        <v/>
      </c>
      <c r="S256" s="156" t="str">
        <f t="shared" si="112"/>
        <v/>
      </c>
      <c r="T256" s="140" t="str">
        <f t="shared" ca="1" si="101"/>
        <v/>
      </c>
      <c r="U256" s="139" t="str">
        <f t="shared" si="95"/>
        <v/>
      </c>
      <c r="V256" s="139" t="str">
        <f t="shared" si="96"/>
        <v/>
      </c>
      <c r="W256" s="139" t="str">
        <f t="shared" si="97"/>
        <v/>
      </c>
      <c r="X256" s="327"/>
    </row>
    <row r="257" spans="1:24" ht="18.75" x14ac:dyDescent="0.25">
      <c r="A257" s="163" t="str">
        <f>'Funding 2019'!L114</f>
        <v>X167 - Local A-Team, working permit, consumption</v>
      </c>
      <c r="B257" s="113" t="str">
        <f>'Funding 2019'!L102</f>
        <v>V222 - Alteration</v>
      </c>
      <c r="C257" s="147"/>
      <c r="D257" s="147"/>
      <c r="E257" s="148"/>
      <c r="F257" s="148"/>
      <c r="G257" s="148"/>
      <c r="H257" s="148"/>
      <c r="J257" s="149">
        <f t="shared" ref="J257:L258" si="121">F257/$J$2</f>
        <v>0</v>
      </c>
      <c r="K257" s="149">
        <f t="shared" si="121"/>
        <v>0</v>
      </c>
      <c r="L257" s="149">
        <f t="shared" si="121"/>
        <v>0</v>
      </c>
      <c r="N257" s="148"/>
      <c r="O257" s="150"/>
      <c r="P257" s="150"/>
      <c r="Q257" s="156" t="str">
        <f t="shared" si="111"/>
        <v/>
      </c>
      <c r="R257" s="150"/>
      <c r="S257" s="156" t="str">
        <f t="shared" si="112"/>
        <v/>
      </c>
      <c r="T257" s="140" t="str">
        <f t="shared" ca="1" si="101"/>
        <v/>
      </c>
      <c r="U257" s="139" t="str">
        <f t="shared" si="95"/>
        <v/>
      </c>
      <c r="V257" s="139" t="str">
        <f t="shared" si="96"/>
        <v/>
      </c>
      <c r="W257" s="139" t="str">
        <f t="shared" si="97"/>
        <v/>
      </c>
      <c r="X257" s="327"/>
    </row>
    <row r="258" spans="1:24" ht="18.75" x14ac:dyDescent="0.25">
      <c r="A258" s="151">
        <v>1</v>
      </c>
      <c r="B258" s="106" t="str">
        <f>'Funding 2019'!$K$85</f>
        <v>CGMMLA19X167</v>
      </c>
      <c r="C258" s="151">
        <v>6100000789</v>
      </c>
      <c r="D258" s="164" t="s">
        <v>800</v>
      </c>
      <c r="E258" s="165" t="s">
        <v>728</v>
      </c>
      <c r="F258" s="166"/>
      <c r="G258" s="171">
        <v>242098613</v>
      </c>
      <c r="H258" s="166"/>
      <c r="J258" s="154">
        <f t="shared" si="121"/>
        <v>0</v>
      </c>
      <c r="K258" s="154">
        <f t="shared" si="121"/>
        <v>14924.091542349895</v>
      </c>
      <c r="L258" s="154">
        <f t="shared" si="121"/>
        <v>0</v>
      </c>
      <c r="N258" s="152" t="s">
        <v>729</v>
      </c>
      <c r="O258" s="155">
        <v>43722</v>
      </c>
      <c r="P258" s="155">
        <v>43692</v>
      </c>
      <c r="Q258" s="156">
        <f t="shared" si="111"/>
        <v>43678</v>
      </c>
      <c r="R258" s="155"/>
      <c r="S258" s="156" t="str">
        <f t="shared" si="112"/>
        <v/>
      </c>
      <c r="T258" s="140">
        <f t="shared" ca="1" si="101"/>
        <v>51</v>
      </c>
      <c r="U258" s="139" t="str">
        <f t="shared" si="95"/>
        <v/>
      </c>
      <c r="V258" s="139" t="str">
        <f t="shared" si="96"/>
        <v/>
      </c>
      <c r="W258" s="139" t="str">
        <f t="shared" si="97"/>
        <v/>
      </c>
      <c r="X258" s="327"/>
    </row>
    <row r="259" spans="1:24" ht="18.75" x14ac:dyDescent="0.25">
      <c r="A259" s="151">
        <v>2</v>
      </c>
      <c r="B259" s="106" t="str">
        <f>'Funding 2019'!$K$85</f>
        <v>CGMMLA19X167</v>
      </c>
      <c r="C259" s="151">
        <v>6100000792</v>
      </c>
      <c r="D259" s="164" t="s">
        <v>897</v>
      </c>
      <c r="E259" s="165" t="s">
        <v>739</v>
      </c>
      <c r="F259" s="166"/>
      <c r="G259" s="171">
        <v>49689234</v>
      </c>
      <c r="H259" s="166"/>
      <c r="J259" s="154">
        <f t="shared" ref="J259:J270" si="122">F259/$J$2</f>
        <v>0</v>
      </c>
      <c r="K259" s="154">
        <f t="shared" ref="K259:K270" si="123">G259/$J$2</f>
        <v>3063.0769325607198</v>
      </c>
      <c r="L259" s="154">
        <f t="shared" ref="L259:L270" si="124">H259/$J$2</f>
        <v>0</v>
      </c>
      <c r="N259" s="152" t="s">
        <v>244</v>
      </c>
      <c r="O259" s="155">
        <v>43752</v>
      </c>
      <c r="P259" s="155">
        <v>43706</v>
      </c>
      <c r="Q259" s="156">
        <f t="shared" si="111"/>
        <v>43678</v>
      </c>
      <c r="R259" s="155"/>
      <c r="S259" s="156" t="str">
        <f t="shared" si="112"/>
        <v/>
      </c>
      <c r="T259" s="140">
        <f t="shared" ca="1" si="101"/>
        <v>21</v>
      </c>
      <c r="U259" s="139" t="str">
        <f t="shared" si="95"/>
        <v/>
      </c>
      <c r="V259" s="139" t="str">
        <f t="shared" si="96"/>
        <v/>
      </c>
      <c r="W259" s="139" t="str">
        <f t="shared" si="97"/>
        <v/>
      </c>
      <c r="X259" s="327"/>
    </row>
    <row r="260" spans="1:24" ht="18.75" x14ac:dyDescent="0.25">
      <c r="A260" s="151">
        <v>3</v>
      </c>
      <c r="B260" s="106" t="str">
        <f>'Funding 2019'!$K$85</f>
        <v>CGMMLA19X167</v>
      </c>
      <c r="C260" s="151">
        <v>6100000795</v>
      </c>
      <c r="D260" s="164" t="s">
        <v>797</v>
      </c>
      <c r="E260" s="165" t="s">
        <v>765</v>
      </c>
      <c r="F260" s="166"/>
      <c r="G260" s="171">
        <v>60125663</v>
      </c>
      <c r="H260" s="171"/>
      <c r="J260" s="154">
        <f t="shared" si="122"/>
        <v>0</v>
      </c>
      <c r="K260" s="154">
        <f t="shared" si="123"/>
        <v>3706.4272592775242</v>
      </c>
      <c r="L260" s="154">
        <f t="shared" si="124"/>
        <v>0</v>
      </c>
      <c r="N260" s="152" t="s">
        <v>244</v>
      </c>
      <c r="O260" s="155">
        <v>43735</v>
      </c>
      <c r="P260" s="155">
        <v>43710</v>
      </c>
      <c r="Q260" s="156">
        <f t="shared" si="111"/>
        <v>43709</v>
      </c>
      <c r="R260" s="155"/>
      <c r="S260" s="156" t="str">
        <f t="shared" si="112"/>
        <v/>
      </c>
      <c r="T260" s="140">
        <f t="shared" ca="1" si="101"/>
        <v>38</v>
      </c>
      <c r="U260" s="139" t="str">
        <f t="shared" si="95"/>
        <v/>
      </c>
      <c r="V260" s="139" t="str">
        <f t="shared" si="96"/>
        <v/>
      </c>
      <c r="W260" s="139" t="str">
        <f t="shared" si="97"/>
        <v/>
      </c>
      <c r="X260" s="327"/>
    </row>
    <row r="261" spans="1:24" ht="18.75" x14ac:dyDescent="0.25">
      <c r="A261" s="151">
        <v>4</v>
      </c>
      <c r="B261" s="106" t="str">
        <f>'Funding 2019'!$K$85</f>
        <v>CGMMLA19X167</v>
      </c>
      <c r="C261" s="151">
        <v>6100000796</v>
      </c>
      <c r="D261" s="164" t="s">
        <v>798</v>
      </c>
      <c r="E261" s="165" t="s">
        <v>766</v>
      </c>
      <c r="F261" s="166"/>
      <c r="G261" s="171"/>
      <c r="H261" s="171">
        <v>92545908</v>
      </c>
      <c r="J261" s="154">
        <f t="shared" si="122"/>
        <v>0</v>
      </c>
      <c r="K261" s="154">
        <f t="shared" si="123"/>
        <v>0</v>
      </c>
      <c r="L261" s="154">
        <f t="shared" si="124"/>
        <v>5704.9628899026011</v>
      </c>
      <c r="N261" s="152" t="s">
        <v>244</v>
      </c>
      <c r="O261" s="155">
        <v>43735</v>
      </c>
      <c r="P261" s="155">
        <v>43710</v>
      </c>
      <c r="Q261" s="156">
        <f t="shared" si="111"/>
        <v>43709</v>
      </c>
      <c r="R261" s="155">
        <v>43759</v>
      </c>
      <c r="S261" s="156">
        <f t="shared" si="112"/>
        <v>43739</v>
      </c>
      <c r="T261" s="140" t="str">
        <f t="shared" ca="1" si="101"/>
        <v/>
      </c>
      <c r="U261" s="139" t="str">
        <f t="shared" ref="U261:U324" si="125">IF(A261="","",IF(AND(J261&gt;0,Q261=""), "RED",""))</f>
        <v/>
      </c>
      <c r="V261" s="139" t="str">
        <f t="shared" ref="V261:V324" si="126">IF(A261="","",IF(AND(K261&gt;0,Q261=""), "BLUE",""))</f>
        <v/>
      </c>
      <c r="W261" s="139" t="str">
        <f t="shared" ref="W261:W324" si="127">IF(A261="","",IF(AND(L261&gt;0,S261=""), "YELLOW",""))</f>
        <v/>
      </c>
      <c r="X261" s="327"/>
    </row>
    <row r="262" spans="1:24" ht="18.75" x14ac:dyDescent="0.25">
      <c r="A262" s="151">
        <v>5</v>
      </c>
      <c r="B262" s="106" t="str">
        <f>'Funding 2019'!$K$85</f>
        <v>CGMMLA19X167</v>
      </c>
      <c r="C262" s="151">
        <v>2100011850</v>
      </c>
      <c r="D262" s="164"/>
      <c r="E262" s="165" t="s">
        <v>896</v>
      </c>
      <c r="F262" s="287">
        <v>105265090</v>
      </c>
      <c r="G262" s="166"/>
      <c r="H262" s="166"/>
      <c r="J262" s="154">
        <f t="shared" si="122"/>
        <v>6489.0327949697939</v>
      </c>
      <c r="K262" s="154">
        <f t="shared" si="123"/>
        <v>0</v>
      </c>
      <c r="L262" s="154">
        <f t="shared" si="124"/>
        <v>0</v>
      </c>
      <c r="N262" s="152" t="s">
        <v>244</v>
      </c>
      <c r="O262" s="155">
        <v>43798</v>
      </c>
      <c r="P262" s="155">
        <v>43759</v>
      </c>
      <c r="Q262" s="156">
        <f t="shared" si="111"/>
        <v>43739</v>
      </c>
      <c r="R262" s="155"/>
      <c r="S262" s="156" t="str">
        <f t="shared" si="112"/>
        <v/>
      </c>
      <c r="T262" s="140" t="str">
        <f t="shared" ref="T262:T323" ca="1" si="128">IF(R262="",IF(O262="",IF(P262="","",IF(P262-TODAY()&lt;=0,TODAY()-P262,"")),IF(O262-TODAY()&lt;=0,TODAY()-O262,"")),IF(SUM(F262:G262)&lt;&gt;0,IF(O262="",IF(P262="","",IF(P262-TODAY()&lt;=0,TODAY()-P262,"")),IF(O262-TODAY()&lt;=0,TODAY()-O262,"")),""))</f>
        <v/>
      </c>
      <c r="U262" s="139" t="str">
        <f t="shared" si="125"/>
        <v/>
      </c>
      <c r="V262" s="139" t="str">
        <f t="shared" si="126"/>
        <v/>
      </c>
      <c r="W262" s="139" t="str">
        <f t="shared" si="127"/>
        <v/>
      </c>
      <c r="X262" s="327"/>
    </row>
    <row r="263" spans="1:24" ht="18.75" x14ac:dyDescent="0.25">
      <c r="A263" s="151">
        <v>6</v>
      </c>
      <c r="B263" s="106" t="str">
        <f>'Funding 2019'!$K$85</f>
        <v>CGMMLA19X167</v>
      </c>
      <c r="C263" s="151">
        <v>2100011886</v>
      </c>
      <c r="D263" s="164"/>
      <c r="E263" s="165" t="s">
        <v>911</v>
      </c>
      <c r="F263" s="287">
        <v>158846189</v>
      </c>
      <c r="G263" s="166"/>
      <c r="H263" s="166"/>
      <c r="J263" s="154">
        <f t="shared" si="122"/>
        <v>9792.0225003082232</v>
      </c>
      <c r="K263" s="154">
        <f t="shared" si="123"/>
        <v>0</v>
      </c>
      <c r="L263" s="154">
        <f t="shared" si="124"/>
        <v>0</v>
      </c>
      <c r="N263" s="152" t="s">
        <v>244</v>
      </c>
      <c r="O263" s="155">
        <v>43798</v>
      </c>
      <c r="P263" s="155">
        <v>43762</v>
      </c>
      <c r="Q263" s="156">
        <f t="shared" si="111"/>
        <v>43739</v>
      </c>
      <c r="R263" s="155"/>
      <c r="S263" s="156" t="str">
        <f t="shared" si="112"/>
        <v/>
      </c>
      <c r="T263" s="140" t="str">
        <f t="shared" ca="1" si="128"/>
        <v/>
      </c>
      <c r="U263" s="139" t="str">
        <f t="shared" si="125"/>
        <v/>
      </c>
      <c r="V263" s="139" t="str">
        <f t="shared" si="126"/>
        <v/>
      </c>
      <c r="W263" s="139" t="str">
        <f t="shared" si="127"/>
        <v/>
      </c>
      <c r="X263" s="327"/>
    </row>
    <row r="264" spans="1:24" ht="18.75" x14ac:dyDescent="0.25">
      <c r="A264" s="151">
        <v>7</v>
      </c>
      <c r="B264" s="106" t="str">
        <f>'Funding 2019'!$K$85</f>
        <v>CGMMLA19X167</v>
      </c>
      <c r="C264" s="151"/>
      <c r="D264" s="164"/>
      <c r="E264" s="165"/>
      <c r="F264" s="166"/>
      <c r="G264" s="166"/>
      <c r="H264" s="166"/>
      <c r="J264" s="154">
        <f t="shared" si="122"/>
        <v>0</v>
      </c>
      <c r="K264" s="154">
        <f t="shared" si="123"/>
        <v>0</v>
      </c>
      <c r="L264" s="154">
        <f t="shared" si="124"/>
        <v>0</v>
      </c>
      <c r="N264" s="152"/>
      <c r="O264" s="155"/>
      <c r="P264" s="155"/>
      <c r="Q264" s="156" t="str">
        <f t="shared" si="111"/>
        <v/>
      </c>
      <c r="R264" s="155"/>
      <c r="S264" s="156" t="str">
        <f t="shared" si="112"/>
        <v/>
      </c>
      <c r="T264" s="140" t="str">
        <f t="shared" ca="1" si="128"/>
        <v/>
      </c>
      <c r="U264" s="139" t="str">
        <f t="shared" si="125"/>
        <v/>
      </c>
      <c r="V264" s="139" t="str">
        <f t="shared" si="126"/>
        <v/>
      </c>
      <c r="W264" s="139" t="str">
        <f t="shared" si="127"/>
        <v/>
      </c>
      <c r="X264" s="327"/>
    </row>
    <row r="265" spans="1:24" ht="18.75" x14ac:dyDescent="0.25">
      <c r="A265" s="151">
        <v>8</v>
      </c>
      <c r="B265" s="106" t="str">
        <f>'Funding 2019'!$K$85</f>
        <v>CGMMLA19X167</v>
      </c>
      <c r="C265" s="151"/>
      <c r="D265" s="164"/>
      <c r="E265" s="165"/>
      <c r="F265" s="166"/>
      <c r="G265" s="166"/>
      <c r="H265" s="166"/>
      <c r="J265" s="154">
        <f t="shared" si="122"/>
        <v>0</v>
      </c>
      <c r="K265" s="154">
        <f t="shared" si="123"/>
        <v>0</v>
      </c>
      <c r="L265" s="154">
        <f t="shared" si="124"/>
        <v>0</v>
      </c>
      <c r="N265" s="152"/>
      <c r="O265" s="155"/>
      <c r="P265" s="155"/>
      <c r="Q265" s="156" t="str">
        <f t="shared" si="111"/>
        <v/>
      </c>
      <c r="R265" s="155"/>
      <c r="S265" s="156" t="str">
        <f t="shared" si="112"/>
        <v/>
      </c>
      <c r="T265" s="140" t="str">
        <f t="shared" ca="1" si="128"/>
        <v/>
      </c>
      <c r="U265" s="139" t="str">
        <f t="shared" si="125"/>
        <v/>
      </c>
      <c r="V265" s="139" t="str">
        <f t="shared" si="126"/>
        <v/>
      </c>
      <c r="W265" s="139" t="str">
        <f t="shared" si="127"/>
        <v/>
      </c>
      <c r="X265" s="327"/>
    </row>
    <row r="266" spans="1:24" ht="18.75" x14ac:dyDescent="0.25">
      <c r="A266" s="151">
        <v>9</v>
      </c>
      <c r="B266" s="106" t="str">
        <f>'Funding 2019'!$K$85</f>
        <v>CGMMLA19X167</v>
      </c>
      <c r="C266" s="151"/>
      <c r="D266" s="164"/>
      <c r="E266" s="165"/>
      <c r="F266" s="166"/>
      <c r="G266" s="166"/>
      <c r="H266" s="166"/>
      <c r="J266" s="154">
        <f t="shared" si="122"/>
        <v>0</v>
      </c>
      <c r="K266" s="154">
        <f t="shared" si="123"/>
        <v>0</v>
      </c>
      <c r="L266" s="154">
        <f t="shared" si="124"/>
        <v>0</v>
      </c>
      <c r="N266" s="152"/>
      <c r="O266" s="155"/>
      <c r="P266" s="155"/>
      <c r="Q266" s="156" t="str">
        <f t="shared" si="111"/>
        <v/>
      </c>
      <c r="R266" s="155"/>
      <c r="S266" s="156" t="str">
        <f t="shared" si="112"/>
        <v/>
      </c>
      <c r="T266" s="140" t="str">
        <f t="shared" ca="1" si="128"/>
        <v/>
      </c>
      <c r="U266" s="139" t="str">
        <f t="shared" si="125"/>
        <v/>
      </c>
      <c r="V266" s="139" t="str">
        <f t="shared" si="126"/>
        <v/>
      </c>
      <c r="W266" s="139" t="str">
        <f t="shared" si="127"/>
        <v/>
      </c>
      <c r="X266" s="327"/>
    </row>
    <row r="267" spans="1:24" ht="18.75" x14ac:dyDescent="0.25">
      <c r="A267" s="151">
        <v>10</v>
      </c>
      <c r="B267" s="106" t="str">
        <f>'Funding 2019'!$K$85</f>
        <v>CGMMLA19X167</v>
      </c>
      <c r="C267" s="151"/>
      <c r="D267" s="164"/>
      <c r="E267" s="165"/>
      <c r="F267" s="166"/>
      <c r="G267" s="166"/>
      <c r="H267" s="166"/>
      <c r="J267" s="154">
        <f t="shared" si="122"/>
        <v>0</v>
      </c>
      <c r="K267" s="154">
        <f t="shared" si="123"/>
        <v>0</v>
      </c>
      <c r="L267" s="154">
        <f t="shared" si="124"/>
        <v>0</v>
      </c>
      <c r="N267" s="152"/>
      <c r="O267" s="155"/>
      <c r="P267" s="155"/>
      <c r="Q267" s="156" t="str">
        <f t="shared" si="111"/>
        <v/>
      </c>
      <c r="R267" s="155"/>
      <c r="S267" s="156" t="str">
        <f t="shared" si="112"/>
        <v/>
      </c>
      <c r="T267" s="140" t="str">
        <f t="shared" ca="1" si="128"/>
        <v/>
      </c>
      <c r="U267" s="139" t="str">
        <f t="shared" si="125"/>
        <v/>
      </c>
      <c r="V267" s="139" t="str">
        <f t="shared" si="126"/>
        <v/>
      </c>
      <c r="W267" s="139" t="str">
        <f t="shared" si="127"/>
        <v/>
      </c>
      <c r="X267" s="327"/>
    </row>
    <row r="268" spans="1:24" ht="18.75" x14ac:dyDescent="0.25">
      <c r="A268" s="151">
        <v>11</v>
      </c>
      <c r="B268" s="106" t="str">
        <f>'Funding 2019'!$K$85</f>
        <v>CGMMLA19X167</v>
      </c>
      <c r="C268" s="151"/>
      <c r="D268" s="164"/>
      <c r="E268" s="165"/>
      <c r="F268" s="166"/>
      <c r="G268" s="166"/>
      <c r="H268" s="166"/>
      <c r="J268" s="154">
        <f t="shared" si="122"/>
        <v>0</v>
      </c>
      <c r="K268" s="154">
        <f t="shared" si="123"/>
        <v>0</v>
      </c>
      <c r="L268" s="154">
        <f t="shared" si="124"/>
        <v>0</v>
      </c>
      <c r="N268" s="152"/>
      <c r="O268" s="155"/>
      <c r="P268" s="155"/>
      <c r="Q268" s="156" t="str">
        <f t="shared" si="111"/>
        <v/>
      </c>
      <c r="R268" s="155"/>
      <c r="S268" s="156" t="str">
        <f t="shared" si="112"/>
        <v/>
      </c>
      <c r="T268" s="140" t="str">
        <f t="shared" ca="1" si="128"/>
        <v/>
      </c>
      <c r="U268" s="139" t="str">
        <f t="shared" si="125"/>
        <v/>
      </c>
      <c r="V268" s="139" t="str">
        <f t="shared" si="126"/>
        <v/>
      </c>
      <c r="W268" s="139" t="str">
        <f t="shared" si="127"/>
        <v/>
      </c>
      <c r="X268" s="327"/>
    </row>
    <row r="269" spans="1:24" ht="18.75" x14ac:dyDescent="0.25">
      <c r="A269" s="151">
        <v>12</v>
      </c>
      <c r="B269" s="106" t="str">
        <f>'Funding 2019'!$K$85</f>
        <v>CGMMLA19X167</v>
      </c>
      <c r="C269" s="151"/>
      <c r="D269" s="164"/>
      <c r="E269" s="165"/>
      <c r="F269" s="166"/>
      <c r="G269" s="166"/>
      <c r="H269" s="166"/>
      <c r="J269" s="154">
        <f t="shared" si="122"/>
        <v>0</v>
      </c>
      <c r="K269" s="154">
        <f t="shared" si="123"/>
        <v>0</v>
      </c>
      <c r="L269" s="154">
        <f t="shared" si="124"/>
        <v>0</v>
      </c>
      <c r="N269" s="152"/>
      <c r="O269" s="155"/>
      <c r="P269" s="155"/>
      <c r="Q269" s="156" t="str">
        <f t="shared" si="111"/>
        <v/>
      </c>
      <c r="R269" s="155"/>
      <c r="S269" s="156" t="str">
        <f t="shared" si="112"/>
        <v/>
      </c>
      <c r="T269" s="140" t="str">
        <f t="shared" ca="1" si="128"/>
        <v/>
      </c>
      <c r="U269" s="139" t="str">
        <f t="shared" si="125"/>
        <v/>
      </c>
      <c r="V269" s="139" t="str">
        <f t="shared" si="126"/>
        <v/>
      </c>
      <c r="W269" s="139" t="str">
        <f t="shared" si="127"/>
        <v/>
      </c>
      <c r="X269" s="327"/>
    </row>
    <row r="270" spans="1:24" ht="18.75" x14ac:dyDescent="0.25">
      <c r="A270" s="151">
        <v>13</v>
      </c>
      <c r="B270" s="106" t="str">
        <f>'Funding 2019'!$K$85</f>
        <v>CGMMLA19X167</v>
      </c>
      <c r="C270" s="151"/>
      <c r="D270" s="164"/>
      <c r="E270" s="165"/>
      <c r="F270" s="166"/>
      <c r="G270" s="166"/>
      <c r="H270" s="166"/>
      <c r="J270" s="154">
        <f t="shared" si="122"/>
        <v>0</v>
      </c>
      <c r="K270" s="154">
        <f t="shared" si="123"/>
        <v>0</v>
      </c>
      <c r="L270" s="154">
        <f t="shared" si="124"/>
        <v>0</v>
      </c>
      <c r="N270" s="152"/>
      <c r="O270" s="155"/>
      <c r="P270" s="155"/>
      <c r="Q270" s="156" t="str">
        <f t="shared" si="111"/>
        <v/>
      </c>
      <c r="R270" s="169"/>
      <c r="S270" s="156" t="str">
        <f t="shared" si="112"/>
        <v/>
      </c>
      <c r="T270" s="140" t="str">
        <f t="shared" ca="1" si="128"/>
        <v/>
      </c>
      <c r="U270" s="139" t="str">
        <f t="shared" si="125"/>
        <v/>
      </c>
      <c r="V270" s="139" t="str">
        <f t="shared" si="126"/>
        <v/>
      </c>
      <c r="W270" s="139" t="str">
        <f t="shared" si="127"/>
        <v/>
      </c>
      <c r="X270" s="327"/>
    </row>
    <row r="271" spans="1:24" ht="18.75" x14ac:dyDescent="0.25">
      <c r="A271" s="157"/>
      <c r="B271" s="158"/>
      <c r="C271" s="157"/>
      <c r="D271" s="157"/>
      <c r="E271" s="159"/>
      <c r="F271" s="160">
        <f>SUM(F257:F270)</f>
        <v>264111279</v>
      </c>
      <c r="G271" s="160">
        <f>SUM(G257:G270)</f>
        <v>351913510</v>
      </c>
      <c r="H271" s="160">
        <f>SUM(H257:H270)</f>
        <v>92545908</v>
      </c>
      <c r="J271" s="161">
        <f>F271/$J$2</f>
        <v>16281.055295278018</v>
      </c>
      <c r="K271" s="161">
        <f>G271/$J$2</f>
        <v>21693.59573418814</v>
      </c>
      <c r="L271" s="161">
        <f>H271/$J$2</f>
        <v>5704.9628899026011</v>
      </c>
      <c r="N271" s="159"/>
      <c r="O271" s="162"/>
      <c r="P271" s="162"/>
      <c r="Q271" s="156" t="str">
        <f t="shared" si="111"/>
        <v/>
      </c>
      <c r="R271" s="162"/>
      <c r="S271" s="156" t="str">
        <f t="shared" si="112"/>
        <v/>
      </c>
      <c r="T271" s="140" t="str">
        <f t="shared" ca="1" si="128"/>
        <v/>
      </c>
      <c r="U271" s="139" t="str">
        <f t="shared" si="125"/>
        <v/>
      </c>
      <c r="V271" s="139" t="str">
        <f t="shared" si="126"/>
        <v/>
      </c>
      <c r="W271" s="139" t="str">
        <f t="shared" si="127"/>
        <v/>
      </c>
      <c r="X271" s="327"/>
    </row>
    <row r="272" spans="1:24" ht="18.75" x14ac:dyDescent="0.25">
      <c r="H272" s="175"/>
      <c r="Q272" s="156" t="str">
        <f t="shared" si="111"/>
        <v/>
      </c>
      <c r="S272" s="156" t="str">
        <f t="shared" si="112"/>
        <v/>
      </c>
      <c r="T272" s="140" t="str">
        <f t="shared" ca="1" si="128"/>
        <v/>
      </c>
      <c r="U272" s="139" t="str">
        <f t="shared" si="125"/>
        <v/>
      </c>
      <c r="V272" s="139" t="str">
        <f t="shared" si="126"/>
        <v/>
      </c>
      <c r="W272" s="139" t="str">
        <f t="shared" si="127"/>
        <v/>
      </c>
      <c r="X272" s="327"/>
    </row>
    <row r="273" spans="1:25" ht="18.75" x14ac:dyDescent="0.25">
      <c r="A273" s="163" t="str">
        <f>'Funding 2019'!L99</f>
        <v>Investment Product</v>
      </c>
      <c r="B273" s="113" t="str">
        <f>'Funding 2019'!L87</f>
        <v>V167 - GLE</v>
      </c>
      <c r="C273" s="147"/>
      <c r="D273" s="147"/>
      <c r="E273" s="148"/>
      <c r="F273" s="148"/>
      <c r="G273" s="148"/>
      <c r="H273" s="148"/>
      <c r="J273" s="149">
        <f t="shared" ref="J273:L274" si="129">F273/$J$2</f>
        <v>0</v>
      </c>
      <c r="K273" s="149">
        <f t="shared" si="129"/>
        <v>0</v>
      </c>
      <c r="L273" s="149">
        <f t="shared" si="129"/>
        <v>0</v>
      </c>
      <c r="N273" s="148"/>
      <c r="O273" s="150"/>
      <c r="P273" s="150"/>
      <c r="Q273" s="156" t="str">
        <f t="shared" si="111"/>
        <v/>
      </c>
      <c r="R273" s="150"/>
      <c r="S273" s="156" t="str">
        <f t="shared" si="112"/>
        <v/>
      </c>
      <c r="T273" s="140" t="str">
        <f t="shared" ca="1" si="128"/>
        <v/>
      </c>
      <c r="U273" s="139" t="str">
        <f t="shared" si="125"/>
        <v/>
      </c>
      <c r="V273" s="139" t="str">
        <f t="shared" si="126"/>
        <v/>
      </c>
      <c r="W273" s="139" t="str">
        <f t="shared" si="127"/>
        <v/>
      </c>
      <c r="X273" s="327"/>
    </row>
    <row r="274" spans="1:25" ht="18.75" x14ac:dyDescent="0.25">
      <c r="A274" s="151">
        <v>1</v>
      </c>
      <c r="B274" s="106" t="str">
        <f>'Funding 2019'!$K$87</f>
        <v>CGMM2019V167</v>
      </c>
      <c r="C274" s="151">
        <v>6100000690</v>
      </c>
      <c r="D274" s="151">
        <v>330918805</v>
      </c>
      <c r="E274" s="152" t="s">
        <v>257</v>
      </c>
      <c r="F274" s="166"/>
      <c r="G274" s="166">
        <f>211036752*0</f>
        <v>0</v>
      </c>
      <c r="H274" s="166">
        <v>824463918</v>
      </c>
      <c r="J274" s="154">
        <f t="shared" si="129"/>
        <v>0</v>
      </c>
      <c r="K274" s="154">
        <f t="shared" si="129"/>
        <v>0</v>
      </c>
      <c r="L274" s="154">
        <f t="shared" si="129"/>
        <v>50823.814449513004</v>
      </c>
      <c r="N274" s="152" t="s">
        <v>167</v>
      </c>
      <c r="O274" s="155">
        <v>43674</v>
      </c>
      <c r="P274" s="155">
        <v>43385</v>
      </c>
      <c r="Q274" s="156">
        <f t="shared" si="111"/>
        <v>43465</v>
      </c>
      <c r="R274" s="155">
        <v>43617</v>
      </c>
      <c r="S274" s="156">
        <f t="shared" si="112"/>
        <v>43617</v>
      </c>
      <c r="T274" s="140" t="str">
        <f t="shared" ca="1" si="128"/>
        <v/>
      </c>
      <c r="U274" s="139" t="str">
        <f t="shared" si="125"/>
        <v/>
      </c>
      <c r="V274" s="139" t="str">
        <f t="shared" si="126"/>
        <v/>
      </c>
      <c r="W274" s="139" t="str">
        <f t="shared" si="127"/>
        <v/>
      </c>
      <c r="X274" s="327"/>
      <c r="Y274" s="139" t="s">
        <v>702</v>
      </c>
    </row>
    <row r="275" spans="1:25" ht="18.75" x14ac:dyDescent="0.25">
      <c r="A275" s="151">
        <v>2</v>
      </c>
      <c r="B275" s="106" t="str">
        <f>'Funding 2019'!$K$87</f>
        <v>CGMM2019V167</v>
      </c>
      <c r="C275" s="151">
        <v>6100000693</v>
      </c>
      <c r="D275" s="151">
        <v>331018801</v>
      </c>
      <c r="E275" s="152" t="s">
        <v>168</v>
      </c>
      <c r="F275" s="166"/>
      <c r="G275" s="166">
        <f>(39569391+39569391)*0</f>
        <v>0</v>
      </c>
      <c r="H275" s="166">
        <v>298246115</v>
      </c>
      <c r="J275" s="154">
        <f t="shared" ref="J275:J336" si="130">F275/$J$2</f>
        <v>0</v>
      </c>
      <c r="K275" s="154">
        <f t="shared" ref="K275:K336" si="131">G275/$J$2</f>
        <v>0</v>
      </c>
      <c r="L275" s="154">
        <f t="shared" ref="L275:L336" si="132">H275/$J$2</f>
        <v>18385.286339538899</v>
      </c>
      <c r="N275" s="152" t="s">
        <v>167</v>
      </c>
      <c r="O275" s="155">
        <v>43674</v>
      </c>
      <c r="P275" s="155">
        <v>43388</v>
      </c>
      <c r="Q275" s="156">
        <f t="shared" si="111"/>
        <v>43465</v>
      </c>
      <c r="R275" s="155">
        <v>43525</v>
      </c>
      <c r="S275" s="156">
        <f t="shared" si="112"/>
        <v>43525</v>
      </c>
      <c r="T275" s="140" t="str">
        <f t="shared" ca="1" si="128"/>
        <v/>
      </c>
      <c r="U275" s="139" t="str">
        <f t="shared" si="125"/>
        <v/>
      </c>
      <c r="V275" s="139" t="str">
        <f t="shared" si="126"/>
        <v/>
      </c>
      <c r="W275" s="139" t="str">
        <f t="shared" si="127"/>
        <v/>
      </c>
      <c r="X275" s="327"/>
    </row>
    <row r="276" spans="1:25" ht="18.75" x14ac:dyDescent="0.25">
      <c r="A276" s="283">
        <v>3</v>
      </c>
      <c r="B276" s="331" t="str">
        <f>'Funding 2019'!$K$87</f>
        <v>CGMM2019V167</v>
      </c>
      <c r="C276" s="404">
        <v>6100000710</v>
      </c>
      <c r="D276" s="404">
        <v>330818802</v>
      </c>
      <c r="E276" s="405" t="s">
        <v>258</v>
      </c>
      <c r="F276" s="280"/>
      <c r="G276" s="280"/>
      <c r="H276" s="280">
        <f>104015285+525500+9335144</f>
        <v>113875929</v>
      </c>
      <c r="I276" s="277">
        <f>SUM(G276:H276)</f>
        <v>113875929</v>
      </c>
      <c r="J276" s="154">
        <f t="shared" si="130"/>
        <v>0</v>
      </c>
      <c r="K276" s="154">
        <f t="shared" si="131"/>
        <v>0</v>
      </c>
      <c r="L276" s="154">
        <f t="shared" si="132"/>
        <v>7019.8452102083593</v>
      </c>
      <c r="N276" s="152" t="s">
        <v>167</v>
      </c>
      <c r="O276" s="155">
        <v>43524</v>
      </c>
      <c r="P276" s="155">
        <v>43446</v>
      </c>
      <c r="Q276" s="156">
        <f t="shared" si="111"/>
        <v>43465</v>
      </c>
      <c r="R276" s="155">
        <v>43525</v>
      </c>
      <c r="S276" s="156">
        <f t="shared" si="112"/>
        <v>43525</v>
      </c>
      <c r="T276" s="140" t="str">
        <f t="shared" ca="1" si="128"/>
        <v/>
      </c>
      <c r="U276" s="139" t="str">
        <f t="shared" si="125"/>
        <v/>
      </c>
      <c r="V276" s="139" t="str">
        <f t="shared" si="126"/>
        <v/>
      </c>
      <c r="W276" s="139" t="str">
        <f t="shared" si="127"/>
        <v/>
      </c>
      <c r="X276" s="327"/>
      <c r="Y276" s="409" t="s">
        <v>892</v>
      </c>
    </row>
    <row r="277" spans="1:25" ht="18.75" x14ac:dyDescent="0.25">
      <c r="A277" s="151">
        <v>4</v>
      </c>
      <c r="B277" s="106" t="str">
        <f>'Funding 2019'!$K$87</f>
        <v>CGMM2019V167</v>
      </c>
      <c r="C277" s="151">
        <v>6100000697</v>
      </c>
      <c r="D277" s="151">
        <v>331018804</v>
      </c>
      <c r="E277" s="281" t="s">
        <v>259</v>
      </c>
      <c r="F277" s="166"/>
      <c r="G277" s="166">
        <f>18176206*0</f>
        <v>0</v>
      </c>
      <c r="H277" s="166">
        <v>21073236</v>
      </c>
      <c r="J277" s="154">
        <f t="shared" si="130"/>
        <v>0</v>
      </c>
      <c r="K277" s="154">
        <f t="shared" si="131"/>
        <v>0</v>
      </c>
      <c r="L277" s="154">
        <f t="shared" si="132"/>
        <v>1299.052891135495</v>
      </c>
      <c r="N277" s="152" t="s">
        <v>167</v>
      </c>
      <c r="O277" s="155">
        <v>43613</v>
      </c>
      <c r="P277" s="155">
        <v>43404</v>
      </c>
      <c r="Q277" s="156">
        <f t="shared" si="111"/>
        <v>43465</v>
      </c>
      <c r="R277" s="155">
        <v>43647</v>
      </c>
      <c r="S277" s="156">
        <f t="shared" si="112"/>
        <v>43647</v>
      </c>
      <c r="T277" s="140" t="str">
        <f t="shared" ca="1" si="128"/>
        <v/>
      </c>
      <c r="U277" s="139" t="str">
        <f t="shared" si="125"/>
        <v/>
      </c>
      <c r="V277" s="139" t="str">
        <f t="shared" si="126"/>
        <v/>
      </c>
      <c r="W277" s="139" t="str">
        <f t="shared" si="127"/>
        <v/>
      </c>
      <c r="X277" s="327"/>
      <c r="Y277" s="139" t="s">
        <v>702</v>
      </c>
    </row>
    <row r="278" spans="1:25" ht="18.75" x14ac:dyDescent="0.25">
      <c r="A278" s="283">
        <v>5</v>
      </c>
      <c r="B278" s="331" t="str">
        <f>'Funding 2019'!$K$87</f>
        <v>CGMM2019V167</v>
      </c>
      <c r="C278" s="283">
        <v>6100000699</v>
      </c>
      <c r="D278" s="283" t="s">
        <v>169</v>
      </c>
      <c r="E278" s="406" t="s">
        <v>260</v>
      </c>
      <c r="F278" s="280"/>
      <c r="G278" s="280"/>
      <c r="H278" s="280">
        <v>591861639</v>
      </c>
      <c r="J278" s="154">
        <f t="shared" si="130"/>
        <v>0</v>
      </c>
      <c r="K278" s="154">
        <f t="shared" si="131"/>
        <v>0</v>
      </c>
      <c r="L278" s="154">
        <f t="shared" si="132"/>
        <v>36485.121378375043</v>
      </c>
      <c r="N278" s="152" t="s">
        <v>167</v>
      </c>
      <c r="O278" s="155">
        <v>43539</v>
      </c>
      <c r="P278" s="155">
        <v>43446</v>
      </c>
      <c r="Q278" s="156">
        <f t="shared" ref="Q278:Q341" si="133">IF(P278="","",IF(YEAR(P278)&lt;=2018,DATE(2018,12,31),EOMONTH(P278,-1)+1))</f>
        <v>43465</v>
      </c>
      <c r="R278" s="155">
        <v>43525</v>
      </c>
      <c r="S278" s="156">
        <f t="shared" ref="S278:S341" si="134">IF(R278="","",IF(YEAR(R278)&lt;=2018,DATE(2018,12,31),EOMONTH(R278,-1)+1))</f>
        <v>43525</v>
      </c>
      <c r="T278" s="140" t="str">
        <f t="shared" ca="1" si="128"/>
        <v/>
      </c>
      <c r="U278" s="139" t="str">
        <f t="shared" si="125"/>
        <v/>
      </c>
      <c r="V278" s="139" t="str">
        <f t="shared" si="126"/>
        <v/>
      </c>
      <c r="W278" s="139" t="str">
        <f t="shared" si="127"/>
        <v/>
      </c>
      <c r="X278" s="327"/>
      <c r="Y278" s="409" t="s">
        <v>893</v>
      </c>
    </row>
    <row r="279" spans="1:25" ht="18.75" x14ac:dyDescent="0.25">
      <c r="A279" s="151">
        <v>6</v>
      </c>
      <c r="B279" s="106" t="str">
        <f>'Funding 2019'!$K$87</f>
        <v>CGMM2019V167</v>
      </c>
      <c r="C279" s="151">
        <v>6100000700</v>
      </c>
      <c r="D279" s="151" t="s">
        <v>170</v>
      </c>
      <c r="E279" s="279" t="s">
        <v>261</v>
      </c>
      <c r="F279" s="166"/>
      <c r="G279" s="166">
        <f>0*99554049</f>
        <v>0</v>
      </c>
      <c r="H279" s="166">
        <v>82528047</v>
      </c>
      <c r="J279" s="154">
        <f t="shared" si="130"/>
        <v>0</v>
      </c>
      <c r="K279" s="154">
        <f t="shared" si="131"/>
        <v>0</v>
      </c>
      <c r="L279" s="154">
        <f t="shared" si="132"/>
        <v>5087.4150536308716</v>
      </c>
      <c r="N279" s="152" t="s">
        <v>167</v>
      </c>
      <c r="O279" s="155">
        <v>43600</v>
      </c>
      <c r="P279" s="155">
        <v>43446</v>
      </c>
      <c r="Q279" s="156">
        <f t="shared" si="133"/>
        <v>43465</v>
      </c>
      <c r="R279" s="155">
        <v>43617</v>
      </c>
      <c r="S279" s="156">
        <f t="shared" si="134"/>
        <v>43617</v>
      </c>
      <c r="T279" s="140" t="str">
        <f t="shared" ca="1" si="128"/>
        <v/>
      </c>
      <c r="U279" s="139" t="str">
        <f t="shared" si="125"/>
        <v/>
      </c>
      <c r="V279" s="139" t="str">
        <f t="shared" si="126"/>
        <v/>
      </c>
      <c r="W279" s="139" t="str">
        <f t="shared" si="127"/>
        <v/>
      </c>
      <c r="X279" s="327"/>
    </row>
    <row r="280" spans="1:25" ht="18.75" x14ac:dyDescent="0.25">
      <c r="A280" s="151">
        <v>7</v>
      </c>
      <c r="B280" s="106" t="str">
        <f>'Funding 2019'!$K$87</f>
        <v>CGMM2019V167</v>
      </c>
      <c r="C280" s="151">
        <v>2100011359</v>
      </c>
      <c r="D280" s="151">
        <v>4500133826</v>
      </c>
      <c r="E280" s="152" t="s">
        <v>262</v>
      </c>
      <c r="F280" s="166"/>
      <c r="G280" s="166">
        <f>3730320000*0</f>
        <v>0</v>
      </c>
      <c r="H280" s="166">
        <v>3780114536</v>
      </c>
      <c r="J280" s="154">
        <f t="shared" si="130"/>
        <v>0</v>
      </c>
      <c r="K280" s="154">
        <f t="shared" si="131"/>
        <v>0</v>
      </c>
      <c r="L280" s="154">
        <f t="shared" si="132"/>
        <v>233023.9511774134</v>
      </c>
      <c r="N280" s="152" t="s">
        <v>171</v>
      </c>
      <c r="O280" s="155">
        <v>43675</v>
      </c>
      <c r="P280" s="155">
        <v>43307</v>
      </c>
      <c r="Q280" s="156">
        <f t="shared" si="133"/>
        <v>43465</v>
      </c>
      <c r="R280" s="155">
        <v>43692</v>
      </c>
      <c r="S280" s="156">
        <f t="shared" si="134"/>
        <v>43678</v>
      </c>
      <c r="T280" s="140" t="str">
        <f t="shared" ca="1" si="128"/>
        <v/>
      </c>
      <c r="U280" s="139" t="str">
        <f t="shared" si="125"/>
        <v/>
      </c>
      <c r="V280" s="139" t="str">
        <f t="shared" si="126"/>
        <v/>
      </c>
      <c r="W280" s="139" t="str">
        <f t="shared" si="127"/>
        <v/>
      </c>
      <c r="X280" s="327"/>
    </row>
    <row r="281" spans="1:25" ht="18.75" x14ac:dyDescent="0.25">
      <c r="A281" s="151">
        <v>8</v>
      </c>
      <c r="B281" s="106" t="str">
        <f>'Funding 2019'!$K$87</f>
        <v>CGMM2019V167</v>
      </c>
      <c r="C281" s="151">
        <v>2100011398</v>
      </c>
      <c r="D281" s="151">
        <v>4500134024</v>
      </c>
      <c r="E281" s="152" t="s">
        <v>172</v>
      </c>
      <c r="F281" s="166"/>
      <c r="G281" s="305"/>
      <c r="H281" s="305">
        <v>6419843368</v>
      </c>
      <c r="J281" s="154">
        <f t="shared" ref="J281:L284" si="135">F281/$J$2</f>
        <v>0</v>
      </c>
      <c r="K281" s="154">
        <f t="shared" si="135"/>
        <v>0</v>
      </c>
      <c r="L281" s="154">
        <f t="shared" si="135"/>
        <v>395749.19048206141</v>
      </c>
      <c r="N281" s="152" t="s">
        <v>165</v>
      </c>
      <c r="O281" s="155">
        <v>43776</v>
      </c>
      <c r="P281" s="155">
        <v>43370</v>
      </c>
      <c r="Q281" s="156">
        <f t="shared" si="133"/>
        <v>43465</v>
      </c>
      <c r="R281" s="155">
        <v>43760</v>
      </c>
      <c r="S281" s="156">
        <f t="shared" si="134"/>
        <v>43739</v>
      </c>
      <c r="T281" s="140" t="str">
        <f t="shared" ca="1" si="128"/>
        <v/>
      </c>
      <c r="U281" s="139" t="str">
        <f t="shared" si="125"/>
        <v/>
      </c>
      <c r="V281" s="139" t="str">
        <f t="shared" si="126"/>
        <v/>
      </c>
      <c r="W281" s="139" t="str">
        <f t="shared" si="127"/>
        <v/>
      </c>
      <c r="X281" s="327"/>
    </row>
    <row r="282" spans="1:25" ht="18.75" x14ac:dyDescent="0.25">
      <c r="A282" s="151">
        <v>9</v>
      </c>
      <c r="B282" s="106" t="str">
        <f>'Funding 2019'!$K$87</f>
        <v>CGMM2019V167</v>
      </c>
      <c r="C282" s="151">
        <v>2100011489</v>
      </c>
      <c r="D282" s="151">
        <v>4500134207</v>
      </c>
      <c r="E282" s="152" t="s">
        <v>173</v>
      </c>
      <c r="F282" s="166"/>
      <c r="G282" s="166"/>
      <c r="H282" s="305">
        <v>2160125372</v>
      </c>
      <c r="J282" s="154">
        <f t="shared" si="135"/>
        <v>0</v>
      </c>
      <c r="K282" s="154">
        <f t="shared" si="135"/>
        <v>0</v>
      </c>
      <c r="L282" s="154">
        <f t="shared" si="135"/>
        <v>133160.23745530759</v>
      </c>
      <c r="N282" s="152" t="s">
        <v>165</v>
      </c>
      <c r="O282" s="155">
        <v>43776</v>
      </c>
      <c r="P282" s="155">
        <v>43413</v>
      </c>
      <c r="Q282" s="156">
        <f t="shared" si="133"/>
        <v>43465</v>
      </c>
      <c r="R282" s="155">
        <v>43760</v>
      </c>
      <c r="S282" s="156">
        <f t="shared" si="134"/>
        <v>43739</v>
      </c>
      <c r="T282" s="140" t="str">
        <f t="shared" ca="1" si="128"/>
        <v/>
      </c>
      <c r="U282" s="139" t="str">
        <f t="shared" si="125"/>
        <v/>
      </c>
      <c r="V282" s="139" t="str">
        <f t="shared" si="126"/>
        <v/>
      </c>
      <c r="W282" s="139" t="str">
        <f t="shared" si="127"/>
        <v/>
      </c>
      <c r="X282" s="327"/>
    </row>
    <row r="283" spans="1:25" ht="18.75" x14ac:dyDescent="0.25">
      <c r="A283" s="151">
        <v>10</v>
      </c>
      <c r="B283" s="106" t="str">
        <f>'Funding 2019'!$K$87</f>
        <v>CGMM2019V167</v>
      </c>
      <c r="C283" s="151">
        <v>2100011522</v>
      </c>
      <c r="D283" s="151">
        <v>4500134342</v>
      </c>
      <c r="E283" s="152" t="s">
        <v>263</v>
      </c>
      <c r="F283" s="166"/>
      <c r="G283" s="305">
        <v>994329000</v>
      </c>
      <c r="H283" s="166"/>
      <c r="J283" s="154">
        <f t="shared" si="135"/>
        <v>0</v>
      </c>
      <c r="K283" s="154">
        <f t="shared" si="135"/>
        <v>61295.093083466898</v>
      </c>
      <c r="L283" s="154">
        <f t="shared" si="135"/>
        <v>0</v>
      </c>
      <c r="N283" s="152" t="s">
        <v>167</v>
      </c>
      <c r="O283" s="155">
        <v>43714</v>
      </c>
      <c r="P283" s="155">
        <v>43445</v>
      </c>
      <c r="Q283" s="156">
        <f t="shared" si="133"/>
        <v>43465</v>
      </c>
      <c r="R283" s="155"/>
      <c r="S283" s="156" t="str">
        <f t="shared" si="134"/>
        <v/>
      </c>
      <c r="T283" s="140">
        <f t="shared" ca="1" si="128"/>
        <v>59</v>
      </c>
      <c r="U283" s="139" t="str">
        <f t="shared" si="125"/>
        <v/>
      </c>
      <c r="V283" s="139" t="str">
        <f t="shared" si="126"/>
        <v/>
      </c>
      <c r="W283" s="139" t="str">
        <f t="shared" si="127"/>
        <v/>
      </c>
      <c r="X283" s="327"/>
    </row>
    <row r="284" spans="1:25" ht="18.75" x14ac:dyDescent="0.25">
      <c r="A284" s="151">
        <v>12</v>
      </c>
      <c r="B284" s="106" t="str">
        <f>'Funding 2019'!$K$87</f>
        <v>CGMM2019V167</v>
      </c>
      <c r="C284" s="151">
        <v>6100000714</v>
      </c>
      <c r="D284" s="151">
        <v>330119805</v>
      </c>
      <c r="E284" s="152" t="s">
        <v>264</v>
      </c>
      <c r="F284" s="166"/>
      <c r="G284" s="166">
        <f>15212918*0</f>
        <v>0</v>
      </c>
      <c r="H284" s="166">
        <v>51726463</v>
      </c>
      <c r="J284" s="154">
        <f t="shared" si="135"/>
        <v>0</v>
      </c>
      <c r="K284" s="154">
        <f t="shared" si="135"/>
        <v>0</v>
      </c>
      <c r="L284" s="154">
        <f t="shared" si="135"/>
        <v>3188.6612624830477</v>
      </c>
      <c r="N284" s="152" t="s">
        <v>167</v>
      </c>
      <c r="O284" s="155">
        <v>43607</v>
      </c>
      <c r="P284" s="155">
        <v>43481</v>
      </c>
      <c r="Q284" s="156">
        <f t="shared" si="133"/>
        <v>43466</v>
      </c>
      <c r="R284" s="155">
        <v>43525</v>
      </c>
      <c r="S284" s="156">
        <f t="shared" si="134"/>
        <v>43525</v>
      </c>
      <c r="T284" s="140" t="str">
        <f t="shared" ca="1" si="128"/>
        <v/>
      </c>
      <c r="U284" s="139" t="str">
        <f t="shared" si="125"/>
        <v/>
      </c>
      <c r="V284" s="139" t="str">
        <f t="shared" si="126"/>
        <v/>
      </c>
      <c r="W284" s="139" t="str">
        <f t="shared" si="127"/>
        <v/>
      </c>
      <c r="X284" s="327"/>
    </row>
    <row r="285" spans="1:25" ht="18.75" x14ac:dyDescent="0.25">
      <c r="A285" s="151">
        <v>14</v>
      </c>
      <c r="B285" s="106" t="str">
        <f>'Funding 2019'!$K$87</f>
        <v>CGMM2019V167</v>
      </c>
      <c r="C285" s="151">
        <v>2100011527</v>
      </c>
      <c r="D285" s="151">
        <v>4500134461</v>
      </c>
      <c r="E285" s="152" t="s">
        <v>197</v>
      </c>
      <c r="F285" s="166"/>
      <c r="G285" s="166">
        <f>2390000000*0</f>
        <v>0</v>
      </c>
      <c r="H285" s="166">
        <v>2390000000</v>
      </c>
      <c r="J285" s="154">
        <f t="shared" si="130"/>
        <v>0</v>
      </c>
      <c r="K285" s="154">
        <f t="shared" si="131"/>
        <v>0</v>
      </c>
      <c r="L285" s="154">
        <f t="shared" si="132"/>
        <v>147330.78535322403</v>
      </c>
      <c r="N285" s="152" t="s">
        <v>198</v>
      </c>
      <c r="O285" s="155">
        <v>43705</v>
      </c>
      <c r="P285" s="155">
        <v>43488</v>
      </c>
      <c r="Q285" s="156">
        <f t="shared" si="133"/>
        <v>43466</v>
      </c>
      <c r="R285" s="155">
        <v>43617</v>
      </c>
      <c r="S285" s="156">
        <f t="shared" si="134"/>
        <v>43617</v>
      </c>
      <c r="T285" s="140" t="str">
        <f t="shared" ca="1" si="128"/>
        <v/>
      </c>
      <c r="U285" s="139" t="str">
        <f t="shared" si="125"/>
        <v/>
      </c>
      <c r="V285" s="139" t="str">
        <f t="shared" si="126"/>
        <v/>
      </c>
      <c r="W285" s="139" t="str">
        <f t="shared" si="127"/>
        <v/>
      </c>
      <c r="X285" s="327"/>
    </row>
    <row r="286" spans="1:25" ht="18.75" x14ac:dyDescent="0.25">
      <c r="A286" s="151">
        <v>16</v>
      </c>
      <c r="B286" s="106" t="str">
        <f>'Funding 2019'!$K$87</f>
        <v>CGMM2019V167</v>
      </c>
      <c r="C286" s="151">
        <v>2100011535</v>
      </c>
      <c r="D286" s="151">
        <v>4500134566</v>
      </c>
      <c r="E286" s="152" t="s">
        <v>266</v>
      </c>
      <c r="F286" s="166">
        <f>294974221*0</f>
        <v>0</v>
      </c>
      <c r="G286" s="166">
        <f>284563477*0</f>
        <v>0</v>
      </c>
      <c r="H286" s="166">
        <v>284563477</v>
      </c>
      <c r="J286" s="154">
        <f t="shared" si="130"/>
        <v>0</v>
      </c>
      <c r="K286" s="154">
        <f t="shared" si="131"/>
        <v>0</v>
      </c>
      <c r="L286" s="154">
        <f t="shared" si="132"/>
        <v>17541.824497595859</v>
      </c>
      <c r="N286" s="152" t="s">
        <v>165</v>
      </c>
      <c r="O286" s="155">
        <v>43591</v>
      </c>
      <c r="P286" s="155">
        <v>43494</v>
      </c>
      <c r="Q286" s="156">
        <f t="shared" si="133"/>
        <v>43466</v>
      </c>
      <c r="R286" s="155">
        <v>43556</v>
      </c>
      <c r="S286" s="156">
        <f t="shared" si="134"/>
        <v>43556</v>
      </c>
      <c r="T286" s="140" t="str">
        <f t="shared" ca="1" si="128"/>
        <v/>
      </c>
      <c r="U286" s="139" t="str">
        <f t="shared" si="125"/>
        <v/>
      </c>
      <c r="V286" s="139" t="str">
        <f t="shared" si="126"/>
        <v/>
      </c>
      <c r="W286" s="139" t="str">
        <f t="shared" si="127"/>
        <v/>
      </c>
      <c r="X286" s="327"/>
    </row>
    <row r="287" spans="1:25" ht="18.75" x14ac:dyDescent="0.25">
      <c r="A287" s="151">
        <v>17</v>
      </c>
      <c r="B287" s="106" t="str">
        <f>'Funding 2019'!$K$87</f>
        <v>CGMM2019V167</v>
      </c>
      <c r="C287" s="151">
        <v>2100011539</v>
      </c>
      <c r="D287" s="151">
        <v>4500134503</v>
      </c>
      <c r="E287" s="152" t="s">
        <v>267</v>
      </c>
      <c r="F287" s="166">
        <f>173300000*0</f>
        <v>0</v>
      </c>
      <c r="G287" s="166">
        <f>150771000*0</f>
        <v>0</v>
      </c>
      <c r="H287" s="166">
        <v>150771000</v>
      </c>
      <c r="J287" s="154">
        <f t="shared" si="130"/>
        <v>0</v>
      </c>
      <c r="K287" s="154">
        <f t="shared" si="131"/>
        <v>0</v>
      </c>
      <c r="L287" s="154">
        <f t="shared" si="132"/>
        <v>9294.2300579459989</v>
      </c>
      <c r="N287" s="152" t="s">
        <v>198</v>
      </c>
      <c r="O287" s="155">
        <v>43563</v>
      </c>
      <c r="P287" s="155">
        <v>43495</v>
      </c>
      <c r="Q287" s="156">
        <f t="shared" si="133"/>
        <v>43466</v>
      </c>
      <c r="R287" s="155">
        <v>43525</v>
      </c>
      <c r="S287" s="156">
        <f t="shared" si="134"/>
        <v>43525</v>
      </c>
      <c r="T287" s="140" t="str">
        <f t="shared" ca="1" si="128"/>
        <v/>
      </c>
      <c r="U287" s="139" t="str">
        <f t="shared" si="125"/>
        <v/>
      </c>
      <c r="V287" s="139" t="str">
        <f t="shared" si="126"/>
        <v/>
      </c>
      <c r="W287" s="139" t="str">
        <f t="shared" si="127"/>
        <v/>
      </c>
      <c r="X287" s="327"/>
    </row>
    <row r="288" spans="1:25" ht="18.75" x14ac:dyDescent="0.25">
      <c r="A288" s="151">
        <v>18</v>
      </c>
      <c r="B288" s="106" t="str">
        <f>'Funding 2019'!$K$87</f>
        <v>CGMM2019V167</v>
      </c>
      <c r="C288" s="151">
        <v>2100011540</v>
      </c>
      <c r="D288" s="151">
        <v>4500134495</v>
      </c>
      <c r="E288" s="152" t="s">
        <v>268</v>
      </c>
      <c r="F288" s="166">
        <f>44745000*0</f>
        <v>0</v>
      </c>
      <c r="G288" s="166">
        <f>42507750*0</f>
        <v>0</v>
      </c>
      <c r="H288" s="166">
        <v>42507750</v>
      </c>
      <c r="J288" s="154">
        <f t="shared" si="130"/>
        <v>0</v>
      </c>
      <c r="K288" s="154">
        <f t="shared" si="131"/>
        <v>0</v>
      </c>
      <c r="L288" s="154">
        <f t="shared" si="132"/>
        <v>2620.3766489951918</v>
      </c>
      <c r="N288" s="152" t="s">
        <v>167</v>
      </c>
      <c r="O288" s="155">
        <v>43595</v>
      </c>
      <c r="P288" s="155">
        <v>43495</v>
      </c>
      <c r="Q288" s="156">
        <f t="shared" si="133"/>
        <v>43466</v>
      </c>
      <c r="R288" s="155">
        <v>43586</v>
      </c>
      <c r="S288" s="156">
        <f t="shared" si="134"/>
        <v>43586</v>
      </c>
      <c r="T288" s="140" t="str">
        <f t="shared" ca="1" si="128"/>
        <v/>
      </c>
      <c r="U288" s="139" t="str">
        <f t="shared" si="125"/>
        <v/>
      </c>
      <c r="V288" s="139" t="str">
        <f t="shared" si="126"/>
        <v/>
      </c>
      <c r="W288" s="139" t="str">
        <f t="shared" si="127"/>
        <v/>
      </c>
      <c r="X288" s="327"/>
    </row>
    <row r="289" spans="1:24" ht="18.75" x14ac:dyDescent="0.25">
      <c r="A289" s="151">
        <v>19</v>
      </c>
      <c r="B289" s="106" t="str">
        <f>'Funding 2019'!$K$87</f>
        <v>CGMM2019V167</v>
      </c>
      <c r="C289" s="151">
        <v>2100011542</v>
      </c>
      <c r="D289" s="151">
        <v>4500134560</v>
      </c>
      <c r="E289" s="152" t="s">
        <v>269</v>
      </c>
      <c r="F289" s="166">
        <f>114300000*0</f>
        <v>0</v>
      </c>
      <c r="G289" s="166">
        <f>102870000*0</f>
        <v>0</v>
      </c>
      <c r="H289" s="166">
        <v>102870000</v>
      </c>
      <c r="J289" s="154">
        <f t="shared" si="130"/>
        <v>0</v>
      </c>
      <c r="K289" s="154">
        <f t="shared" si="131"/>
        <v>0</v>
      </c>
      <c r="L289" s="154">
        <f t="shared" si="132"/>
        <v>6341.3882381950434</v>
      </c>
      <c r="N289" s="152" t="s">
        <v>198</v>
      </c>
      <c r="O289" s="155">
        <v>43549</v>
      </c>
      <c r="P289" s="155">
        <v>43496</v>
      </c>
      <c r="Q289" s="156">
        <f t="shared" si="133"/>
        <v>43466</v>
      </c>
      <c r="R289" s="155">
        <v>43525</v>
      </c>
      <c r="S289" s="156">
        <f t="shared" si="134"/>
        <v>43525</v>
      </c>
      <c r="T289" s="140" t="str">
        <f t="shared" ca="1" si="128"/>
        <v/>
      </c>
      <c r="U289" s="139" t="str">
        <f t="shared" si="125"/>
        <v/>
      </c>
      <c r="V289" s="139" t="str">
        <f t="shared" si="126"/>
        <v/>
      </c>
      <c r="W289" s="139" t="str">
        <f t="shared" si="127"/>
        <v/>
      </c>
      <c r="X289" s="327"/>
    </row>
    <row r="290" spans="1:24" ht="18.75" x14ac:dyDescent="0.25">
      <c r="A290" s="151">
        <v>21</v>
      </c>
      <c r="B290" s="106" t="str">
        <f>'Funding 2019'!$K$87</f>
        <v>CGMM2019V167</v>
      </c>
      <c r="C290" s="151">
        <v>6100000723</v>
      </c>
      <c r="D290" s="151">
        <v>330219800</v>
      </c>
      <c r="E290" s="152" t="s">
        <v>270</v>
      </c>
      <c r="F290" s="166">
        <f>14522263*0</f>
        <v>0</v>
      </c>
      <c r="G290" s="166">
        <f>14298387*0</f>
        <v>0</v>
      </c>
      <c r="H290" s="166">
        <v>17877227</v>
      </c>
      <c r="J290" s="154">
        <f t="shared" si="130"/>
        <v>0</v>
      </c>
      <c r="K290" s="154">
        <f t="shared" si="131"/>
        <v>0</v>
      </c>
      <c r="L290" s="154">
        <f t="shared" si="132"/>
        <v>1102.0359388484774</v>
      </c>
      <c r="N290" s="152" t="s">
        <v>167</v>
      </c>
      <c r="O290" s="155">
        <v>43595</v>
      </c>
      <c r="P290" s="155">
        <v>43496</v>
      </c>
      <c r="Q290" s="156">
        <f t="shared" si="133"/>
        <v>43466</v>
      </c>
      <c r="R290" s="155">
        <v>43617</v>
      </c>
      <c r="S290" s="156">
        <f t="shared" si="134"/>
        <v>43617</v>
      </c>
      <c r="T290" s="140" t="str">
        <f t="shared" ca="1" si="128"/>
        <v/>
      </c>
      <c r="U290" s="139" t="str">
        <f t="shared" si="125"/>
        <v/>
      </c>
      <c r="V290" s="139" t="str">
        <f t="shared" si="126"/>
        <v/>
      </c>
      <c r="W290" s="139" t="str">
        <f t="shared" si="127"/>
        <v/>
      </c>
      <c r="X290" s="327"/>
    </row>
    <row r="291" spans="1:24" ht="18.75" x14ac:dyDescent="0.25">
      <c r="A291" s="151">
        <v>23</v>
      </c>
      <c r="B291" s="106" t="str">
        <f>'Funding 2019'!$K$87</f>
        <v>CGMM2019V167</v>
      </c>
      <c r="C291" s="151">
        <v>6100000725</v>
      </c>
      <c r="D291" s="151">
        <v>330219801</v>
      </c>
      <c r="E291" s="152" t="s">
        <v>271</v>
      </c>
      <c r="F291" s="166">
        <f>154877527*0</f>
        <v>0</v>
      </c>
      <c r="G291" s="166">
        <f>154975230*0</f>
        <v>0</v>
      </c>
      <c r="H291" s="166">
        <v>136178847</v>
      </c>
      <c r="J291" s="154">
        <f t="shared" si="130"/>
        <v>0</v>
      </c>
      <c r="K291" s="154">
        <f t="shared" si="131"/>
        <v>0</v>
      </c>
      <c r="L291" s="154">
        <f t="shared" si="132"/>
        <v>8394.7014548144489</v>
      </c>
      <c r="N291" s="152" t="s">
        <v>167</v>
      </c>
      <c r="O291" s="155">
        <v>43612</v>
      </c>
      <c r="P291" s="155">
        <v>43507</v>
      </c>
      <c r="Q291" s="156">
        <f t="shared" si="133"/>
        <v>43497</v>
      </c>
      <c r="R291" s="155">
        <v>43617</v>
      </c>
      <c r="S291" s="156">
        <f t="shared" si="134"/>
        <v>43617</v>
      </c>
      <c r="T291" s="140" t="str">
        <f t="shared" ca="1" si="128"/>
        <v/>
      </c>
      <c r="U291" s="139" t="str">
        <f t="shared" si="125"/>
        <v/>
      </c>
      <c r="V291" s="139" t="str">
        <f t="shared" si="126"/>
        <v/>
      </c>
      <c r="W291" s="139" t="str">
        <f t="shared" si="127"/>
        <v/>
      </c>
      <c r="X291" s="327"/>
    </row>
    <row r="292" spans="1:24" ht="18.75" x14ac:dyDescent="0.25">
      <c r="A292" s="151">
        <v>24</v>
      </c>
      <c r="B292" s="106" t="str">
        <f>'Funding 2019'!$K$87</f>
        <v>CGMM2019V167</v>
      </c>
      <c r="C292" s="151">
        <v>6100000729</v>
      </c>
      <c r="D292" s="151">
        <v>330219805</v>
      </c>
      <c r="E292" s="152" t="s">
        <v>307</v>
      </c>
      <c r="F292" s="166"/>
      <c r="G292" s="166">
        <f>35730234*0</f>
        <v>0</v>
      </c>
      <c r="H292" s="166">
        <f>19122059+16731801-1939472-4540537</f>
        <v>29373851</v>
      </c>
      <c r="J292" s="154">
        <f t="shared" si="130"/>
        <v>0</v>
      </c>
      <c r="K292" s="154">
        <f t="shared" si="131"/>
        <v>0</v>
      </c>
      <c r="L292" s="154">
        <f t="shared" si="132"/>
        <v>1810.7416471458514</v>
      </c>
      <c r="N292" s="152" t="s">
        <v>167</v>
      </c>
      <c r="O292" s="155">
        <v>43570</v>
      </c>
      <c r="P292" s="155">
        <v>43509</v>
      </c>
      <c r="Q292" s="156">
        <f t="shared" si="133"/>
        <v>43497</v>
      </c>
      <c r="R292" s="155">
        <v>43556</v>
      </c>
      <c r="S292" s="156">
        <f t="shared" si="134"/>
        <v>43556</v>
      </c>
      <c r="T292" s="140" t="str">
        <f t="shared" ca="1" si="128"/>
        <v/>
      </c>
      <c r="U292" s="139" t="str">
        <f t="shared" si="125"/>
        <v/>
      </c>
      <c r="V292" s="139" t="str">
        <f t="shared" si="126"/>
        <v/>
      </c>
      <c r="W292" s="139" t="str">
        <f t="shared" si="127"/>
        <v/>
      </c>
      <c r="X292" s="327"/>
    </row>
    <row r="293" spans="1:24" ht="18.75" x14ac:dyDescent="0.25">
      <c r="A293" s="151">
        <v>25</v>
      </c>
      <c r="B293" s="106" t="str">
        <f>'Funding 2019'!$K$87</f>
        <v>CGMM2019V167</v>
      </c>
      <c r="C293" s="151">
        <v>2100011553</v>
      </c>
      <c r="D293" s="151">
        <v>4500134547</v>
      </c>
      <c r="E293" s="152" t="s">
        <v>308</v>
      </c>
      <c r="F293" s="166"/>
      <c r="G293" s="166">
        <f>22478670*0</f>
        <v>0</v>
      </c>
      <c r="H293" s="166">
        <v>22478670</v>
      </c>
      <c r="J293" s="154">
        <f t="shared" si="130"/>
        <v>0</v>
      </c>
      <c r="K293" s="154">
        <f t="shared" si="131"/>
        <v>0</v>
      </c>
      <c r="L293" s="154">
        <f t="shared" si="132"/>
        <v>1385.6904204167181</v>
      </c>
      <c r="N293" s="152" t="s">
        <v>167</v>
      </c>
      <c r="O293" s="155">
        <v>43577</v>
      </c>
      <c r="P293" s="155">
        <v>43508</v>
      </c>
      <c r="Q293" s="156">
        <f t="shared" si="133"/>
        <v>43497</v>
      </c>
      <c r="R293" s="155">
        <v>43525</v>
      </c>
      <c r="S293" s="156">
        <f t="shared" si="134"/>
        <v>43525</v>
      </c>
      <c r="T293" s="140" t="str">
        <f t="shared" ca="1" si="128"/>
        <v/>
      </c>
      <c r="U293" s="139" t="str">
        <f t="shared" si="125"/>
        <v/>
      </c>
      <c r="V293" s="139" t="str">
        <f t="shared" si="126"/>
        <v/>
      </c>
      <c r="W293" s="139" t="str">
        <f t="shared" si="127"/>
        <v/>
      </c>
      <c r="X293" s="327"/>
    </row>
    <row r="294" spans="1:24" ht="18.75" x14ac:dyDescent="0.25">
      <c r="A294" s="151">
        <v>26</v>
      </c>
      <c r="B294" s="106" t="str">
        <f>'Funding 2019'!$K$87</f>
        <v>CGMM2019V167</v>
      </c>
      <c r="C294" s="151">
        <v>2100011566</v>
      </c>
      <c r="D294" s="151">
        <v>4500134567</v>
      </c>
      <c r="E294" s="152" t="s">
        <v>324</v>
      </c>
      <c r="F294" s="166">
        <f>65000000*0</f>
        <v>0</v>
      </c>
      <c r="G294" s="166">
        <f>65000000*0</f>
        <v>0</v>
      </c>
      <c r="H294" s="166">
        <v>65000000</v>
      </c>
      <c r="J294" s="154">
        <f t="shared" si="130"/>
        <v>0</v>
      </c>
      <c r="K294" s="154">
        <f t="shared" si="131"/>
        <v>0</v>
      </c>
      <c r="L294" s="154">
        <f t="shared" si="132"/>
        <v>4006.9042041671805</v>
      </c>
      <c r="N294" s="152" t="s">
        <v>171</v>
      </c>
      <c r="O294" s="155">
        <v>43617</v>
      </c>
      <c r="P294" s="155">
        <v>43514</v>
      </c>
      <c r="Q294" s="156">
        <f t="shared" si="133"/>
        <v>43497</v>
      </c>
      <c r="R294" s="155">
        <v>43586</v>
      </c>
      <c r="S294" s="156">
        <f t="shared" si="134"/>
        <v>43586</v>
      </c>
      <c r="T294" s="140" t="str">
        <f t="shared" ca="1" si="128"/>
        <v/>
      </c>
      <c r="U294" s="139" t="str">
        <f t="shared" si="125"/>
        <v/>
      </c>
      <c r="V294" s="139" t="str">
        <f t="shared" si="126"/>
        <v/>
      </c>
      <c r="W294" s="139" t="str">
        <f t="shared" si="127"/>
        <v/>
      </c>
      <c r="X294" s="327"/>
    </row>
    <row r="295" spans="1:24" ht="18.75" x14ac:dyDescent="0.25">
      <c r="A295" s="151">
        <v>30</v>
      </c>
      <c r="B295" s="106" t="str">
        <f>'Funding 2019'!$K$87</f>
        <v>CGMM2019V167</v>
      </c>
      <c r="C295" s="151">
        <v>2500003563</v>
      </c>
      <c r="D295" s="151" t="s">
        <v>467</v>
      </c>
      <c r="E295" s="281" t="s">
        <v>355</v>
      </c>
      <c r="F295" s="166">
        <f>495620800*0</f>
        <v>0</v>
      </c>
      <c r="G295" s="166">
        <f>479670000*0</f>
        <v>0</v>
      </c>
      <c r="H295" s="166">
        <v>476370000</v>
      </c>
      <c r="J295" s="154">
        <f t="shared" si="130"/>
        <v>0</v>
      </c>
      <c r="K295" s="154">
        <f t="shared" si="131"/>
        <v>0</v>
      </c>
      <c r="L295" s="154">
        <f t="shared" si="132"/>
        <v>29365.676242140304</v>
      </c>
      <c r="N295" s="152" t="s">
        <v>204</v>
      </c>
      <c r="O295" s="155">
        <v>43707</v>
      </c>
      <c r="P295" s="155">
        <v>43538</v>
      </c>
      <c r="Q295" s="156">
        <f t="shared" si="133"/>
        <v>43525</v>
      </c>
      <c r="R295" s="155">
        <v>43647</v>
      </c>
      <c r="S295" s="156">
        <f t="shared" si="134"/>
        <v>43647</v>
      </c>
      <c r="T295" s="140" t="str">
        <f t="shared" ca="1" si="128"/>
        <v/>
      </c>
      <c r="U295" s="139" t="str">
        <f t="shared" si="125"/>
        <v/>
      </c>
      <c r="V295" s="139" t="str">
        <f t="shared" si="126"/>
        <v/>
      </c>
      <c r="W295" s="139" t="str">
        <f t="shared" si="127"/>
        <v/>
      </c>
      <c r="X295" s="327"/>
    </row>
    <row r="296" spans="1:24" ht="18.75" x14ac:dyDescent="0.25">
      <c r="A296" s="151">
        <v>36</v>
      </c>
      <c r="B296" s="106" t="str">
        <f>'Funding 2019'!$K$87</f>
        <v>CGMM2019V167</v>
      </c>
      <c r="C296" s="151">
        <v>6100000737</v>
      </c>
      <c r="D296" s="151">
        <v>330319801</v>
      </c>
      <c r="E296" s="152" t="s">
        <v>356</v>
      </c>
      <c r="F296" s="166"/>
      <c r="G296" s="166">
        <f>36056158*0</f>
        <v>0</v>
      </c>
      <c r="H296" s="166">
        <v>32479778</v>
      </c>
      <c r="J296" s="154">
        <f t="shared" si="130"/>
        <v>0</v>
      </c>
      <c r="K296" s="154">
        <f t="shared" si="131"/>
        <v>0</v>
      </c>
      <c r="L296" s="154">
        <f t="shared" si="132"/>
        <v>2002.2055233633337</v>
      </c>
      <c r="N296" s="152" t="s">
        <v>167</v>
      </c>
      <c r="O296" s="155">
        <v>43600</v>
      </c>
      <c r="P296" s="155">
        <v>43537</v>
      </c>
      <c r="Q296" s="156">
        <f t="shared" si="133"/>
        <v>43525</v>
      </c>
      <c r="R296" s="155">
        <v>43586</v>
      </c>
      <c r="S296" s="156">
        <f t="shared" si="134"/>
        <v>43586</v>
      </c>
      <c r="T296" s="140" t="str">
        <f t="shared" ca="1" si="128"/>
        <v/>
      </c>
      <c r="U296" s="139" t="str">
        <f t="shared" si="125"/>
        <v/>
      </c>
      <c r="V296" s="139" t="str">
        <f t="shared" si="126"/>
        <v/>
      </c>
      <c r="W296" s="139" t="str">
        <f t="shared" si="127"/>
        <v/>
      </c>
      <c r="X296" s="327"/>
    </row>
    <row r="297" spans="1:24" ht="18.75" x14ac:dyDescent="0.25">
      <c r="A297" s="151">
        <v>37</v>
      </c>
      <c r="B297" s="106" t="str">
        <f>'Funding 2019'!$K$87</f>
        <v>CGMM2019V167</v>
      </c>
      <c r="C297" s="151">
        <v>2100011585</v>
      </c>
      <c r="D297" s="151">
        <v>4500134596</v>
      </c>
      <c r="E297" s="152" t="s">
        <v>357</v>
      </c>
      <c r="F297" s="166">
        <f>314000000*0</f>
        <v>0</v>
      </c>
      <c r="G297" s="166">
        <f>314000000*0</f>
        <v>0</v>
      </c>
      <c r="H297" s="166">
        <v>314000000</v>
      </c>
      <c r="J297" s="154">
        <f t="shared" si="130"/>
        <v>0</v>
      </c>
      <c r="K297" s="154">
        <f t="shared" si="131"/>
        <v>0</v>
      </c>
      <c r="L297" s="154">
        <f t="shared" si="132"/>
        <v>19356.429540130688</v>
      </c>
      <c r="N297" s="152" t="s">
        <v>198</v>
      </c>
      <c r="O297" s="155">
        <v>43615</v>
      </c>
      <c r="P297" s="155">
        <v>43530</v>
      </c>
      <c r="Q297" s="156">
        <f t="shared" si="133"/>
        <v>43525</v>
      </c>
      <c r="R297" s="155">
        <v>43617</v>
      </c>
      <c r="S297" s="156">
        <f t="shared" si="134"/>
        <v>43617</v>
      </c>
      <c r="T297" s="140" t="str">
        <f t="shared" ca="1" si="128"/>
        <v/>
      </c>
      <c r="U297" s="139" t="str">
        <f t="shared" si="125"/>
        <v/>
      </c>
      <c r="V297" s="139" t="str">
        <f t="shared" si="126"/>
        <v/>
      </c>
      <c r="W297" s="139" t="str">
        <f t="shared" si="127"/>
        <v/>
      </c>
      <c r="X297" s="327"/>
    </row>
    <row r="298" spans="1:24" ht="18.75" x14ac:dyDescent="0.25">
      <c r="A298" s="151">
        <v>40</v>
      </c>
      <c r="B298" s="106" t="str">
        <f>'Funding 2019'!$K$87</f>
        <v>CGMM2019V167</v>
      </c>
      <c r="C298" s="151">
        <v>6100000774</v>
      </c>
      <c r="D298" s="151" t="s">
        <v>720</v>
      </c>
      <c r="E298" s="152" t="s">
        <v>489</v>
      </c>
      <c r="F298" s="166">
        <f>301460737*0</f>
        <v>0</v>
      </c>
      <c r="G298" s="166">
        <f>117171600*0</f>
        <v>0</v>
      </c>
      <c r="H298" s="166">
        <v>121548314</v>
      </c>
      <c r="J298" s="154">
        <f t="shared" si="130"/>
        <v>0</v>
      </c>
      <c r="K298" s="154">
        <f t="shared" si="131"/>
        <v>0</v>
      </c>
      <c r="L298" s="154">
        <f t="shared" si="132"/>
        <v>7492.8069288620391</v>
      </c>
      <c r="N298" s="152" t="s">
        <v>167</v>
      </c>
      <c r="O298" s="155">
        <v>43707</v>
      </c>
      <c r="P298" s="155">
        <v>43642</v>
      </c>
      <c r="Q298" s="156">
        <f t="shared" si="133"/>
        <v>43617</v>
      </c>
      <c r="R298" s="155">
        <v>43699</v>
      </c>
      <c r="S298" s="156">
        <f t="shared" si="134"/>
        <v>43678</v>
      </c>
      <c r="T298" s="140" t="str">
        <f t="shared" ca="1" si="128"/>
        <v/>
      </c>
      <c r="U298" s="139" t="str">
        <f t="shared" si="125"/>
        <v/>
      </c>
      <c r="V298" s="139" t="str">
        <f t="shared" si="126"/>
        <v/>
      </c>
      <c r="W298" s="139" t="str">
        <f t="shared" si="127"/>
        <v/>
      </c>
      <c r="X298" s="327"/>
    </row>
    <row r="299" spans="1:24" ht="18.75" x14ac:dyDescent="0.25">
      <c r="A299" s="151">
        <v>41</v>
      </c>
      <c r="B299" s="106" t="str">
        <f>'Funding 2019'!$K$87</f>
        <v>CGMM2019V167</v>
      </c>
      <c r="C299" s="151">
        <v>6100000749</v>
      </c>
      <c r="D299" s="151">
        <v>330319803</v>
      </c>
      <c r="E299" s="152" t="s">
        <v>370</v>
      </c>
      <c r="F299" s="166"/>
      <c r="G299" s="166"/>
      <c r="H299" s="166">
        <v>140774076</v>
      </c>
      <c r="J299" s="154">
        <f t="shared" si="130"/>
        <v>0</v>
      </c>
      <c r="K299" s="154">
        <f t="shared" si="131"/>
        <v>0</v>
      </c>
      <c r="L299" s="154">
        <f t="shared" si="132"/>
        <v>8677.9728763407711</v>
      </c>
      <c r="N299" s="152" t="s">
        <v>167</v>
      </c>
      <c r="O299" s="155">
        <v>43600</v>
      </c>
      <c r="P299" s="155">
        <v>43557</v>
      </c>
      <c r="Q299" s="156">
        <f t="shared" si="133"/>
        <v>43556</v>
      </c>
      <c r="R299" s="155">
        <v>43586</v>
      </c>
      <c r="S299" s="156">
        <f t="shared" si="134"/>
        <v>43586</v>
      </c>
      <c r="T299" s="140" t="str">
        <f t="shared" ca="1" si="128"/>
        <v/>
      </c>
      <c r="U299" s="139" t="str">
        <f t="shared" si="125"/>
        <v/>
      </c>
      <c r="V299" s="139" t="str">
        <f t="shared" si="126"/>
        <v/>
      </c>
      <c r="W299" s="139" t="str">
        <f t="shared" si="127"/>
        <v/>
      </c>
      <c r="X299" s="327"/>
    </row>
    <row r="300" spans="1:24" ht="18.75" x14ac:dyDescent="0.25">
      <c r="A300" s="151">
        <v>42</v>
      </c>
      <c r="B300" s="106" t="str">
        <f>'Funding 2019'!$K$87</f>
        <v>CGMM2019V167</v>
      </c>
      <c r="C300" s="151">
        <v>2100011599</v>
      </c>
      <c r="D300" s="151" t="s">
        <v>371</v>
      </c>
      <c r="E300" s="152" t="s">
        <v>372</v>
      </c>
      <c r="F300" s="166"/>
      <c r="G300" s="166">
        <f>290000000*0</f>
        <v>0</v>
      </c>
      <c r="H300" s="166">
        <v>290000000</v>
      </c>
      <c r="J300" s="154">
        <f t="shared" si="130"/>
        <v>0</v>
      </c>
      <c r="K300" s="154">
        <f t="shared" si="131"/>
        <v>0</v>
      </c>
      <c r="L300" s="154">
        <f t="shared" si="132"/>
        <v>17876.957218592037</v>
      </c>
      <c r="N300" s="152" t="s">
        <v>198</v>
      </c>
      <c r="O300" s="155">
        <v>43605</v>
      </c>
      <c r="P300" s="155">
        <v>43556</v>
      </c>
      <c r="Q300" s="156">
        <f t="shared" si="133"/>
        <v>43556</v>
      </c>
      <c r="R300" s="155">
        <v>43586</v>
      </c>
      <c r="S300" s="156">
        <f t="shared" si="134"/>
        <v>43586</v>
      </c>
      <c r="T300" s="140" t="str">
        <f t="shared" ca="1" si="128"/>
        <v/>
      </c>
      <c r="U300" s="139" t="str">
        <f t="shared" si="125"/>
        <v/>
      </c>
      <c r="V300" s="139" t="str">
        <f t="shared" si="126"/>
        <v/>
      </c>
      <c r="W300" s="139" t="str">
        <f t="shared" si="127"/>
        <v/>
      </c>
      <c r="X300" s="327"/>
    </row>
    <row r="301" spans="1:24" ht="18.75" x14ac:dyDescent="0.25">
      <c r="A301" s="151">
        <v>43</v>
      </c>
      <c r="B301" s="106" t="str">
        <f>'Funding 2019'!$K$87</f>
        <v>CGMM2019V167</v>
      </c>
      <c r="C301" s="151">
        <v>2100011609</v>
      </c>
      <c r="D301" s="151" t="s">
        <v>373</v>
      </c>
      <c r="E301" s="152" t="s">
        <v>374</v>
      </c>
      <c r="F301" s="166"/>
      <c r="G301" s="305">
        <v>97000000</v>
      </c>
      <c r="H301" s="166"/>
      <c r="J301" s="154">
        <f t="shared" si="130"/>
        <v>0</v>
      </c>
      <c r="K301" s="154">
        <f t="shared" si="131"/>
        <v>5979.5339662187152</v>
      </c>
      <c r="L301" s="154">
        <f t="shared" si="132"/>
        <v>0</v>
      </c>
      <c r="N301" s="152" t="s">
        <v>165</v>
      </c>
      <c r="O301" s="155">
        <v>43769</v>
      </c>
      <c r="P301" s="155">
        <v>43559</v>
      </c>
      <c r="Q301" s="156">
        <f t="shared" si="133"/>
        <v>43556</v>
      </c>
      <c r="R301" s="155"/>
      <c r="S301" s="156" t="str">
        <f t="shared" si="134"/>
        <v/>
      </c>
      <c r="T301" s="140">
        <f t="shared" ca="1" si="128"/>
        <v>4</v>
      </c>
      <c r="U301" s="139" t="str">
        <f t="shared" si="125"/>
        <v/>
      </c>
      <c r="V301" s="139" t="str">
        <f t="shared" si="126"/>
        <v/>
      </c>
      <c r="W301" s="139" t="str">
        <f t="shared" si="127"/>
        <v/>
      </c>
      <c r="X301" s="327"/>
    </row>
    <row r="302" spans="1:24" ht="18.75" x14ac:dyDescent="0.25">
      <c r="A302" s="151">
        <v>45</v>
      </c>
      <c r="B302" s="106" t="str">
        <f>'Funding 2019'!$K$87</f>
        <v>CGMM2019V167</v>
      </c>
      <c r="C302" s="151">
        <v>2100011606</v>
      </c>
      <c r="D302" s="151" t="s">
        <v>376</v>
      </c>
      <c r="E302" s="152" t="s">
        <v>377</v>
      </c>
      <c r="F302" s="166"/>
      <c r="G302" s="166">
        <f>418418193*0</f>
        <v>0</v>
      </c>
      <c r="H302" s="166">
        <v>418418193</v>
      </c>
      <c r="J302" s="154">
        <f t="shared" si="130"/>
        <v>0</v>
      </c>
      <c r="K302" s="154">
        <f t="shared" si="131"/>
        <v>0</v>
      </c>
      <c r="L302" s="154">
        <f t="shared" si="132"/>
        <v>25793.255640488227</v>
      </c>
      <c r="N302" s="152" t="s">
        <v>167</v>
      </c>
      <c r="O302" s="155">
        <v>43646</v>
      </c>
      <c r="P302" s="155">
        <v>43560</v>
      </c>
      <c r="Q302" s="156">
        <f t="shared" si="133"/>
        <v>43556</v>
      </c>
      <c r="R302" s="155">
        <v>43617</v>
      </c>
      <c r="S302" s="156">
        <f t="shared" si="134"/>
        <v>43617</v>
      </c>
      <c r="T302" s="140" t="str">
        <f t="shared" ca="1" si="128"/>
        <v/>
      </c>
      <c r="U302" s="139" t="str">
        <f t="shared" si="125"/>
        <v/>
      </c>
      <c r="V302" s="139" t="str">
        <f t="shared" si="126"/>
        <v/>
      </c>
      <c r="W302" s="139" t="str">
        <f t="shared" si="127"/>
        <v/>
      </c>
      <c r="X302" s="327"/>
    </row>
    <row r="303" spans="1:24" ht="18.75" x14ac:dyDescent="0.25">
      <c r="A303" s="151">
        <v>46</v>
      </c>
      <c r="B303" s="106" t="str">
        <f>'Funding 2019'!$K$87</f>
        <v>CGMM2019V167</v>
      </c>
      <c r="C303" s="151">
        <v>2100011623</v>
      </c>
      <c r="D303" s="151" t="s">
        <v>378</v>
      </c>
      <c r="E303" s="152" t="s">
        <v>379</v>
      </c>
      <c r="F303" s="166"/>
      <c r="G303" s="166">
        <f>15880000*0</f>
        <v>0</v>
      </c>
      <c r="H303" s="166">
        <v>15880000</v>
      </c>
      <c r="J303" s="154">
        <f t="shared" si="130"/>
        <v>0</v>
      </c>
      <c r="K303" s="154">
        <f t="shared" si="131"/>
        <v>0</v>
      </c>
      <c r="L303" s="154">
        <f t="shared" si="132"/>
        <v>978.91751941807422</v>
      </c>
      <c r="N303" s="152" t="s">
        <v>198</v>
      </c>
      <c r="O303" s="155">
        <v>43616</v>
      </c>
      <c r="P303" s="155">
        <v>43566</v>
      </c>
      <c r="Q303" s="156">
        <f t="shared" si="133"/>
        <v>43556</v>
      </c>
      <c r="R303" s="155">
        <v>43586</v>
      </c>
      <c r="S303" s="156">
        <f t="shared" si="134"/>
        <v>43586</v>
      </c>
      <c r="T303" s="140" t="str">
        <f t="shared" ca="1" si="128"/>
        <v/>
      </c>
      <c r="U303" s="139" t="str">
        <f t="shared" si="125"/>
        <v/>
      </c>
      <c r="V303" s="139" t="str">
        <f t="shared" si="126"/>
        <v/>
      </c>
      <c r="W303" s="139" t="str">
        <f t="shared" si="127"/>
        <v/>
      </c>
      <c r="X303" s="327"/>
    </row>
    <row r="304" spans="1:24" ht="18.75" x14ac:dyDescent="0.25">
      <c r="A304" s="151">
        <v>47</v>
      </c>
      <c r="B304" s="106" t="str">
        <f>'Funding 2019'!$K$87</f>
        <v>CGMM2019V167</v>
      </c>
      <c r="C304" s="151">
        <v>2100011622</v>
      </c>
      <c r="D304" s="151" t="s">
        <v>380</v>
      </c>
      <c r="E304" s="152" t="s">
        <v>381</v>
      </c>
      <c r="F304" s="166"/>
      <c r="G304" s="166">
        <f>20900000*0</f>
        <v>0</v>
      </c>
      <c r="H304" s="166">
        <v>20900000</v>
      </c>
      <c r="J304" s="154">
        <f t="shared" si="130"/>
        <v>0</v>
      </c>
      <c r="K304" s="154">
        <f t="shared" si="131"/>
        <v>0</v>
      </c>
      <c r="L304" s="154">
        <f t="shared" si="132"/>
        <v>1288.3738133399088</v>
      </c>
      <c r="N304" s="152" t="s">
        <v>167</v>
      </c>
      <c r="O304" s="155">
        <v>43605</v>
      </c>
      <c r="P304" s="155">
        <v>43566</v>
      </c>
      <c r="Q304" s="156">
        <f t="shared" si="133"/>
        <v>43556</v>
      </c>
      <c r="R304" s="155">
        <v>43586</v>
      </c>
      <c r="S304" s="156">
        <f t="shared" si="134"/>
        <v>43586</v>
      </c>
      <c r="T304" s="140" t="str">
        <f t="shared" ca="1" si="128"/>
        <v/>
      </c>
      <c r="U304" s="139" t="str">
        <f t="shared" si="125"/>
        <v/>
      </c>
      <c r="V304" s="139" t="str">
        <f t="shared" si="126"/>
        <v/>
      </c>
      <c r="W304" s="139" t="str">
        <f t="shared" si="127"/>
        <v/>
      </c>
      <c r="X304" s="327"/>
    </row>
    <row r="305" spans="1:25" ht="18.75" x14ac:dyDescent="0.25">
      <c r="A305" s="151">
        <v>48</v>
      </c>
      <c r="B305" s="106" t="str">
        <f>'Funding 2019'!$K$87</f>
        <v>CGMM2019V167</v>
      </c>
      <c r="C305" s="151">
        <v>2100011618</v>
      </c>
      <c r="D305" s="151" t="s">
        <v>468</v>
      </c>
      <c r="E305" s="152" t="s">
        <v>428</v>
      </c>
      <c r="F305" s="166">
        <f>877708119*0</f>
        <v>0</v>
      </c>
      <c r="G305" s="166">
        <f>847824000*0</f>
        <v>0</v>
      </c>
      <c r="H305" s="166">
        <v>847824000</v>
      </c>
      <c r="J305" s="154">
        <f t="shared" si="130"/>
        <v>0</v>
      </c>
      <c r="K305" s="154">
        <f t="shared" si="131"/>
        <v>0</v>
      </c>
      <c r="L305" s="154">
        <f t="shared" si="132"/>
        <v>52263.839230674392</v>
      </c>
      <c r="N305" s="152" t="s">
        <v>167</v>
      </c>
      <c r="O305" s="155">
        <v>43602</v>
      </c>
      <c r="P305" s="155">
        <v>43559</v>
      </c>
      <c r="Q305" s="156">
        <f t="shared" si="133"/>
        <v>43556</v>
      </c>
      <c r="R305" s="155">
        <v>43617</v>
      </c>
      <c r="S305" s="156">
        <f t="shared" si="134"/>
        <v>43617</v>
      </c>
      <c r="T305" s="140" t="str">
        <f t="shared" ca="1" si="128"/>
        <v/>
      </c>
      <c r="U305" s="139" t="str">
        <f t="shared" si="125"/>
        <v/>
      </c>
      <c r="V305" s="139" t="str">
        <f t="shared" si="126"/>
        <v/>
      </c>
      <c r="W305" s="139" t="str">
        <f t="shared" si="127"/>
        <v/>
      </c>
      <c r="X305" s="327"/>
    </row>
    <row r="306" spans="1:25" ht="18.75" x14ac:dyDescent="0.25">
      <c r="A306" s="151">
        <v>49</v>
      </c>
      <c r="B306" s="106" t="str">
        <f>'Funding 2019'!$K$87</f>
        <v>CGMM2019V167</v>
      </c>
      <c r="C306" s="151">
        <v>2100011630</v>
      </c>
      <c r="D306" s="151" t="s">
        <v>440</v>
      </c>
      <c r="E306" s="152" t="s">
        <v>429</v>
      </c>
      <c r="F306" s="166">
        <f>98000000*0</f>
        <v>0</v>
      </c>
      <c r="G306" s="166">
        <f>71647200*0</f>
        <v>0</v>
      </c>
      <c r="H306" s="166">
        <v>71647200</v>
      </c>
      <c r="J306" s="154">
        <f t="shared" si="130"/>
        <v>0</v>
      </c>
      <c r="K306" s="154">
        <f t="shared" si="131"/>
        <v>0</v>
      </c>
      <c r="L306" s="154">
        <f t="shared" si="132"/>
        <v>4416.6687214893354</v>
      </c>
      <c r="N306" s="152" t="s">
        <v>198</v>
      </c>
      <c r="O306" s="155">
        <v>43609</v>
      </c>
      <c r="P306" s="155">
        <v>43577</v>
      </c>
      <c r="Q306" s="156">
        <f t="shared" si="133"/>
        <v>43556</v>
      </c>
      <c r="R306" s="155">
        <v>43617</v>
      </c>
      <c r="S306" s="156">
        <f t="shared" si="134"/>
        <v>43617</v>
      </c>
      <c r="T306" s="140" t="str">
        <f t="shared" ca="1" si="128"/>
        <v/>
      </c>
      <c r="U306" s="139" t="str">
        <f t="shared" si="125"/>
        <v/>
      </c>
      <c r="V306" s="139" t="str">
        <f t="shared" si="126"/>
        <v/>
      </c>
      <c r="W306" s="139" t="str">
        <f t="shared" si="127"/>
        <v/>
      </c>
      <c r="X306" s="327"/>
    </row>
    <row r="307" spans="1:25" ht="18.75" x14ac:dyDescent="0.25">
      <c r="A307" s="151">
        <v>52</v>
      </c>
      <c r="B307" s="106" t="str">
        <f>'Funding 2019'!$K$87</f>
        <v>CGMM2019V167</v>
      </c>
      <c r="C307" s="151">
        <v>2100011625</v>
      </c>
      <c r="D307" s="151" t="s">
        <v>431</v>
      </c>
      <c r="E307" s="152" t="s">
        <v>432</v>
      </c>
      <c r="F307" s="166"/>
      <c r="G307" s="166">
        <f>99397845*0</f>
        <v>0</v>
      </c>
      <c r="H307" s="166">
        <v>99856550</v>
      </c>
      <c r="J307" s="154">
        <f t="shared" si="130"/>
        <v>0</v>
      </c>
      <c r="K307" s="154">
        <f t="shared" si="131"/>
        <v>0</v>
      </c>
      <c r="L307" s="154">
        <f t="shared" si="132"/>
        <v>6155.6250770558499</v>
      </c>
      <c r="N307" s="152" t="s">
        <v>167</v>
      </c>
      <c r="O307" s="155">
        <v>43619</v>
      </c>
      <c r="P307" s="155">
        <v>43578</v>
      </c>
      <c r="Q307" s="156">
        <f t="shared" si="133"/>
        <v>43556</v>
      </c>
      <c r="R307" s="155">
        <v>43647</v>
      </c>
      <c r="S307" s="156">
        <f t="shared" si="134"/>
        <v>43647</v>
      </c>
      <c r="T307" s="140" t="str">
        <f t="shared" ca="1" si="128"/>
        <v/>
      </c>
      <c r="U307" s="139" t="str">
        <f t="shared" si="125"/>
        <v/>
      </c>
      <c r="V307" s="139" t="str">
        <f t="shared" si="126"/>
        <v/>
      </c>
      <c r="W307" s="139" t="str">
        <f t="shared" si="127"/>
        <v/>
      </c>
      <c r="X307" s="327"/>
    </row>
    <row r="308" spans="1:25" ht="18.75" x14ac:dyDescent="0.25">
      <c r="A308" s="151">
        <v>55</v>
      </c>
      <c r="B308" s="106" t="str">
        <f>'Funding 2019'!$K$87</f>
        <v>CGMM2019V167</v>
      </c>
      <c r="C308" s="151"/>
      <c r="D308" s="151" t="s">
        <v>438</v>
      </c>
      <c r="E308" s="152" t="s">
        <v>439</v>
      </c>
      <c r="F308" s="166"/>
      <c r="G308" s="166">
        <f>22478670*0</f>
        <v>0</v>
      </c>
      <c r="H308" s="166">
        <v>22478670</v>
      </c>
      <c r="J308" s="154">
        <f t="shared" si="130"/>
        <v>0</v>
      </c>
      <c r="K308" s="154">
        <f t="shared" si="131"/>
        <v>0</v>
      </c>
      <c r="L308" s="154">
        <f t="shared" si="132"/>
        <v>1385.6904204167181</v>
      </c>
      <c r="N308" s="152"/>
      <c r="O308" s="155">
        <v>43616</v>
      </c>
      <c r="P308" s="155">
        <v>43584</v>
      </c>
      <c r="Q308" s="156">
        <f t="shared" si="133"/>
        <v>43556</v>
      </c>
      <c r="R308" s="155">
        <v>43525</v>
      </c>
      <c r="S308" s="156">
        <f t="shared" si="134"/>
        <v>43525</v>
      </c>
      <c r="T308" s="140" t="str">
        <f t="shared" ca="1" si="128"/>
        <v/>
      </c>
      <c r="U308" s="139" t="str">
        <f t="shared" si="125"/>
        <v/>
      </c>
      <c r="V308" s="139" t="str">
        <f t="shared" si="126"/>
        <v/>
      </c>
      <c r="W308" s="139" t="str">
        <f t="shared" si="127"/>
        <v/>
      </c>
      <c r="X308" s="327"/>
    </row>
    <row r="309" spans="1:25" ht="18.75" x14ac:dyDescent="0.25">
      <c r="A309" s="151">
        <v>56</v>
      </c>
      <c r="B309" s="106" t="str">
        <f>'Funding 2019'!$K$87</f>
        <v>CGMM2019V167</v>
      </c>
      <c r="C309" s="151">
        <v>2500003592</v>
      </c>
      <c r="D309" s="151" t="s">
        <v>441</v>
      </c>
      <c r="E309" s="152" t="s">
        <v>442</v>
      </c>
      <c r="F309" s="166"/>
      <c r="G309" s="305">
        <v>432891000</v>
      </c>
      <c r="H309" s="166"/>
      <c r="J309" s="154">
        <f t="shared" si="130"/>
        <v>0</v>
      </c>
      <c r="K309" s="154">
        <f t="shared" si="131"/>
        <v>26685.427197632845</v>
      </c>
      <c r="L309" s="154">
        <f t="shared" si="132"/>
        <v>0</v>
      </c>
      <c r="N309" s="152"/>
      <c r="O309" s="155">
        <v>43712</v>
      </c>
      <c r="P309" s="155">
        <v>43594</v>
      </c>
      <c r="Q309" s="156">
        <f t="shared" si="133"/>
        <v>43586</v>
      </c>
      <c r="R309" s="155"/>
      <c r="S309" s="156" t="str">
        <f t="shared" si="134"/>
        <v/>
      </c>
      <c r="T309" s="140">
        <f t="shared" ca="1" si="128"/>
        <v>61</v>
      </c>
      <c r="U309" s="139" t="str">
        <f t="shared" si="125"/>
        <v/>
      </c>
      <c r="V309" s="139" t="str">
        <f t="shared" si="126"/>
        <v/>
      </c>
      <c r="W309" s="139" t="str">
        <f t="shared" si="127"/>
        <v/>
      </c>
      <c r="X309" s="327"/>
    </row>
    <row r="310" spans="1:25" ht="18.75" x14ac:dyDescent="0.25">
      <c r="A310" s="151">
        <v>58</v>
      </c>
      <c r="B310" s="106" t="str">
        <f>'Funding 2019'!$K$87</f>
        <v>CGMM2019V167</v>
      </c>
      <c r="C310" s="151">
        <v>2100011687</v>
      </c>
      <c r="D310" s="151">
        <v>4500135070</v>
      </c>
      <c r="E310" s="152" t="s">
        <v>482</v>
      </c>
      <c r="F310" s="166">
        <f>489630682*0</f>
        <v>0</v>
      </c>
      <c r="G310" s="305"/>
      <c r="H310" s="305">
        <v>298604000</v>
      </c>
      <c r="J310" s="154">
        <f t="shared" si="130"/>
        <v>0</v>
      </c>
      <c r="K310" s="154">
        <f t="shared" si="131"/>
        <v>0</v>
      </c>
      <c r="L310" s="154">
        <f t="shared" si="132"/>
        <v>18407.34804586364</v>
      </c>
      <c r="N310" s="152" t="s">
        <v>165</v>
      </c>
      <c r="O310" s="155">
        <v>43763</v>
      </c>
      <c r="P310" s="155">
        <v>43634</v>
      </c>
      <c r="Q310" s="156">
        <f t="shared" si="133"/>
        <v>43617</v>
      </c>
      <c r="R310" s="155">
        <v>43762</v>
      </c>
      <c r="S310" s="156">
        <f t="shared" si="134"/>
        <v>43739</v>
      </c>
      <c r="T310" s="140" t="str">
        <f t="shared" ca="1" si="128"/>
        <v/>
      </c>
      <c r="U310" s="139" t="str">
        <f t="shared" si="125"/>
        <v/>
      </c>
      <c r="V310" s="139" t="str">
        <f t="shared" si="126"/>
        <v/>
      </c>
      <c r="W310" s="139" t="str">
        <f t="shared" si="127"/>
        <v/>
      </c>
      <c r="X310" s="327"/>
    </row>
    <row r="311" spans="1:25" ht="18.75" x14ac:dyDescent="0.25">
      <c r="A311" s="151">
        <v>61</v>
      </c>
      <c r="B311" s="106" t="str">
        <f>'Funding 2019'!$K$87</f>
        <v>CGMM2019V167</v>
      </c>
      <c r="C311" s="151">
        <v>2100011690</v>
      </c>
      <c r="D311" s="151">
        <v>4500134977</v>
      </c>
      <c r="E311" s="152" t="s">
        <v>485</v>
      </c>
      <c r="F311" s="166"/>
      <c r="G311" s="166">
        <f>32510000*0</f>
        <v>0</v>
      </c>
      <c r="H311" s="166">
        <v>30154200</v>
      </c>
      <c r="J311" s="154">
        <f t="shared" si="130"/>
        <v>0</v>
      </c>
      <c r="K311" s="154">
        <f t="shared" si="131"/>
        <v>0</v>
      </c>
      <c r="L311" s="154">
        <f t="shared" si="132"/>
        <v>1858.8460115891999</v>
      </c>
      <c r="N311" s="152" t="s">
        <v>165</v>
      </c>
      <c r="O311" s="155">
        <v>43707</v>
      </c>
      <c r="P311" s="155">
        <v>43636</v>
      </c>
      <c r="Q311" s="156">
        <f t="shared" si="133"/>
        <v>43617</v>
      </c>
      <c r="R311" s="155">
        <v>43663</v>
      </c>
      <c r="S311" s="156">
        <f t="shared" si="134"/>
        <v>43647</v>
      </c>
      <c r="T311" s="140" t="str">
        <f t="shared" ca="1" si="128"/>
        <v/>
      </c>
      <c r="U311" s="139" t="str">
        <f t="shared" si="125"/>
        <v/>
      </c>
      <c r="V311" s="139" t="str">
        <f t="shared" si="126"/>
        <v/>
      </c>
      <c r="W311" s="139" t="str">
        <f t="shared" si="127"/>
        <v/>
      </c>
      <c r="X311" s="327"/>
    </row>
    <row r="312" spans="1:25" ht="18.75" x14ac:dyDescent="0.25">
      <c r="A312" s="151">
        <v>62</v>
      </c>
      <c r="B312" s="106" t="str">
        <f>'Funding 2019'!$K$87</f>
        <v>CGMM2019V167</v>
      </c>
      <c r="C312" s="283">
        <v>6100000776</v>
      </c>
      <c r="D312" s="332" t="s">
        <v>909</v>
      </c>
      <c r="E312" s="284" t="s">
        <v>513</v>
      </c>
      <c r="F312" s="341"/>
      <c r="G312" s="305">
        <v>272867557</v>
      </c>
      <c r="H312" s="166"/>
      <c r="J312" s="154">
        <f t="shared" si="130"/>
        <v>0</v>
      </c>
      <c r="K312" s="154">
        <f t="shared" si="131"/>
        <v>16820.833251140426</v>
      </c>
      <c r="L312" s="154">
        <f t="shared" si="132"/>
        <v>0</v>
      </c>
      <c r="N312" s="152" t="s">
        <v>194</v>
      </c>
      <c r="O312" s="155">
        <v>43769</v>
      </c>
      <c r="P312" s="155">
        <v>43651</v>
      </c>
      <c r="Q312" s="156">
        <f t="shared" si="133"/>
        <v>43647</v>
      </c>
      <c r="R312" s="155"/>
      <c r="S312" s="156" t="str">
        <f t="shared" si="134"/>
        <v/>
      </c>
      <c r="T312" s="140">
        <f t="shared" ca="1" si="128"/>
        <v>4</v>
      </c>
      <c r="U312" s="139" t="str">
        <f t="shared" si="125"/>
        <v/>
      </c>
      <c r="V312" s="139" t="str">
        <f t="shared" si="126"/>
        <v/>
      </c>
      <c r="W312" s="139" t="str">
        <f t="shared" si="127"/>
        <v/>
      </c>
      <c r="X312" s="327"/>
    </row>
    <row r="313" spans="1:25" ht="18.75" x14ac:dyDescent="0.25">
      <c r="A313" s="151">
        <v>63</v>
      </c>
      <c r="B313" s="331" t="str">
        <f>'Funding 2019'!$K$87</f>
        <v>CGMM2019V167</v>
      </c>
      <c r="C313" s="283">
        <v>6100000775</v>
      </c>
      <c r="D313" s="332" t="s">
        <v>642</v>
      </c>
      <c r="E313" s="284" t="s">
        <v>514</v>
      </c>
      <c r="F313" s="280"/>
      <c r="G313" s="280">
        <f>0*676484172</f>
        <v>0</v>
      </c>
      <c r="H313" s="280">
        <v>681181568</v>
      </c>
      <c r="I313" s="329"/>
      <c r="J313" s="154">
        <f t="shared" si="130"/>
        <v>0</v>
      </c>
      <c r="K313" s="154">
        <f t="shared" si="131"/>
        <v>0</v>
      </c>
      <c r="L313" s="154">
        <f t="shared" si="132"/>
        <v>41991.21982492911</v>
      </c>
      <c r="M313" s="329"/>
      <c r="N313" s="284" t="s">
        <v>517</v>
      </c>
      <c r="O313" s="318">
        <v>43687</v>
      </c>
      <c r="P313" s="318">
        <v>43650</v>
      </c>
      <c r="Q313" s="156">
        <f t="shared" si="133"/>
        <v>43647</v>
      </c>
      <c r="R313" s="318">
        <v>43686</v>
      </c>
      <c r="S313" s="156">
        <f t="shared" si="134"/>
        <v>43678</v>
      </c>
      <c r="T313" s="140" t="str">
        <f t="shared" ca="1" si="128"/>
        <v/>
      </c>
      <c r="U313" s="139" t="str">
        <f t="shared" si="125"/>
        <v/>
      </c>
      <c r="V313" s="139" t="str">
        <f t="shared" si="126"/>
        <v/>
      </c>
      <c r="W313" s="139" t="str">
        <f t="shared" si="127"/>
        <v/>
      </c>
      <c r="X313" s="327"/>
      <c r="Y313" s="139" t="s">
        <v>803</v>
      </c>
    </row>
    <row r="314" spans="1:25" ht="18.75" x14ac:dyDescent="0.25">
      <c r="A314" s="151">
        <v>64</v>
      </c>
      <c r="B314" s="106" t="str">
        <f>'Funding 2019'!$K$87</f>
        <v>CGMM2019V167</v>
      </c>
      <c r="C314" s="151">
        <v>2100011702</v>
      </c>
      <c r="D314" s="141">
        <v>4500135039</v>
      </c>
      <c r="E314" s="152" t="s">
        <v>515</v>
      </c>
      <c r="F314" s="166">
        <f>135000000*0</f>
        <v>0</v>
      </c>
      <c r="G314" s="166"/>
      <c r="H314" s="166">
        <v>135000000</v>
      </c>
      <c r="J314" s="154">
        <f t="shared" si="130"/>
        <v>0</v>
      </c>
      <c r="K314" s="154">
        <f t="shared" si="131"/>
        <v>0</v>
      </c>
      <c r="L314" s="154">
        <f t="shared" si="132"/>
        <v>8322.0318086549123</v>
      </c>
      <c r="N314" s="152" t="s">
        <v>198</v>
      </c>
      <c r="O314" s="155">
        <v>43738</v>
      </c>
      <c r="P314" s="155">
        <v>43649</v>
      </c>
      <c r="Q314" s="156">
        <f t="shared" si="133"/>
        <v>43647</v>
      </c>
      <c r="R314" s="155">
        <v>43735</v>
      </c>
      <c r="S314" s="156">
        <f t="shared" si="134"/>
        <v>43709</v>
      </c>
      <c r="T314" s="140" t="str">
        <f t="shared" ca="1" si="128"/>
        <v/>
      </c>
      <c r="U314" s="139" t="str">
        <f t="shared" si="125"/>
        <v/>
      </c>
      <c r="V314" s="139" t="str">
        <f t="shared" si="126"/>
        <v/>
      </c>
      <c r="W314" s="139" t="str">
        <f t="shared" si="127"/>
        <v/>
      </c>
      <c r="X314" s="327"/>
    </row>
    <row r="315" spans="1:25" ht="18.75" x14ac:dyDescent="0.25">
      <c r="A315" s="151">
        <v>65</v>
      </c>
      <c r="B315" s="106" t="str">
        <f>'Funding 2019'!$K$87</f>
        <v>CGMM2019V167</v>
      </c>
      <c r="C315" s="151">
        <v>2100011699</v>
      </c>
      <c r="D315" s="141">
        <v>4500135035</v>
      </c>
      <c r="E315" s="152" t="s">
        <v>516</v>
      </c>
      <c r="F315" s="166">
        <f>75500000*0</f>
        <v>0</v>
      </c>
      <c r="G315" s="166"/>
      <c r="H315" s="183">
        <v>67500000</v>
      </c>
      <c r="J315" s="154">
        <f t="shared" si="130"/>
        <v>0</v>
      </c>
      <c r="K315" s="154">
        <f t="shared" si="131"/>
        <v>0</v>
      </c>
      <c r="L315" s="154">
        <f t="shared" si="132"/>
        <v>4161.0159043274562</v>
      </c>
      <c r="N315" s="152" t="s">
        <v>518</v>
      </c>
      <c r="O315" s="155">
        <v>43756</v>
      </c>
      <c r="P315" s="155">
        <v>43649</v>
      </c>
      <c r="Q315" s="156">
        <f t="shared" si="133"/>
        <v>43647</v>
      </c>
      <c r="R315" s="155">
        <v>43754</v>
      </c>
      <c r="S315" s="156">
        <f t="shared" si="134"/>
        <v>43739</v>
      </c>
      <c r="T315" s="140" t="str">
        <f t="shared" ca="1" si="128"/>
        <v/>
      </c>
      <c r="U315" s="139" t="str">
        <f t="shared" si="125"/>
        <v/>
      </c>
      <c r="V315" s="139" t="str">
        <f t="shared" si="126"/>
        <v/>
      </c>
      <c r="W315" s="139" t="str">
        <f t="shared" si="127"/>
        <v/>
      </c>
      <c r="X315" s="327"/>
      <c r="Y315" s="139" t="s">
        <v>790</v>
      </c>
    </row>
    <row r="316" spans="1:25" ht="18.75" x14ac:dyDescent="0.25">
      <c r="A316" s="151">
        <v>66</v>
      </c>
      <c r="B316" s="106" t="str">
        <f>'Funding 2019'!$K$87</f>
        <v>CGMM2019V167</v>
      </c>
      <c r="C316" s="151"/>
      <c r="D316" s="151">
        <v>4500134304</v>
      </c>
      <c r="E316" s="152" t="s">
        <v>519</v>
      </c>
      <c r="F316" s="166"/>
      <c r="G316" s="166"/>
      <c r="H316" s="166">
        <v>1000000000</v>
      </c>
      <c r="J316" s="154">
        <f t="shared" si="130"/>
        <v>0</v>
      </c>
      <c r="K316" s="154">
        <f t="shared" si="131"/>
        <v>0</v>
      </c>
      <c r="L316" s="154">
        <f t="shared" si="132"/>
        <v>61644.680064110464</v>
      </c>
      <c r="N316" s="152" t="s">
        <v>199</v>
      </c>
      <c r="O316" s="155">
        <v>43462</v>
      </c>
      <c r="P316" s="155">
        <v>43432</v>
      </c>
      <c r="Q316" s="156">
        <f t="shared" si="133"/>
        <v>43465</v>
      </c>
      <c r="R316" s="155">
        <v>43647</v>
      </c>
      <c r="S316" s="156">
        <f t="shared" si="134"/>
        <v>43647</v>
      </c>
      <c r="T316" s="140" t="str">
        <f t="shared" ca="1" si="128"/>
        <v/>
      </c>
      <c r="U316" s="139" t="str">
        <f t="shared" si="125"/>
        <v/>
      </c>
      <c r="V316" s="139" t="str">
        <f t="shared" si="126"/>
        <v/>
      </c>
      <c r="W316" s="139" t="str">
        <f t="shared" si="127"/>
        <v/>
      </c>
      <c r="X316" s="327"/>
    </row>
    <row r="317" spans="1:25" ht="18.75" x14ac:dyDescent="0.25">
      <c r="A317" s="151">
        <v>68</v>
      </c>
      <c r="B317" s="106" t="str">
        <f>'Funding 2019'!$K$87</f>
        <v>CGMM2019V167</v>
      </c>
      <c r="C317" s="151">
        <v>2100011716</v>
      </c>
      <c r="D317" s="151">
        <v>4500135153</v>
      </c>
      <c r="E317" s="152" t="s">
        <v>577</v>
      </c>
      <c r="F317" s="166">
        <f>137541181*0</f>
        <v>0</v>
      </c>
      <c r="G317" s="166"/>
      <c r="H317" s="183">
        <v>131599820</v>
      </c>
      <c r="J317" s="154">
        <f t="shared" si="130"/>
        <v>0</v>
      </c>
      <c r="K317" s="154">
        <f t="shared" si="131"/>
        <v>0</v>
      </c>
      <c r="L317" s="154">
        <f t="shared" si="132"/>
        <v>8112.4288003945258</v>
      </c>
      <c r="N317" s="152" t="s">
        <v>552</v>
      </c>
      <c r="O317" s="155">
        <v>43700</v>
      </c>
      <c r="P317" s="155">
        <v>43658</v>
      </c>
      <c r="Q317" s="156">
        <f t="shared" si="133"/>
        <v>43647</v>
      </c>
      <c r="R317" s="155">
        <v>43746</v>
      </c>
      <c r="S317" s="156">
        <f t="shared" si="134"/>
        <v>43739</v>
      </c>
      <c r="T317" s="140" t="str">
        <f t="shared" ca="1" si="128"/>
        <v/>
      </c>
      <c r="U317" s="139" t="str">
        <f t="shared" si="125"/>
        <v/>
      </c>
      <c r="V317" s="139" t="str">
        <f t="shared" si="126"/>
        <v/>
      </c>
      <c r="W317" s="139" t="str">
        <f t="shared" si="127"/>
        <v/>
      </c>
      <c r="X317" s="327"/>
    </row>
    <row r="318" spans="1:25" ht="18.75" x14ac:dyDescent="0.25">
      <c r="A318" s="151">
        <v>69</v>
      </c>
      <c r="B318" s="106" t="str">
        <f>'Funding 2019'!$K$87</f>
        <v>CGMM2019V167</v>
      </c>
      <c r="C318" s="151">
        <v>2100011719</v>
      </c>
      <c r="D318" s="151">
        <v>4500135107</v>
      </c>
      <c r="E318" s="152" t="s">
        <v>578</v>
      </c>
      <c r="F318" s="166">
        <f>60100000*0</f>
        <v>0</v>
      </c>
      <c r="G318" s="166"/>
      <c r="H318" s="166">
        <v>55900000</v>
      </c>
      <c r="J318" s="154">
        <f t="shared" si="130"/>
        <v>0</v>
      </c>
      <c r="K318" s="154">
        <f t="shared" si="131"/>
        <v>0</v>
      </c>
      <c r="L318" s="154">
        <f t="shared" si="132"/>
        <v>3445.9376155837749</v>
      </c>
      <c r="N318" s="152" t="s">
        <v>552</v>
      </c>
      <c r="O318" s="155">
        <v>43698</v>
      </c>
      <c r="P318" s="155">
        <v>43660</v>
      </c>
      <c r="Q318" s="156">
        <f t="shared" si="133"/>
        <v>43647</v>
      </c>
      <c r="R318" s="155">
        <v>43703</v>
      </c>
      <c r="S318" s="156">
        <f t="shared" si="134"/>
        <v>43678</v>
      </c>
      <c r="T318" s="140" t="str">
        <f t="shared" ca="1" si="128"/>
        <v/>
      </c>
      <c r="U318" s="139" t="str">
        <f t="shared" si="125"/>
        <v/>
      </c>
      <c r="V318" s="139" t="str">
        <f t="shared" si="126"/>
        <v/>
      </c>
      <c r="W318" s="139" t="str">
        <f t="shared" si="127"/>
        <v/>
      </c>
      <c r="X318" s="327"/>
    </row>
    <row r="319" spans="1:25" ht="18.75" x14ac:dyDescent="0.25">
      <c r="A319" s="151">
        <v>70</v>
      </c>
      <c r="B319" s="106" t="str">
        <f>'Funding 2019'!$K$87</f>
        <v>CGMM2019V167</v>
      </c>
      <c r="C319" s="151">
        <v>2100011720</v>
      </c>
      <c r="D319" s="151">
        <v>4500135094</v>
      </c>
      <c r="E319" s="152" t="s">
        <v>579</v>
      </c>
      <c r="F319" s="166">
        <f>33103545*0</f>
        <v>0</v>
      </c>
      <c r="G319" s="166">
        <f>0*29588220</f>
        <v>0</v>
      </c>
      <c r="H319" s="166">
        <v>30061104</v>
      </c>
      <c r="J319" s="154">
        <f t="shared" si="130"/>
        <v>0</v>
      </c>
      <c r="K319" s="154">
        <f t="shared" si="131"/>
        <v>0</v>
      </c>
      <c r="L319" s="154">
        <f t="shared" si="132"/>
        <v>1853.1071384539514</v>
      </c>
      <c r="N319" s="152" t="s">
        <v>552</v>
      </c>
      <c r="O319" s="155">
        <v>43697</v>
      </c>
      <c r="P319" s="155">
        <v>43660</v>
      </c>
      <c r="Q319" s="156">
        <f t="shared" si="133"/>
        <v>43647</v>
      </c>
      <c r="R319" s="155">
        <v>43686</v>
      </c>
      <c r="S319" s="156">
        <f t="shared" si="134"/>
        <v>43678</v>
      </c>
      <c r="T319" s="140" t="str">
        <f t="shared" ca="1" si="128"/>
        <v/>
      </c>
      <c r="U319" s="139" t="str">
        <f t="shared" si="125"/>
        <v/>
      </c>
      <c r="V319" s="139" t="str">
        <f t="shared" si="126"/>
        <v/>
      </c>
      <c r="W319" s="139" t="str">
        <f t="shared" si="127"/>
        <v/>
      </c>
      <c r="X319" s="327"/>
    </row>
    <row r="320" spans="1:25" ht="18.75" x14ac:dyDescent="0.25">
      <c r="A320" s="151">
        <v>71</v>
      </c>
      <c r="B320" s="106" t="str">
        <f>'Funding 2019'!$K$87</f>
        <v>CGMM2019V167</v>
      </c>
      <c r="C320" s="151">
        <v>2100011727</v>
      </c>
      <c r="D320" s="151">
        <v>4500135100</v>
      </c>
      <c r="E320" s="152" t="s">
        <v>589</v>
      </c>
      <c r="F320" s="166">
        <f>24000000*0</f>
        <v>0</v>
      </c>
      <c r="G320" s="166">
        <f>0*21600000</f>
        <v>0</v>
      </c>
      <c r="H320" s="166">
        <v>21600000</v>
      </c>
      <c r="J320" s="154">
        <f t="shared" si="130"/>
        <v>0</v>
      </c>
      <c r="K320" s="154">
        <f t="shared" si="131"/>
        <v>0</v>
      </c>
      <c r="L320" s="154">
        <f t="shared" si="132"/>
        <v>1331.525089384786</v>
      </c>
      <c r="N320" s="152" t="s">
        <v>171</v>
      </c>
      <c r="O320" s="155">
        <v>43700</v>
      </c>
      <c r="P320" s="155">
        <v>43663</v>
      </c>
      <c r="Q320" s="156">
        <f t="shared" si="133"/>
        <v>43647</v>
      </c>
      <c r="R320" s="155">
        <v>43691</v>
      </c>
      <c r="S320" s="156">
        <f t="shared" si="134"/>
        <v>43678</v>
      </c>
      <c r="T320" s="140" t="str">
        <f t="shared" ca="1" si="128"/>
        <v/>
      </c>
      <c r="U320" s="139" t="str">
        <f t="shared" si="125"/>
        <v/>
      </c>
      <c r="V320" s="139" t="str">
        <f t="shared" si="126"/>
        <v/>
      </c>
      <c r="W320" s="139" t="str">
        <f t="shared" si="127"/>
        <v/>
      </c>
      <c r="X320" s="327"/>
    </row>
    <row r="321" spans="1:24" ht="18.75" x14ac:dyDescent="0.25">
      <c r="A321" s="151">
        <v>72</v>
      </c>
      <c r="B321" s="106" t="str">
        <f>'Funding 2019'!$K$87</f>
        <v>CGMM2019V167</v>
      </c>
      <c r="C321" s="151">
        <v>2100011734</v>
      </c>
      <c r="D321" s="151">
        <v>4500135133</v>
      </c>
      <c r="E321" s="152" t="s">
        <v>609</v>
      </c>
      <c r="F321" s="166">
        <f>42077100*0</f>
        <v>0</v>
      </c>
      <c r="G321" s="166"/>
      <c r="H321" s="166">
        <v>21880092</v>
      </c>
      <c r="J321" s="154">
        <f t="shared" si="130"/>
        <v>0</v>
      </c>
      <c r="K321" s="154">
        <f t="shared" si="131"/>
        <v>0</v>
      </c>
      <c r="L321" s="154">
        <f t="shared" si="132"/>
        <v>1348.7912711133029</v>
      </c>
      <c r="N321" s="152" t="s">
        <v>198</v>
      </c>
      <c r="O321" s="155">
        <v>43738</v>
      </c>
      <c r="P321" s="155">
        <v>43670</v>
      </c>
      <c r="Q321" s="156">
        <f t="shared" si="133"/>
        <v>43647</v>
      </c>
      <c r="R321" s="155">
        <v>43704</v>
      </c>
      <c r="S321" s="156">
        <f t="shared" si="134"/>
        <v>43678</v>
      </c>
      <c r="T321" s="140" t="str">
        <f t="shared" ca="1" si="128"/>
        <v/>
      </c>
      <c r="U321" s="139" t="str">
        <f t="shared" si="125"/>
        <v/>
      </c>
      <c r="V321" s="139" t="str">
        <f t="shared" si="126"/>
        <v/>
      </c>
      <c r="W321" s="139" t="str">
        <f t="shared" si="127"/>
        <v/>
      </c>
      <c r="X321" s="327"/>
    </row>
    <row r="322" spans="1:24" ht="18.75" x14ac:dyDescent="0.25">
      <c r="A322" s="151">
        <v>73</v>
      </c>
      <c r="B322" s="106" t="str">
        <f>'Funding 2019'!$K$87</f>
        <v>CGMM2019V167</v>
      </c>
      <c r="C322" s="151">
        <v>2100011735</v>
      </c>
      <c r="D322" s="151">
        <v>4500135134</v>
      </c>
      <c r="E322" s="152" t="s">
        <v>610</v>
      </c>
      <c r="F322" s="166">
        <f>69000000*0</f>
        <v>0</v>
      </c>
      <c r="G322" s="166"/>
      <c r="H322" s="166">
        <v>57000000</v>
      </c>
      <c r="J322" s="154">
        <f t="shared" si="130"/>
        <v>0</v>
      </c>
      <c r="K322" s="154">
        <f t="shared" si="131"/>
        <v>0</v>
      </c>
      <c r="L322" s="154">
        <f t="shared" si="132"/>
        <v>3513.7467636542965</v>
      </c>
      <c r="N322" s="152" t="s">
        <v>198</v>
      </c>
      <c r="O322" s="155">
        <v>43738</v>
      </c>
      <c r="P322" s="155">
        <v>43670</v>
      </c>
      <c r="Q322" s="156">
        <f t="shared" si="133"/>
        <v>43647</v>
      </c>
      <c r="R322" s="155">
        <v>43735</v>
      </c>
      <c r="S322" s="156">
        <f t="shared" si="134"/>
        <v>43709</v>
      </c>
      <c r="T322" s="140" t="str">
        <f t="shared" ca="1" si="128"/>
        <v/>
      </c>
      <c r="U322" s="139" t="str">
        <f t="shared" si="125"/>
        <v/>
      </c>
      <c r="V322" s="139" t="str">
        <f t="shared" si="126"/>
        <v/>
      </c>
      <c r="W322" s="139" t="str">
        <f t="shared" si="127"/>
        <v/>
      </c>
      <c r="X322" s="327"/>
    </row>
    <row r="323" spans="1:24" ht="18.75" x14ac:dyDescent="0.25">
      <c r="A323" s="151">
        <v>74</v>
      </c>
      <c r="B323" s="106" t="str">
        <f>'Funding 2019'!$K$87</f>
        <v>CGMM2019V167</v>
      </c>
      <c r="C323" s="151">
        <v>2100011738</v>
      </c>
      <c r="D323" s="151">
        <v>4500135137</v>
      </c>
      <c r="E323" s="152" t="s">
        <v>612</v>
      </c>
      <c r="F323" s="166">
        <f>200000000*0</f>
        <v>0</v>
      </c>
      <c r="G323" s="305">
        <v>180000000</v>
      </c>
      <c r="H323" s="166"/>
      <c r="J323" s="154">
        <f t="shared" si="130"/>
        <v>0</v>
      </c>
      <c r="K323" s="154">
        <f t="shared" si="131"/>
        <v>11096.042411539884</v>
      </c>
      <c r="L323" s="154">
        <f t="shared" si="132"/>
        <v>0</v>
      </c>
      <c r="N323" s="152" t="s">
        <v>198</v>
      </c>
      <c r="O323" s="155">
        <v>43769</v>
      </c>
      <c r="P323" s="155">
        <v>43670</v>
      </c>
      <c r="Q323" s="156">
        <f t="shared" si="133"/>
        <v>43647</v>
      </c>
      <c r="R323" s="155"/>
      <c r="S323" s="156" t="str">
        <f t="shared" si="134"/>
        <v/>
      </c>
      <c r="T323" s="140">
        <f t="shared" ca="1" si="128"/>
        <v>4</v>
      </c>
      <c r="U323" s="139" t="str">
        <f t="shared" si="125"/>
        <v/>
      </c>
      <c r="V323" s="139" t="str">
        <f t="shared" si="126"/>
        <v/>
      </c>
      <c r="W323" s="139" t="str">
        <f t="shared" si="127"/>
        <v/>
      </c>
      <c r="X323" s="327"/>
    </row>
    <row r="324" spans="1:24" ht="18.75" x14ac:dyDescent="0.25">
      <c r="A324" s="151">
        <v>75</v>
      </c>
      <c r="B324" s="106" t="str">
        <f>'Funding 2019'!$K$87</f>
        <v>CGMM2019V167</v>
      </c>
      <c r="C324" s="151">
        <v>5500011806</v>
      </c>
      <c r="D324" s="151">
        <v>1920202315</v>
      </c>
      <c r="E324" s="152" t="s">
        <v>617</v>
      </c>
      <c r="F324" s="166"/>
      <c r="G324" s="166"/>
      <c r="H324" s="166">
        <v>15700000</v>
      </c>
      <c r="J324" s="154">
        <f t="shared" si="130"/>
        <v>0</v>
      </c>
      <c r="K324" s="154">
        <f t="shared" si="131"/>
        <v>0</v>
      </c>
      <c r="L324" s="154">
        <f t="shared" si="132"/>
        <v>967.82147700653434</v>
      </c>
      <c r="N324" s="152" t="s">
        <v>198</v>
      </c>
      <c r="O324" s="155">
        <v>43738</v>
      </c>
      <c r="P324" s="155">
        <v>43670</v>
      </c>
      <c r="Q324" s="156">
        <f t="shared" si="133"/>
        <v>43647</v>
      </c>
      <c r="R324" s="155">
        <v>43718</v>
      </c>
      <c r="S324" s="156">
        <f t="shared" si="134"/>
        <v>43709</v>
      </c>
      <c r="T324" s="140" t="str">
        <f t="shared" ref="T324:T387" ca="1" si="136">IF(R324="",IF(O324="",IF(P324="","",IF(P324-TODAY()&lt;=0,TODAY()-P324,"")),IF(O324-TODAY()&lt;=0,TODAY()-O324,"")),IF(SUM(F324:G324)&lt;&gt;0,IF(O324="",IF(P324="","",IF(P324-TODAY()&lt;=0,TODAY()-P324,"")),IF(O324-TODAY()&lt;=0,TODAY()-O324,"")),""))</f>
        <v/>
      </c>
      <c r="U324" s="139" t="str">
        <f t="shared" si="125"/>
        <v/>
      </c>
      <c r="V324" s="139" t="str">
        <f t="shared" si="126"/>
        <v/>
      </c>
      <c r="W324" s="139" t="str">
        <f t="shared" si="127"/>
        <v/>
      </c>
      <c r="X324" s="327"/>
    </row>
    <row r="325" spans="1:24" ht="18.75" x14ac:dyDescent="0.25">
      <c r="A325" s="151">
        <v>76</v>
      </c>
      <c r="B325" s="106" t="str">
        <f>'Funding 2019'!$K$87</f>
        <v>CGMM2019V167</v>
      </c>
      <c r="C325" s="151">
        <v>2100011739</v>
      </c>
      <c r="D325" s="151">
        <v>4500135127</v>
      </c>
      <c r="E325" s="152" t="s">
        <v>620</v>
      </c>
      <c r="F325" s="166">
        <f>18102960*0</f>
        <v>0</v>
      </c>
      <c r="G325" s="166"/>
      <c r="H325" s="166">
        <v>16370172</v>
      </c>
      <c r="J325" s="154">
        <f t="shared" si="130"/>
        <v>0</v>
      </c>
      <c r="K325" s="154">
        <f t="shared" si="131"/>
        <v>0</v>
      </c>
      <c r="L325" s="154">
        <f t="shared" si="132"/>
        <v>1009.1340155344594</v>
      </c>
      <c r="N325" s="152" t="s">
        <v>552</v>
      </c>
      <c r="O325" s="155">
        <v>43700</v>
      </c>
      <c r="P325" s="155">
        <v>43670</v>
      </c>
      <c r="Q325" s="156">
        <f t="shared" si="133"/>
        <v>43647</v>
      </c>
      <c r="R325" s="155">
        <v>43712</v>
      </c>
      <c r="S325" s="156">
        <f t="shared" si="134"/>
        <v>43709</v>
      </c>
      <c r="T325" s="140" t="str">
        <f t="shared" ca="1" si="136"/>
        <v/>
      </c>
      <c r="U325" s="139" t="str">
        <f t="shared" ref="U325:U388" si="137">IF(A325="","",IF(AND(J325&gt;0,Q325=""), "RED",""))</f>
        <v/>
      </c>
      <c r="V325" s="139" t="str">
        <f t="shared" ref="V325:V388" si="138">IF(A325="","",IF(AND(K325&gt;0,Q325=""), "BLUE",""))</f>
        <v/>
      </c>
      <c r="W325" s="139" t="str">
        <f t="shared" ref="W325:W388" si="139">IF(A325="","",IF(AND(L325&gt;0,S325=""), "YELLOW",""))</f>
        <v/>
      </c>
      <c r="X325" s="327"/>
    </row>
    <row r="326" spans="1:24" ht="18.75" x14ac:dyDescent="0.25">
      <c r="A326" s="151">
        <v>77</v>
      </c>
      <c r="B326" s="106" t="str">
        <f>'Funding 2019'!$K$87</f>
        <v>CGMM2019V167</v>
      </c>
      <c r="C326" s="151">
        <v>2100011750</v>
      </c>
      <c r="D326" s="151">
        <v>4500135196</v>
      </c>
      <c r="E326" s="152" t="s">
        <v>636</v>
      </c>
      <c r="F326" s="166">
        <f>0*139000000</f>
        <v>0</v>
      </c>
      <c r="G326" s="166"/>
      <c r="H326" s="166">
        <v>112950000</v>
      </c>
      <c r="J326" s="154">
        <f t="shared" si="130"/>
        <v>0</v>
      </c>
      <c r="K326" s="154">
        <f t="shared" si="131"/>
        <v>0</v>
      </c>
      <c r="L326" s="154">
        <f t="shared" si="132"/>
        <v>6962.7666132412769</v>
      </c>
      <c r="N326" s="152" t="s">
        <v>177</v>
      </c>
      <c r="O326" s="155">
        <v>43749</v>
      </c>
      <c r="P326" s="155">
        <v>43676</v>
      </c>
      <c r="Q326" s="156">
        <f t="shared" si="133"/>
        <v>43647</v>
      </c>
      <c r="R326" s="155">
        <v>43732</v>
      </c>
      <c r="S326" s="156">
        <f t="shared" si="134"/>
        <v>43709</v>
      </c>
      <c r="T326" s="140" t="str">
        <f t="shared" ca="1" si="136"/>
        <v/>
      </c>
      <c r="U326" s="139" t="str">
        <f t="shared" si="137"/>
        <v/>
      </c>
      <c r="V326" s="139" t="str">
        <f t="shared" si="138"/>
        <v/>
      </c>
      <c r="W326" s="139" t="str">
        <f t="shared" si="139"/>
        <v/>
      </c>
      <c r="X326" s="327"/>
    </row>
    <row r="327" spans="1:24" ht="18.75" x14ac:dyDescent="0.25">
      <c r="A327" s="151">
        <v>78</v>
      </c>
      <c r="B327" s="106" t="str">
        <f>'Funding 2019'!$K$87</f>
        <v>CGMM2019V167</v>
      </c>
      <c r="C327" s="151">
        <v>6100000773</v>
      </c>
      <c r="D327" s="151" t="s">
        <v>644</v>
      </c>
      <c r="E327" s="152" t="s">
        <v>490</v>
      </c>
      <c r="F327" s="166"/>
      <c r="G327" s="166">
        <f>0*14653548</f>
        <v>0</v>
      </c>
      <c r="H327" s="166">
        <v>20220186</v>
      </c>
      <c r="J327" s="154">
        <f t="shared" si="130"/>
        <v>0</v>
      </c>
      <c r="K327" s="154">
        <f t="shared" si="131"/>
        <v>0</v>
      </c>
      <c r="L327" s="154">
        <f t="shared" si="132"/>
        <v>1246.4668968068056</v>
      </c>
      <c r="N327" s="152"/>
      <c r="O327" s="155">
        <v>43697</v>
      </c>
      <c r="P327" s="155">
        <v>43683</v>
      </c>
      <c r="Q327" s="156">
        <f t="shared" si="133"/>
        <v>43678</v>
      </c>
      <c r="R327" s="155">
        <v>43685</v>
      </c>
      <c r="S327" s="156">
        <f t="shared" si="134"/>
        <v>43678</v>
      </c>
      <c r="T327" s="140" t="str">
        <f t="shared" ca="1" si="136"/>
        <v/>
      </c>
      <c r="U327" s="139" t="str">
        <f t="shared" si="137"/>
        <v/>
      </c>
      <c r="V327" s="139" t="str">
        <f t="shared" si="138"/>
        <v/>
      </c>
      <c r="W327" s="139" t="str">
        <f t="shared" si="139"/>
        <v/>
      </c>
      <c r="X327" s="327"/>
    </row>
    <row r="328" spans="1:24" ht="18.75" x14ac:dyDescent="0.25">
      <c r="A328" s="151">
        <v>79</v>
      </c>
      <c r="B328" s="106" t="str">
        <f>'Funding 2019'!$K$87</f>
        <v>CGMM2019V167</v>
      </c>
      <c r="C328" s="151"/>
      <c r="D328" s="151" t="s">
        <v>645</v>
      </c>
      <c r="E328" s="152" t="s">
        <v>430</v>
      </c>
      <c r="F328" s="166"/>
      <c r="G328" s="166">
        <f>0*9696960</f>
        <v>0</v>
      </c>
      <c r="H328" s="166">
        <v>14154206</v>
      </c>
      <c r="J328" s="154">
        <f t="shared" si="130"/>
        <v>0</v>
      </c>
      <c r="K328" s="154">
        <f t="shared" si="131"/>
        <v>0</v>
      </c>
      <c r="L328" s="154">
        <f t="shared" si="132"/>
        <v>872.53150043151277</v>
      </c>
      <c r="N328" s="152"/>
      <c r="O328" s="155">
        <v>43683</v>
      </c>
      <c r="P328" s="155">
        <v>43683</v>
      </c>
      <c r="Q328" s="156">
        <f t="shared" si="133"/>
        <v>43678</v>
      </c>
      <c r="R328" s="155">
        <v>43685</v>
      </c>
      <c r="S328" s="156">
        <f t="shared" si="134"/>
        <v>43678</v>
      </c>
      <c r="T328" s="140" t="str">
        <f t="shared" ca="1" si="136"/>
        <v/>
      </c>
      <c r="U328" s="139" t="str">
        <f t="shared" si="137"/>
        <v/>
      </c>
      <c r="V328" s="139" t="str">
        <f t="shared" si="138"/>
        <v/>
      </c>
      <c r="W328" s="139" t="str">
        <f t="shared" si="139"/>
        <v/>
      </c>
      <c r="X328" s="327"/>
    </row>
    <row r="329" spans="1:24" ht="18.75" x14ac:dyDescent="0.25">
      <c r="A329" s="151">
        <v>81</v>
      </c>
      <c r="B329" s="106" t="str">
        <f>'Funding 2019'!$K$87</f>
        <v>CGMM2019V167</v>
      </c>
      <c r="C329" s="151"/>
      <c r="D329" s="151">
        <v>4500134731</v>
      </c>
      <c r="E329" s="152" t="s">
        <v>375</v>
      </c>
      <c r="F329" s="166"/>
      <c r="G329" s="166"/>
      <c r="H329" s="166">
        <v>34000000</v>
      </c>
      <c r="J329" s="154">
        <f t="shared" si="130"/>
        <v>0</v>
      </c>
      <c r="K329" s="154">
        <f t="shared" si="131"/>
        <v>0</v>
      </c>
      <c r="L329" s="154">
        <f t="shared" si="132"/>
        <v>2095.919122179756</v>
      </c>
      <c r="N329" s="152"/>
      <c r="O329" s="155"/>
      <c r="P329" s="155">
        <v>43672</v>
      </c>
      <c r="Q329" s="156">
        <f t="shared" si="133"/>
        <v>43647</v>
      </c>
      <c r="R329" s="155">
        <v>43672</v>
      </c>
      <c r="S329" s="156">
        <f t="shared" si="134"/>
        <v>43647</v>
      </c>
      <c r="T329" s="140" t="str">
        <f t="shared" ca="1" si="136"/>
        <v/>
      </c>
      <c r="U329" s="139" t="str">
        <f t="shared" si="137"/>
        <v/>
      </c>
      <c r="V329" s="139" t="str">
        <f t="shared" si="138"/>
        <v/>
      </c>
      <c r="W329" s="139" t="str">
        <f t="shared" si="139"/>
        <v/>
      </c>
      <c r="X329" s="327"/>
    </row>
    <row r="330" spans="1:24" ht="18.75" x14ac:dyDescent="0.25">
      <c r="A330" s="151">
        <v>82</v>
      </c>
      <c r="B330" s="106" t="str">
        <f>'Funding 2019'!$K$87</f>
        <v>CGMM2019V167</v>
      </c>
      <c r="C330" s="151"/>
      <c r="D330" s="151">
        <v>4500134965</v>
      </c>
      <c r="E330" s="152" t="s">
        <v>484</v>
      </c>
      <c r="F330" s="166"/>
      <c r="G330" s="166"/>
      <c r="H330" s="166">
        <v>62779500</v>
      </c>
      <c r="J330" s="154">
        <f t="shared" si="130"/>
        <v>0</v>
      </c>
      <c r="K330" s="154">
        <f t="shared" si="131"/>
        <v>0</v>
      </c>
      <c r="L330" s="154">
        <f t="shared" si="132"/>
        <v>3870.022192084823</v>
      </c>
      <c r="N330" s="152"/>
      <c r="O330" s="155"/>
      <c r="P330" s="155">
        <v>43669</v>
      </c>
      <c r="Q330" s="156">
        <f t="shared" si="133"/>
        <v>43647</v>
      </c>
      <c r="R330" s="155">
        <v>43669</v>
      </c>
      <c r="S330" s="156">
        <f t="shared" si="134"/>
        <v>43647</v>
      </c>
      <c r="T330" s="140" t="str">
        <f t="shared" ca="1" si="136"/>
        <v/>
      </c>
      <c r="U330" s="139" t="str">
        <f t="shared" si="137"/>
        <v/>
      </c>
      <c r="V330" s="139" t="str">
        <f t="shared" si="138"/>
        <v/>
      </c>
      <c r="W330" s="139" t="str">
        <f t="shared" si="139"/>
        <v/>
      </c>
      <c r="X330" s="327"/>
    </row>
    <row r="331" spans="1:24" ht="18.75" x14ac:dyDescent="0.25">
      <c r="A331" s="151">
        <v>83</v>
      </c>
      <c r="B331" s="106" t="str">
        <f>'Funding 2019'!$K$87</f>
        <v>CGMM2019V167</v>
      </c>
      <c r="C331" s="151"/>
      <c r="D331" s="151">
        <v>4500134997</v>
      </c>
      <c r="E331" s="152" t="s">
        <v>483</v>
      </c>
      <c r="F331" s="166"/>
      <c r="G331" s="166"/>
      <c r="H331" s="166">
        <v>32510000</v>
      </c>
      <c r="J331" s="154">
        <f t="shared" si="130"/>
        <v>0</v>
      </c>
      <c r="K331" s="154">
        <f t="shared" si="131"/>
        <v>0</v>
      </c>
      <c r="L331" s="154">
        <f t="shared" si="132"/>
        <v>2004.0685488842314</v>
      </c>
      <c r="N331" s="152"/>
      <c r="O331" s="155"/>
      <c r="P331" s="155">
        <v>43664</v>
      </c>
      <c r="Q331" s="156">
        <f t="shared" si="133"/>
        <v>43647</v>
      </c>
      <c r="R331" s="155">
        <v>43664</v>
      </c>
      <c r="S331" s="156">
        <f t="shared" si="134"/>
        <v>43647</v>
      </c>
      <c r="T331" s="140" t="str">
        <f t="shared" ca="1" si="136"/>
        <v/>
      </c>
      <c r="U331" s="139" t="str">
        <f t="shared" si="137"/>
        <v/>
      </c>
      <c r="V331" s="139" t="str">
        <f t="shared" si="138"/>
        <v/>
      </c>
      <c r="W331" s="139" t="str">
        <f t="shared" si="139"/>
        <v/>
      </c>
      <c r="X331" s="327"/>
    </row>
    <row r="332" spans="1:24" ht="18.75" x14ac:dyDescent="0.25">
      <c r="A332" s="151">
        <v>85</v>
      </c>
      <c r="B332" s="106" t="str">
        <f>'Funding 2019'!$K$87</f>
        <v>CGMM2019V167</v>
      </c>
      <c r="C332" s="151"/>
      <c r="D332" s="164">
        <v>121236833</v>
      </c>
      <c r="E332" s="165" t="s">
        <v>772</v>
      </c>
      <c r="F332" s="166"/>
      <c r="G332" s="166"/>
      <c r="H332" s="166">
        <v>-20220186</v>
      </c>
      <c r="J332" s="154">
        <f t="shared" si="130"/>
        <v>0</v>
      </c>
      <c r="K332" s="154">
        <f t="shared" si="131"/>
        <v>0</v>
      </c>
      <c r="L332" s="154">
        <f t="shared" si="132"/>
        <v>-1246.4668968068056</v>
      </c>
      <c r="N332" s="152" t="s">
        <v>171</v>
      </c>
      <c r="O332" s="155">
        <v>43697</v>
      </c>
      <c r="P332" s="155">
        <v>43707</v>
      </c>
      <c r="Q332" s="156">
        <f t="shared" si="133"/>
        <v>43678</v>
      </c>
      <c r="R332" s="155">
        <v>43707</v>
      </c>
      <c r="S332" s="156">
        <f t="shared" si="134"/>
        <v>43678</v>
      </c>
      <c r="T332" s="140" t="str">
        <f t="shared" ca="1" si="136"/>
        <v/>
      </c>
      <c r="U332" s="139" t="str">
        <f t="shared" si="137"/>
        <v/>
      </c>
      <c r="V332" s="139" t="str">
        <f t="shared" si="138"/>
        <v/>
      </c>
      <c r="W332" s="139" t="str">
        <f t="shared" si="139"/>
        <v/>
      </c>
      <c r="X332" s="327"/>
    </row>
    <row r="333" spans="1:24" ht="18.75" x14ac:dyDescent="0.25">
      <c r="A333" s="151">
        <v>86</v>
      </c>
      <c r="B333" s="106" t="str">
        <f>'Funding 2019'!$K$87</f>
        <v>CGMM2019V167</v>
      </c>
      <c r="C333" s="151"/>
      <c r="D333" s="164">
        <v>121235272</v>
      </c>
      <c r="E333" s="165" t="s">
        <v>773</v>
      </c>
      <c r="F333" s="166"/>
      <c r="G333" s="166"/>
      <c r="H333" s="166">
        <v>-766436000</v>
      </c>
      <c r="J333" s="154">
        <f t="shared" si="130"/>
        <v>0</v>
      </c>
      <c r="K333" s="154">
        <f t="shared" si="131"/>
        <v>0</v>
      </c>
      <c r="L333" s="154">
        <f t="shared" si="132"/>
        <v>-47246.702009616572</v>
      </c>
      <c r="N333" s="152"/>
      <c r="O333" s="155"/>
      <c r="P333" s="155">
        <v>43455</v>
      </c>
      <c r="Q333" s="156">
        <f t="shared" si="133"/>
        <v>43465</v>
      </c>
      <c r="R333" s="155">
        <v>43698</v>
      </c>
      <c r="S333" s="156">
        <f t="shared" si="134"/>
        <v>43678</v>
      </c>
      <c r="T333" s="140" t="str">
        <f t="shared" ca="1" si="136"/>
        <v/>
      </c>
      <c r="U333" s="139" t="str">
        <f t="shared" si="137"/>
        <v/>
      </c>
      <c r="V333" s="139" t="str">
        <f t="shared" si="138"/>
        <v/>
      </c>
      <c r="W333" s="139" t="str">
        <f t="shared" si="139"/>
        <v/>
      </c>
      <c r="X333" s="327"/>
    </row>
    <row r="334" spans="1:24" ht="18.75" x14ac:dyDescent="0.25">
      <c r="A334" s="151">
        <v>87</v>
      </c>
      <c r="B334" s="106" t="str">
        <f>'Funding 2019'!$K$87</f>
        <v>CGMM2019V167</v>
      </c>
      <c r="C334" s="151"/>
      <c r="D334" s="164">
        <v>5100200876</v>
      </c>
      <c r="E334" s="165" t="s">
        <v>774</v>
      </c>
      <c r="F334" s="166"/>
      <c r="G334" s="166"/>
      <c r="H334" s="166">
        <v>-1014619884</v>
      </c>
      <c r="J334" s="154">
        <f t="shared" si="130"/>
        <v>0</v>
      </c>
      <c r="K334" s="154">
        <f t="shared" si="131"/>
        <v>0</v>
      </c>
      <c r="L334" s="154">
        <f t="shared" si="132"/>
        <v>-62545.918135864878</v>
      </c>
      <c r="N334" s="152"/>
      <c r="O334" s="155"/>
      <c r="P334" s="155">
        <v>43692</v>
      </c>
      <c r="Q334" s="156">
        <f t="shared" si="133"/>
        <v>43678</v>
      </c>
      <c r="R334" s="155">
        <v>43692</v>
      </c>
      <c r="S334" s="156">
        <f t="shared" si="134"/>
        <v>43678</v>
      </c>
      <c r="T334" s="140" t="str">
        <f t="shared" ca="1" si="136"/>
        <v/>
      </c>
      <c r="U334" s="139" t="str">
        <f t="shared" si="137"/>
        <v/>
      </c>
      <c r="V334" s="139" t="str">
        <f t="shared" si="138"/>
        <v/>
      </c>
      <c r="W334" s="139" t="str">
        <f t="shared" si="139"/>
        <v/>
      </c>
      <c r="X334" s="327"/>
    </row>
    <row r="335" spans="1:24" ht="18.75" x14ac:dyDescent="0.25">
      <c r="A335" s="151">
        <v>88</v>
      </c>
      <c r="B335" s="106" t="str">
        <f>'Funding 2019'!$K$87</f>
        <v>CGMM2019V167</v>
      </c>
      <c r="C335" s="151"/>
      <c r="D335" s="164">
        <v>1720007612</v>
      </c>
      <c r="E335" s="165"/>
      <c r="F335" s="166"/>
      <c r="G335" s="166"/>
      <c r="H335" s="166">
        <v>162</v>
      </c>
      <c r="J335" s="154">
        <f t="shared" si="130"/>
        <v>0</v>
      </c>
      <c r="K335" s="154">
        <f t="shared" si="131"/>
        <v>0</v>
      </c>
      <c r="L335" s="154">
        <f t="shared" si="132"/>
        <v>9.9864381703858949E-3</v>
      </c>
      <c r="N335" s="152"/>
      <c r="O335" s="155"/>
      <c r="P335" s="155">
        <v>43608</v>
      </c>
      <c r="Q335" s="156">
        <f t="shared" si="133"/>
        <v>43586</v>
      </c>
      <c r="R335" s="155">
        <v>43670</v>
      </c>
      <c r="S335" s="156">
        <f t="shared" si="134"/>
        <v>43647</v>
      </c>
      <c r="T335" s="140" t="str">
        <f t="shared" ca="1" si="136"/>
        <v/>
      </c>
      <c r="U335" s="139" t="str">
        <f t="shared" si="137"/>
        <v/>
      </c>
      <c r="V335" s="139" t="str">
        <f t="shared" si="138"/>
        <v/>
      </c>
      <c r="W335" s="139" t="str">
        <f t="shared" si="139"/>
        <v/>
      </c>
      <c r="X335" s="327"/>
    </row>
    <row r="336" spans="1:24" ht="18.75" x14ac:dyDescent="0.25">
      <c r="A336" s="151">
        <v>89</v>
      </c>
      <c r="B336" s="106" t="str">
        <f>'Funding 2019'!$K$87</f>
        <v>CGMM2019V167</v>
      </c>
      <c r="C336" s="151"/>
      <c r="D336" s="164">
        <v>1720007613</v>
      </c>
      <c r="E336" s="165" t="s">
        <v>775</v>
      </c>
      <c r="F336" s="166"/>
      <c r="G336" s="166"/>
      <c r="H336" s="166">
        <v>-324</v>
      </c>
      <c r="J336" s="154">
        <f t="shared" si="130"/>
        <v>0</v>
      </c>
      <c r="K336" s="154">
        <f t="shared" si="131"/>
        <v>0</v>
      </c>
      <c r="L336" s="154">
        <f t="shared" si="132"/>
        <v>-1.997287634077179E-2</v>
      </c>
      <c r="N336" s="152"/>
      <c r="O336" s="155"/>
      <c r="P336" s="155">
        <v>43608</v>
      </c>
      <c r="Q336" s="156">
        <f t="shared" si="133"/>
        <v>43586</v>
      </c>
      <c r="R336" s="155">
        <v>43670</v>
      </c>
      <c r="S336" s="156">
        <f t="shared" si="134"/>
        <v>43647</v>
      </c>
      <c r="T336" s="140" t="str">
        <f t="shared" ca="1" si="136"/>
        <v/>
      </c>
      <c r="U336" s="139" t="str">
        <f t="shared" si="137"/>
        <v/>
      </c>
      <c r="V336" s="139" t="str">
        <f t="shared" si="138"/>
        <v/>
      </c>
      <c r="W336" s="139" t="str">
        <f t="shared" si="139"/>
        <v/>
      </c>
      <c r="X336" s="327"/>
    </row>
    <row r="337" spans="1:24" ht="18.75" x14ac:dyDescent="0.25">
      <c r="A337" s="151">
        <v>90</v>
      </c>
      <c r="B337" s="106" t="str">
        <f>'Funding 2019'!$K$87</f>
        <v>CGMM2019V167</v>
      </c>
      <c r="C337" s="151"/>
      <c r="D337" s="164">
        <v>5100199799</v>
      </c>
      <c r="E337" s="165"/>
      <c r="F337" s="166"/>
      <c r="G337" s="166"/>
      <c r="H337" s="166">
        <v>420789416</v>
      </c>
      <c r="J337" s="154">
        <f t="shared" ref="J337:J353" si="140">F337/$J$2</f>
        <v>0</v>
      </c>
      <c r="K337" s="154">
        <f t="shared" ref="K337:K353" si="141">G337/$J$2</f>
        <v>0</v>
      </c>
      <c r="L337" s="154">
        <f t="shared" ref="L337:L353" si="142">H337/$J$2</f>
        <v>25939.428923683885</v>
      </c>
      <c r="N337" s="152"/>
      <c r="O337" s="155"/>
      <c r="P337" s="155">
        <v>43608</v>
      </c>
      <c r="Q337" s="156">
        <f t="shared" si="133"/>
        <v>43586</v>
      </c>
      <c r="R337" s="155">
        <v>43670</v>
      </c>
      <c r="S337" s="156">
        <f t="shared" si="134"/>
        <v>43647</v>
      </c>
      <c r="T337" s="140" t="str">
        <f t="shared" ca="1" si="136"/>
        <v/>
      </c>
      <c r="U337" s="139" t="str">
        <f t="shared" si="137"/>
        <v/>
      </c>
      <c r="V337" s="139" t="str">
        <f t="shared" si="138"/>
        <v/>
      </c>
      <c r="W337" s="139" t="str">
        <f t="shared" si="139"/>
        <v/>
      </c>
      <c r="X337" s="327"/>
    </row>
    <row r="338" spans="1:24" ht="18.75" x14ac:dyDescent="0.25">
      <c r="A338" s="151">
        <v>91</v>
      </c>
      <c r="B338" s="106" t="str">
        <f>'Funding 2019'!$K$87</f>
        <v>CGMM2019V167</v>
      </c>
      <c r="C338" s="151"/>
      <c r="D338" s="164">
        <v>1920201203</v>
      </c>
      <c r="E338" s="165"/>
      <c r="F338" s="166"/>
      <c r="G338" s="166"/>
      <c r="H338" s="166">
        <v>-162</v>
      </c>
      <c r="J338" s="154">
        <f t="shared" si="140"/>
        <v>0</v>
      </c>
      <c r="K338" s="154">
        <f t="shared" si="141"/>
        <v>0</v>
      </c>
      <c r="L338" s="154">
        <f t="shared" si="142"/>
        <v>-9.9864381703858949E-3</v>
      </c>
      <c r="N338" s="152"/>
      <c r="O338" s="155"/>
      <c r="P338" s="155">
        <v>43608</v>
      </c>
      <c r="Q338" s="156">
        <f t="shared" si="133"/>
        <v>43586</v>
      </c>
      <c r="R338" s="155">
        <v>43668</v>
      </c>
      <c r="S338" s="156">
        <f t="shared" si="134"/>
        <v>43647</v>
      </c>
      <c r="T338" s="140" t="str">
        <f t="shared" ca="1" si="136"/>
        <v/>
      </c>
      <c r="U338" s="139" t="str">
        <f t="shared" si="137"/>
        <v/>
      </c>
      <c r="V338" s="139" t="str">
        <f t="shared" si="138"/>
        <v/>
      </c>
      <c r="W338" s="139" t="str">
        <f t="shared" si="139"/>
        <v/>
      </c>
      <c r="X338" s="327"/>
    </row>
    <row r="339" spans="1:24" ht="18.75" x14ac:dyDescent="0.25">
      <c r="A339" s="151">
        <v>92</v>
      </c>
      <c r="B339" s="106" t="str">
        <f>'Funding 2019'!$K$87</f>
        <v>CGMM2019V167</v>
      </c>
      <c r="C339" s="151"/>
      <c r="D339" s="164">
        <v>1920200285</v>
      </c>
      <c r="E339" s="165" t="s">
        <v>775</v>
      </c>
      <c r="F339" s="166"/>
      <c r="G339" s="166"/>
      <c r="H339" s="166">
        <v>324</v>
      </c>
      <c r="J339" s="154">
        <f t="shared" si="140"/>
        <v>0</v>
      </c>
      <c r="K339" s="154">
        <f t="shared" si="141"/>
        <v>0</v>
      </c>
      <c r="L339" s="154">
        <f t="shared" si="142"/>
        <v>1.997287634077179E-2</v>
      </c>
      <c r="N339" s="152"/>
      <c r="O339" s="155"/>
      <c r="P339" s="155">
        <v>43608</v>
      </c>
      <c r="Q339" s="156">
        <f t="shared" si="133"/>
        <v>43586</v>
      </c>
      <c r="R339" s="155">
        <v>43637</v>
      </c>
      <c r="S339" s="156">
        <f t="shared" si="134"/>
        <v>43617</v>
      </c>
      <c r="T339" s="140" t="str">
        <f t="shared" ca="1" si="136"/>
        <v/>
      </c>
      <c r="U339" s="139" t="str">
        <f t="shared" si="137"/>
        <v/>
      </c>
      <c r="V339" s="139" t="str">
        <f t="shared" si="138"/>
        <v/>
      </c>
      <c r="W339" s="139" t="str">
        <f t="shared" si="139"/>
        <v/>
      </c>
      <c r="X339" s="327"/>
    </row>
    <row r="340" spans="1:24" ht="18.75" x14ac:dyDescent="0.25">
      <c r="A340" s="151">
        <v>93</v>
      </c>
      <c r="B340" s="106" t="str">
        <f>'Funding 2019'!$K$87</f>
        <v>CGMM2019V167</v>
      </c>
      <c r="C340" s="151"/>
      <c r="D340" s="151">
        <v>1720007580</v>
      </c>
      <c r="E340" s="152" t="s">
        <v>775</v>
      </c>
      <c r="F340" s="166"/>
      <c r="G340" s="166"/>
      <c r="H340" s="166">
        <v>-162</v>
      </c>
      <c r="J340" s="154">
        <f t="shared" si="140"/>
        <v>0</v>
      </c>
      <c r="K340" s="154">
        <f t="shared" si="141"/>
        <v>0</v>
      </c>
      <c r="L340" s="154">
        <f t="shared" si="142"/>
        <v>-9.9864381703858949E-3</v>
      </c>
      <c r="N340" s="152"/>
      <c r="O340" s="155"/>
      <c r="P340" s="155">
        <v>43608</v>
      </c>
      <c r="Q340" s="156">
        <f t="shared" si="133"/>
        <v>43586</v>
      </c>
      <c r="R340" s="155">
        <v>43636</v>
      </c>
      <c r="S340" s="156">
        <f t="shared" si="134"/>
        <v>43617</v>
      </c>
      <c r="T340" s="140" t="str">
        <f t="shared" ca="1" si="136"/>
        <v/>
      </c>
      <c r="U340" s="139" t="str">
        <f t="shared" si="137"/>
        <v/>
      </c>
      <c r="V340" s="139" t="str">
        <f t="shared" si="138"/>
        <v/>
      </c>
      <c r="W340" s="139" t="str">
        <f t="shared" si="139"/>
        <v/>
      </c>
      <c r="X340" s="327"/>
    </row>
    <row r="341" spans="1:24" ht="18.75" x14ac:dyDescent="0.25">
      <c r="A341" s="151">
        <v>94</v>
      </c>
      <c r="B341" s="106" t="str">
        <f>'Funding 2019'!$K$87</f>
        <v>CGMM2019V167</v>
      </c>
      <c r="C341" s="151"/>
      <c r="D341" s="151">
        <v>1920200274</v>
      </c>
      <c r="E341" s="152" t="s">
        <v>775</v>
      </c>
      <c r="F341" s="166"/>
      <c r="G341" s="166"/>
      <c r="H341" s="166">
        <v>162</v>
      </c>
      <c r="J341" s="154">
        <f t="shared" si="140"/>
        <v>0</v>
      </c>
      <c r="K341" s="154">
        <f t="shared" si="141"/>
        <v>0</v>
      </c>
      <c r="L341" s="154">
        <f t="shared" si="142"/>
        <v>9.9864381703858949E-3</v>
      </c>
      <c r="N341" s="152"/>
      <c r="O341" s="155"/>
      <c r="P341" s="155">
        <v>43608</v>
      </c>
      <c r="Q341" s="156">
        <f t="shared" si="133"/>
        <v>43586</v>
      </c>
      <c r="R341" s="155">
        <v>43636</v>
      </c>
      <c r="S341" s="156">
        <f t="shared" si="134"/>
        <v>43617</v>
      </c>
      <c r="T341" s="140" t="str">
        <f t="shared" ca="1" si="136"/>
        <v/>
      </c>
      <c r="U341" s="139" t="str">
        <f t="shared" si="137"/>
        <v/>
      </c>
      <c r="V341" s="139" t="str">
        <f t="shared" si="138"/>
        <v/>
      </c>
      <c r="W341" s="139" t="str">
        <f t="shared" si="139"/>
        <v/>
      </c>
      <c r="X341" s="327"/>
    </row>
    <row r="342" spans="1:24" ht="18.75" x14ac:dyDescent="0.25">
      <c r="A342" s="151">
        <v>95</v>
      </c>
      <c r="B342" s="106" t="str">
        <f>'Funding 2019'!$K$87</f>
        <v>CGMM2019V167</v>
      </c>
      <c r="C342" s="151"/>
      <c r="D342" s="151">
        <v>1920199631</v>
      </c>
      <c r="E342" s="152" t="s">
        <v>654</v>
      </c>
      <c r="F342" s="166"/>
      <c r="G342" s="166"/>
      <c r="H342" s="166">
        <v>14580000</v>
      </c>
      <c r="J342" s="154">
        <f t="shared" si="140"/>
        <v>0</v>
      </c>
      <c r="K342" s="154">
        <f t="shared" si="141"/>
        <v>0</v>
      </c>
      <c r="L342" s="154">
        <f t="shared" si="142"/>
        <v>898.77943533473058</v>
      </c>
      <c r="N342" s="152"/>
      <c r="O342" s="155"/>
      <c r="P342" s="155">
        <v>43585</v>
      </c>
      <c r="Q342" s="156">
        <f t="shared" ref="Q342:Q405" si="143">IF(P342="","",IF(YEAR(P342)&lt;=2018,DATE(2018,12,31),EOMONTH(P342,-1)+1))</f>
        <v>43556</v>
      </c>
      <c r="R342" s="155">
        <v>43609</v>
      </c>
      <c r="S342" s="156">
        <f t="shared" ref="S342:S405" si="144">IF(R342="","",IF(YEAR(R342)&lt;=2018,DATE(2018,12,31),EOMONTH(R342,-1)+1))</f>
        <v>43586</v>
      </c>
      <c r="T342" s="140" t="str">
        <f t="shared" ca="1" si="136"/>
        <v/>
      </c>
      <c r="U342" s="139" t="str">
        <f t="shared" si="137"/>
        <v/>
      </c>
      <c r="V342" s="139" t="str">
        <f t="shared" si="138"/>
        <v/>
      </c>
      <c r="W342" s="139" t="str">
        <f t="shared" si="139"/>
        <v/>
      </c>
      <c r="X342" s="327"/>
    </row>
    <row r="343" spans="1:24" ht="18.75" x14ac:dyDescent="0.25">
      <c r="A343" s="151">
        <v>96</v>
      </c>
      <c r="B343" s="106" t="str">
        <f>'Funding 2019'!$K$87</f>
        <v>CGMM2019V167</v>
      </c>
      <c r="C343" s="151"/>
      <c r="D343" s="151">
        <v>1920199309</v>
      </c>
      <c r="E343" s="152" t="s">
        <v>655</v>
      </c>
      <c r="F343" s="166"/>
      <c r="G343" s="166"/>
      <c r="H343" s="166">
        <v>15800000</v>
      </c>
      <c r="J343" s="154">
        <f t="shared" si="140"/>
        <v>0</v>
      </c>
      <c r="K343" s="154">
        <f t="shared" si="141"/>
        <v>0</v>
      </c>
      <c r="L343" s="154">
        <f t="shared" si="142"/>
        <v>973.98594501294542</v>
      </c>
      <c r="N343" s="152"/>
      <c r="O343" s="155"/>
      <c r="P343" s="155">
        <v>43584</v>
      </c>
      <c r="Q343" s="156">
        <f t="shared" si="143"/>
        <v>43556</v>
      </c>
      <c r="R343" s="155">
        <v>43605</v>
      </c>
      <c r="S343" s="156">
        <f t="shared" si="144"/>
        <v>43586</v>
      </c>
      <c r="T343" s="140" t="str">
        <f t="shared" ca="1" si="136"/>
        <v/>
      </c>
      <c r="U343" s="139" t="str">
        <f t="shared" si="137"/>
        <v/>
      </c>
      <c r="V343" s="139" t="str">
        <f t="shared" si="138"/>
        <v/>
      </c>
      <c r="W343" s="139" t="str">
        <f t="shared" si="139"/>
        <v/>
      </c>
      <c r="X343" s="327"/>
    </row>
    <row r="344" spans="1:24" ht="18.75" x14ac:dyDescent="0.25">
      <c r="A344" s="151">
        <v>97</v>
      </c>
      <c r="B344" s="106" t="str">
        <f>'Funding 2019'!$K$87</f>
        <v>CGMM2019V167</v>
      </c>
      <c r="C344" s="151"/>
      <c r="D344" s="151">
        <v>1920199310</v>
      </c>
      <c r="E344" s="152" t="s">
        <v>656</v>
      </c>
      <c r="F344" s="166"/>
      <c r="G344" s="166"/>
      <c r="H344" s="166">
        <v>15800000</v>
      </c>
      <c r="J344" s="154">
        <f t="shared" si="140"/>
        <v>0</v>
      </c>
      <c r="K344" s="154">
        <f t="shared" si="141"/>
        <v>0</v>
      </c>
      <c r="L344" s="154">
        <f t="shared" si="142"/>
        <v>973.98594501294542</v>
      </c>
      <c r="N344" s="152"/>
      <c r="O344" s="155"/>
      <c r="P344" s="155">
        <v>43584</v>
      </c>
      <c r="Q344" s="156">
        <f t="shared" si="143"/>
        <v>43556</v>
      </c>
      <c r="R344" s="155">
        <v>43605</v>
      </c>
      <c r="S344" s="156">
        <f t="shared" si="144"/>
        <v>43586</v>
      </c>
      <c r="T344" s="140" t="str">
        <f t="shared" ca="1" si="136"/>
        <v/>
      </c>
      <c r="U344" s="139" t="str">
        <f t="shared" si="137"/>
        <v/>
      </c>
      <c r="V344" s="139" t="str">
        <f t="shared" si="138"/>
        <v/>
      </c>
      <c r="W344" s="139" t="str">
        <f t="shared" si="139"/>
        <v/>
      </c>
      <c r="X344" s="327"/>
    </row>
    <row r="345" spans="1:24" ht="18.75" x14ac:dyDescent="0.25">
      <c r="A345" s="151">
        <v>98</v>
      </c>
      <c r="B345" s="106" t="str">
        <f>'Funding 2019'!$K$87</f>
        <v>CGMM2019V167</v>
      </c>
      <c r="C345" s="151"/>
      <c r="D345" s="151">
        <v>1920199311</v>
      </c>
      <c r="E345" s="152" t="s">
        <v>657</v>
      </c>
      <c r="F345" s="166"/>
      <c r="G345" s="166"/>
      <c r="H345" s="166">
        <v>15328500</v>
      </c>
      <c r="J345" s="154">
        <f t="shared" si="140"/>
        <v>0</v>
      </c>
      <c r="K345" s="154">
        <f t="shared" si="141"/>
        <v>0</v>
      </c>
      <c r="L345" s="154">
        <f t="shared" si="142"/>
        <v>944.92047836271729</v>
      </c>
      <c r="N345" s="152"/>
      <c r="O345" s="155"/>
      <c r="P345" s="155">
        <v>43585</v>
      </c>
      <c r="Q345" s="156">
        <f t="shared" si="143"/>
        <v>43556</v>
      </c>
      <c r="R345" s="155">
        <v>43605</v>
      </c>
      <c r="S345" s="156">
        <f t="shared" si="144"/>
        <v>43586</v>
      </c>
      <c r="T345" s="140" t="str">
        <f t="shared" ca="1" si="136"/>
        <v/>
      </c>
      <c r="U345" s="139" t="str">
        <f t="shared" si="137"/>
        <v/>
      </c>
      <c r="V345" s="139" t="str">
        <f t="shared" si="138"/>
        <v/>
      </c>
      <c r="W345" s="139" t="str">
        <f t="shared" si="139"/>
        <v/>
      </c>
      <c r="X345" s="327"/>
    </row>
    <row r="346" spans="1:24" ht="18.75" x14ac:dyDescent="0.25">
      <c r="A346" s="151">
        <v>99</v>
      </c>
      <c r="B346" s="106" t="str">
        <f>'Funding 2019'!$K$87</f>
        <v>CGMM2019V167</v>
      </c>
      <c r="C346" s="151"/>
      <c r="D346" s="151">
        <v>1920199312</v>
      </c>
      <c r="E346" s="152" t="s">
        <v>658</v>
      </c>
      <c r="F346" s="166"/>
      <c r="G346" s="166"/>
      <c r="H346" s="166">
        <v>14810000</v>
      </c>
      <c r="J346" s="154">
        <f t="shared" si="140"/>
        <v>0</v>
      </c>
      <c r="K346" s="154">
        <f t="shared" si="141"/>
        <v>0</v>
      </c>
      <c r="L346" s="154">
        <f t="shared" si="142"/>
        <v>912.95771174947606</v>
      </c>
      <c r="N346" s="152"/>
      <c r="O346" s="155"/>
      <c r="P346" s="155">
        <v>43584</v>
      </c>
      <c r="Q346" s="156">
        <f t="shared" si="143"/>
        <v>43556</v>
      </c>
      <c r="R346" s="155">
        <v>43605</v>
      </c>
      <c r="S346" s="156">
        <f t="shared" si="144"/>
        <v>43586</v>
      </c>
      <c r="T346" s="140" t="str">
        <f t="shared" ca="1" si="136"/>
        <v/>
      </c>
      <c r="U346" s="139" t="str">
        <f t="shared" si="137"/>
        <v/>
      </c>
      <c r="V346" s="139" t="str">
        <f t="shared" si="138"/>
        <v/>
      </c>
      <c r="W346" s="139" t="str">
        <f t="shared" si="139"/>
        <v/>
      </c>
      <c r="X346" s="327"/>
    </row>
    <row r="347" spans="1:24" ht="18.75" x14ac:dyDescent="0.25">
      <c r="A347" s="151">
        <v>100</v>
      </c>
      <c r="B347" s="106" t="str">
        <f>'Funding 2019'!$K$87</f>
        <v>CGMM2019V167</v>
      </c>
      <c r="C347" s="151"/>
      <c r="D347" s="151">
        <v>1920198747</v>
      </c>
      <c r="E347" s="152" t="s">
        <v>659</v>
      </c>
      <c r="F347" s="166"/>
      <c r="G347" s="166"/>
      <c r="H347" s="166">
        <v>27500000</v>
      </c>
      <c r="J347" s="154">
        <f t="shared" si="140"/>
        <v>0</v>
      </c>
      <c r="K347" s="154">
        <f t="shared" si="141"/>
        <v>0</v>
      </c>
      <c r="L347" s="154">
        <f t="shared" si="142"/>
        <v>1695.2287017630379</v>
      </c>
      <c r="N347" s="152"/>
      <c r="O347" s="155"/>
      <c r="P347" s="155">
        <v>43552</v>
      </c>
      <c r="Q347" s="156">
        <f t="shared" si="143"/>
        <v>43525</v>
      </c>
      <c r="R347" s="155">
        <v>43588</v>
      </c>
      <c r="S347" s="156">
        <f t="shared" si="144"/>
        <v>43586</v>
      </c>
      <c r="T347" s="140" t="str">
        <f t="shared" ca="1" si="136"/>
        <v/>
      </c>
      <c r="U347" s="139" t="str">
        <f t="shared" si="137"/>
        <v/>
      </c>
      <c r="V347" s="139" t="str">
        <f t="shared" si="138"/>
        <v/>
      </c>
      <c r="W347" s="139" t="str">
        <f t="shared" si="139"/>
        <v/>
      </c>
      <c r="X347" s="327"/>
    </row>
    <row r="348" spans="1:24" ht="18.75" x14ac:dyDescent="0.25">
      <c r="A348" s="151">
        <v>101</v>
      </c>
      <c r="B348" s="106" t="str">
        <f>'Funding 2019'!$K$87</f>
        <v>CGMM2019V167</v>
      </c>
      <c r="C348" s="151"/>
      <c r="D348" s="151">
        <v>1920198401</v>
      </c>
      <c r="E348" s="152" t="s">
        <v>660</v>
      </c>
      <c r="F348" s="166"/>
      <c r="G348" s="166"/>
      <c r="H348" s="166">
        <v>12600000</v>
      </c>
      <c r="J348" s="154">
        <f t="shared" si="140"/>
        <v>0</v>
      </c>
      <c r="K348" s="154">
        <f t="shared" si="141"/>
        <v>0</v>
      </c>
      <c r="L348" s="154">
        <f t="shared" si="142"/>
        <v>776.72296880779186</v>
      </c>
      <c r="N348" s="152"/>
      <c r="O348" s="155"/>
      <c r="P348" s="155">
        <v>43536</v>
      </c>
      <c r="Q348" s="156">
        <f t="shared" si="143"/>
        <v>43525</v>
      </c>
      <c r="R348" s="155">
        <v>43570</v>
      </c>
      <c r="S348" s="156">
        <f t="shared" si="144"/>
        <v>43556</v>
      </c>
      <c r="T348" s="140" t="str">
        <f t="shared" ca="1" si="136"/>
        <v/>
      </c>
      <c r="U348" s="139" t="str">
        <f t="shared" si="137"/>
        <v/>
      </c>
      <c r="V348" s="139" t="str">
        <f t="shared" si="138"/>
        <v/>
      </c>
      <c r="W348" s="139" t="str">
        <f t="shared" si="139"/>
        <v/>
      </c>
      <c r="X348" s="327"/>
    </row>
    <row r="349" spans="1:24" ht="18.75" x14ac:dyDescent="0.25">
      <c r="A349" s="151">
        <v>102</v>
      </c>
      <c r="B349" s="106" t="str">
        <f>'Funding 2019'!$K$87</f>
        <v>CGMM2019V167</v>
      </c>
      <c r="C349" s="151"/>
      <c r="D349" s="151">
        <v>1920197562</v>
      </c>
      <c r="E349" s="152" t="s">
        <v>659</v>
      </c>
      <c r="F349" s="166"/>
      <c r="G349" s="166"/>
      <c r="H349" s="166">
        <v>27500000</v>
      </c>
      <c r="J349" s="154">
        <f t="shared" si="140"/>
        <v>0</v>
      </c>
      <c r="K349" s="154">
        <f t="shared" si="141"/>
        <v>0</v>
      </c>
      <c r="L349" s="154">
        <f t="shared" si="142"/>
        <v>1695.2287017630379</v>
      </c>
      <c r="N349" s="152"/>
      <c r="O349" s="155"/>
      <c r="P349" s="155">
        <v>43521</v>
      </c>
      <c r="Q349" s="156">
        <f t="shared" si="143"/>
        <v>43497</v>
      </c>
      <c r="R349" s="155">
        <v>43543</v>
      </c>
      <c r="S349" s="156">
        <f t="shared" si="144"/>
        <v>43525</v>
      </c>
      <c r="T349" s="140" t="str">
        <f t="shared" ca="1" si="136"/>
        <v/>
      </c>
      <c r="U349" s="139" t="str">
        <f t="shared" si="137"/>
        <v/>
      </c>
      <c r="V349" s="139" t="str">
        <f t="shared" si="138"/>
        <v/>
      </c>
      <c r="W349" s="139" t="str">
        <f t="shared" si="139"/>
        <v/>
      </c>
      <c r="X349" s="327"/>
    </row>
    <row r="350" spans="1:24" ht="18.75" x14ac:dyDescent="0.25">
      <c r="A350" s="151">
        <v>103</v>
      </c>
      <c r="B350" s="106" t="str">
        <f>'Funding 2019'!$K$87</f>
        <v>CGMM2019V167</v>
      </c>
      <c r="C350" s="151"/>
      <c r="D350" s="151">
        <v>121211177</v>
      </c>
      <c r="E350" s="152" t="s">
        <v>776</v>
      </c>
      <c r="F350" s="166"/>
      <c r="G350" s="166"/>
      <c r="H350" s="166">
        <f>-104015285-56128131+48160761</f>
        <v>-111982655</v>
      </c>
      <c r="J350" s="154">
        <f t="shared" si="140"/>
        <v>0</v>
      </c>
      <c r="K350" s="154">
        <f t="shared" si="141"/>
        <v>0</v>
      </c>
      <c r="L350" s="154">
        <f t="shared" si="142"/>
        <v>-6903.1349402046608</v>
      </c>
      <c r="N350" s="152"/>
      <c r="O350" s="155"/>
      <c r="P350" s="155">
        <v>43460</v>
      </c>
      <c r="Q350" s="156">
        <f t="shared" si="143"/>
        <v>43465</v>
      </c>
      <c r="R350" s="155">
        <v>43476</v>
      </c>
      <c r="S350" s="156">
        <f t="shared" si="144"/>
        <v>43466</v>
      </c>
      <c r="T350" s="140" t="str">
        <f t="shared" ca="1" si="136"/>
        <v/>
      </c>
      <c r="U350" s="139" t="str">
        <f t="shared" si="137"/>
        <v/>
      </c>
      <c r="V350" s="139" t="str">
        <f t="shared" si="138"/>
        <v/>
      </c>
      <c r="W350" s="139" t="str">
        <f t="shared" si="139"/>
        <v/>
      </c>
      <c r="X350" s="327"/>
    </row>
    <row r="351" spans="1:24" ht="18.75" x14ac:dyDescent="0.25">
      <c r="A351" s="151">
        <v>115</v>
      </c>
      <c r="B351" s="106" t="str">
        <f>'Funding 2019'!$K$87</f>
        <v>CGMM2019V167</v>
      </c>
      <c r="C351" s="151"/>
      <c r="D351" s="151"/>
      <c r="E351" s="152"/>
      <c r="F351" s="166"/>
      <c r="G351" s="166"/>
      <c r="H351" s="166"/>
      <c r="J351" s="154">
        <f t="shared" si="140"/>
        <v>0</v>
      </c>
      <c r="K351" s="154">
        <f t="shared" si="141"/>
        <v>0</v>
      </c>
      <c r="L351" s="154">
        <f t="shared" si="142"/>
        <v>0</v>
      </c>
      <c r="N351" s="165"/>
      <c r="O351" s="169"/>
      <c r="P351" s="155"/>
      <c r="Q351" s="156" t="str">
        <f t="shared" si="143"/>
        <v/>
      </c>
      <c r="R351" s="169"/>
      <c r="S351" s="156" t="str">
        <f t="shared" si="144"/>
        <v/>
      </c>
      <c r="T351" s="140" t="str">
        <f t="shared" ca="1" si="136"/>
        <v/>
      </c>
      <c r="U351" s="139" t="str">
        <f t="shared" si="137"/>
        <v/>
      </c>
      <c r="V351" s="139" t="str">
        <f t="shared" si="138"/>
        <v/>
      </c>
      <c r="W351" s="139" t="str">
        <f t="shared" si="139"/>
        <v/>
      </c>
      <c r="X351" s="327"/>
    </row>
    <row r="352" spans="1:24" ht="18.75" x14ac:dyDescent="0.25">
      <c r="A352" s="151">
        <v>116</v>
      </c>
      <c r="B352" s="106" t="str">
        <f>'Funding 2019'!$K$87</f>
        <v>CGMM2019V167</v>
      </c>
      <c r="C352" s="151"/>
      <c r="D352" s="151"/>
      <c r="E352" s="152"/>
      <c r="F352" s="166"/>
      <c r="G352" s="166"/>
      <c r="H352" s="166"/>
      <c r="J352" s="154">
        <f t="shared" si="140"/>
        <v>0</v>
      </c>
      <c r="K352" s="154">
        <f t="shared" si="141"/>
        <v>0</v>
      </c>
      <c r="L352" s="154">
        <f t="shared" si="142"/>
        <v>0</v>
      </c>
      <c r="N352" s="165"/>
      <c r="O352" s="169"/>
      <c r="P352" s="155"/>
      <c r="Q352" s="156" t="str">
        <f t="shared" si="143"/>
        <v/>
      </c>
      <c r="R352" s="169"/>
      <c r="S352" s="156" t="str">
        <f t="shared" si="144"/>
        <v/>
      </c>
      <c r="T352" s="140" t="str">
        <f t="shared" ca="1" si="136"/>
        <v/>
      </c>
      <c r="U352" s="139" t="str">
        <f t="shared" si="137"/>
        <v/>
      </c>
      <c r="V352" s="139" t="str">
        <f t="shared" si="138"/>
        <v/>
      </c>
      <c r="W352" s="139" t="str">
        <f t="shared" si="139"/>
        <v/>
      </c>
      <c r="X352" s="327"/>
    </row>
    <row r="353" spans="1:24" s="168" customFormat="1" ht="18.75" x14ac:dyDescent="0.25">
      <c r="A353" s="151">
        <v>117</v>
      </c>
      <c r="B353" s="106" t="str">
        <f>'Funding 2019'!$K$87</f>
        <v>CGMM2019V167</v>
      </c>
      <c r="C353" s="164"/>
      <c r="D353" s="164"/>
      <c r="E353" s="152"/>
      <c r="F353" s="166"/>
      <c r="G353" s="166"/>
      <c r="H353" s="166"/>
      <c r="J353" s="154">
        <f t="shared" si="140"/>
        <v>0</v>
      </c>
      <c r="K353" s="154">
        <f t="shared" si="141"/>
        <v>0</v>
      </c>
      <c r="L353" s="154">
        <f t="shared" si="142"/>
        <v>0</v>
      </c>
      <c r="N353" s="165"/>
      <c r="O353" s="169"/>
      <c r="P353" s="155"/>
      <c r="Q353" s="156" t="str">
        <f t="shared" si="143"/>
        <v/>
      </c>
      <c r="R353" s="169"/>
      <c r="S353" s="156" t="str">
        <f t="shared" si="144"/>
        <v/>
      </c>
      <c r="T353" s="140" t="str">
        <f t="shared" ca="1" si="136"/>
        <v/>
      </c>
      <c r="U353" s="139" t="str">
        <f t="shared" si="137"/>
        <v/>
      </c>
      <c r="V353" s="139" t="str">
        <f t="shared" si="138"/>
        <v/>
      </c>
      <c r="W353" s="139" t="str">
        <f t="shared" si="139"/>
        <v/>
      </c>
      <c r="X353" s="327"/>
    </row>
    <row r="354" spans="1:24" ht="18.75" x14ac:dyDescent="0.25">
      <c r="A354" s="157"/>
      <c r="B354" s="158"/>
      <c r="C354" s="157"/>
      <c r="D354" s="157"/>
      <c r="E354" s="159"/>
      <c r="F354" s="160">
        <f>SUM(F273:F353)</f>
        <v>0</v>
      </c>
      <c r="G354" s="160">
        <f>SUM(G273:G353)</f>
        <v>1977087557</v>
      </c>
      <c r="H354" s="160">
        <f>SUM(H273:H353)</f>
        <v>21948270265</v>
      </c>
      <c r="J354" s="161">
        <f>F354/$J$2</f>
        <v>0</v>
      </c>
      <c r="K354" s="161">
        <f>G354/$J$2</f>
        <v>121876.92990999877</v>
      </c>
      <c r="L354" s="161">
        <f>H354/$J$2</f>
        <v>1352994.098446554</v>
      </c>
      <c r="N354" s="159"/>
      <c r="O354" s="162"/>
      <c r="P354" s="162"/>
      <c r="Q354" s="156" t="str">
        <f t="shared" si="143"/>
        <v/>
      </c>
      <c r="R354" s="162"/>
      <c r="S354" s="156" t="str">
        <f t="shared" si="144"/>
        <v/>
      </c>
      <c r="T354" s="140" t="str">
        <f t="shared" ca="1" si="136"/>
        <v/>
      </c>
      <c r="U354" s="139" t="str">
        <f t="shared" si="137"/>
        <v/>
      </c>
      <c r="V354" s="139" t="str">
        <f t="shared" si="138"/>
        <v/>
      </c>
      <c r="W354" s="139" t="str">
        <f t="shared" si="139"/>
        <v/>
      </c>
      <c r="X354" s="327"/>
    </row>
    <row r="355" spans="1:24" ht="18.75" x14ac:dyDescent="0.25">
      <c r="Q355" s="156" t="str">
        <f t="shared" si="143"/>
        <v/>
      </c>
      <c r="S355" s="156" t="str">
        <f t="shared" si="144"/>
        <v/>
      </c>
      <c r="T355" s="140" t="str">
        <f t="shared" ca="1" si="136"/>
        <v/>
      </c>
      <c r="U355" s="139" t="str">
        <f t="shared" si="137"/>
        <v/>
      </c>
      <c r="V355" s="139" t="str">
        <f t="shared" si="138"/>
        <v/>
      </c>
      <c r="W355" s="139" t="str">
        <f t="shared" si="139"/>
        <v/>
      </c>
      <c r="X355" s="327"/>
    </row>
    <row r="356" spans="1:24" ht="18.75" x14ac:dyDescent="0.25">
      <c r="A356" s="163" t="str">
        <f>'Funding 2019'!L99</f>
        <v>Investment Product</v>
      </c>
      <c r="B356" s="113" t="str">
        <f>'Funding 2019'!L91</f>
        <v>M264 - Engine</v>
      </c>
      <c r="C356" s="147"/>
      <c r="D356" s="147"/>
      <c r="E356" s="148"/>
      <c r="F356" s="148"/>
      <c r="G356" s="148"/>
      <c r="H356" s="148"/>
      <c r="J356" s="149">
        <f t="shared" ref="J356:J362" si="145">F356/$J$2</f>
        <v>0</v>
      </c>
      <c r="K356" s="149">
        <f t="shared" ref="K356:K362" si="146">G356/$J$2</f>
        <v>0</v>
      </c>
      <c r="L356" s="149">
        <f t="shared" ref="L356:L362" si="147">H356/$J$2</f>
        <v>0</v>
      </c>
      <c r="N356" s="148"/>
      <c r="O356" s="150"/>
      <c r="P356" s="150"/>
      <c r="Q356" s="156" t="str">
        <f t="shared" si="143"/>
        <v/>
      </c>
      <c r="R356" s="150"/>
      <c r="S356" s="156" t="str">
        <f t="shared" si="144"/>
        <v/>
      </c>
      <c r="T356" s="140" t="str">
        <f t="shared" ca="1" si="136"/>
        <v/>
      </c>
      <c r="U356" s="139" t="str">
        <f t="shared" si="137"/>
        <v/>
      </c>
      <c r="V356" s="139" t="str">
        <f t="shared" si="138"/>
        <v/>
      </c>
      <c r="W356" s="139" t="str">
        <f t="shared" si="139"/>
        <v/>
      </c>
      <c r="X356" s="327"/>
    </row>
    <row r="357" spans="1:24" ht="18.75" x14ac:dyDescent="0.25">
      <c r="A357" s="151">
        <v>1</v>
      </c>
      <c r="B357" s="106" t="str">
        <f>'Funding 2019'!$K$90</f>
        <v>CGMMLA19V167</v>
      </c>
      <c r="C357" s="151">
        <v>5100005384</v>
      </c>
      <c r="D357" s="151"/>
      <c r="E357" s="152" t="s">
        <v>788</v>
      </c>
      <c r="F357" s="166">
        <v>1455545000</v>
      </c>
      <c r="G357" s="166"/>
      <c r="H357" s="166"/>
      <c r="J357" s="154">
        <f t="shared" si="145"/>
        <v>89726.605843915677</v>
      </c>
      <c r="K357" s="154">
        <f t="shared" si="146"/>
        <v>0</v>
      </c>
      <c r="L357" s="154">
        <f t="shared" si="147"/>
        <v>0</v>
      </c>
      <c r="N357" s="152" t="s">
        <v>244</v>
      </c>
      <c r="O357" s="155">
        <v>43728</v>
      </c>
      <c r="P357" s="155">
        <v>43711</v>
      </c>
      <c r="Q357" s="156">
        <f t="shared" si="143"/>
        <v>43709</v>
      </c>
      <c r="R357" s="155"/>
      <c r="S357" s="156" t="str">
        <f t="shared" si="144"/>
        <v/>
      </c>
      <c r="T357" s="140">
        <f t="shared" ca="1" si="136"/>
        <v>45</v>
      </c>
      <c r="U357" s="139" t="str">
        <f t="shared" si="137"/>
        <v/>
      </c>
      <c r="V357" s="139" t="str">
        <f t="shared" si="138"/>
        <v/>
      </c>
      <c r="W357" s="139" t="str">
        <f t="shared" si="139"/>
        <v/>
      </c>
      <c r="X357" s="327"/>
    </row>
    <row r="358" spans="1:24" ht="18.75" x14ac:dyDescent="0.25">
      <c r="A358" s="151">
        <v>2</v>
      </c>
      <c r="B358" s="106" t="str">
        <f>'Funding 2019'!$K$90</f>
        <v>CGMMLA19V167</v>
      </c>
      <c r="C358" s="151"/>
      <c r="D358" s="151"/>
      <c r="E358" s="152"/>
      <c r="F358" s="166"/>
      <c r="G358" s="166"/>
      <c r="H358" s="166"/>
      <c r="J358" s="154">
        <f t="shared" ref="J358:L361" si="148">F358/$J$2</f>
        <v>0</v>
      </c>
      <c r="K358" s="154">
        <f t="shared" si="148"/>
        <v>0</v>
      </c>
      <c r="L358" s="154">
        <f t="shared" si="148"/>
        <v>0</v>
      </c>
      <c r="N358" s="152"/>
      <c r="O358" s="155"/>
      <c r="P358" s="155"/>
      <c r="Q358" s="156" t="str">
        <f t="shared" si="143"/>
        <v/>
      </c>
      <c r="R358" s="155"/>
      <c r="S358" s="156" t="str">
        <f t="shared" si="144"/>
        <v/>
      </c>
      <c r="T358" s="140" t="str">
        <f t="shared" ca="1" si="136"/>
        <v/>
      </c>
      <c r="U358" s="139" t="str">
        <f t="shared" si="137"/>
        <v/>
      </c>
      <c r="V358" s="139" t="str">
        <f t="shared" si="138"/>
        <v/>
      </c>
      <c r="W358" s="139" t="str">
        <f t="shared" si="139"/>
        <v/>
      </c>
      <c r="X358" s="327"/>
    </row>
    <row r="359" spans="1:24" ht="18.75" x14ac:dyDescent="0.25">
      <c r="A359" s="151">
        <v>3</v>
      </c>
      <c r="B359" s="106" t="str">
        <f>'Funding 2019'!$K$90</f>
        <v>CGMMLA19V167</v>
      </c>
      <c r="C359" s="151"/>
      <c r="D359" s="151"/>
      <c r="E359" s="152"/>
      <c r="F359" s="166"/>
      <c r="G359" s="166"/>
      <c r="H359" s="166"/>
      <c r="J359" s="154">
        <f t="shared" si="148"/>
        <v>0</v>
      </c>
      <c r="K359" s="154">
        <f t="shared" si="148"/>
        <v>0</v>
      </c>
      <c r="L359" s="154">
        <f t="shared" si="148"/>
        <v>0</v>
      </c>
      <c r="N359" s="152"/>
      <c r="O359" s="155"/>
      <c r="P359" s="155"/>
      <c r="Q359" s="156" t="str">
        <f t="shared" si="143"/>
        <v/>
      </c>
      <c r="R359" s="155"/>
      <c r="S359" s="156" t="str">
        <f t="shared" si="144"/>
        <v/>
      </c>
      <c r="T359" s="140" t="str">
        <f t="shared" ca="1" si="136"/>
        <v/>
      </c>
      <c r="U359" s="139" t="str">
        <f t="shared" si="137"/>
        <v/>
      </c>
      <c r="V359" s="139" t="str">
        <f t="shared" si="138"/>
        <v/>
      </c>
      <c r="W359" s="139" t="str">
        <f t="shared" si="139"/>
        <v/>
      </c>
      <c r="X359" s="327"/>
    </row>
    <row r="360" spans="1:24" ht="18.75" x14ac:dyDescent="0.25">
      <c r="A360" s="151">
        <v>4</v>
      </c>
      <c r="B360" s="106" t="str">
        <f>'Funding 2019'!$K$90</f>
        <v>CGMMLA19V167</v>
      </c>
      <c r="C360" s="151"/>
      <c r="D360" s="151"/>
      <c r="E360" s="152"/>
      <c r="F360" s="166"/>
      <c r="G360" s="166"/>
      <c r="H360" s="166"/>
      <c r="J360" s="154">
        <f t="shared" si="148"/>
        <v>0</v>
      </c>
      <c r="K360" s="154">
        <f t="shared" si="148"/>
        <v>0</v>
      </c>
      <c r="L360" s="154">
        <f t="shared" si="148"/>
        <v>0</v>
      </c>
      <c r="N360" s="152"/>
      <c r="O360" s="155"/>
      <c r="P360" s="155"/>
      <c r="Q360" s="156" t="str">
        <f t="shared" si="143"/>
        <v/>
      </c>
      <c r="R360" s="155"/>
      <c r="S360" s="156" t="str">
        <f t="shared" si="144"/>
        <v/>
      </c>
      <c r="T360" s="140" t="str">
        <f t="shared" ca="1" si="136"/>
        <v/>
      </c>
      <c r="U360" s="139" t="str">
        <f t="shared" si="137"/>
        <v/>
      </c>
      <c r="V360" s="139" t="str">
        <f t="shared" si="138"/>
        <v/>
      </c>
      <c r="W360" s="139" t="str">
        <f t="shared" si="139"/>
        <v/>
      </c>
      <c r="X360" s="327"/>
    </row>
    <row r="361" spans="1:24" ht="18.75" x14ac:dyDescent="0.25">
      <c r="A361" s="151">
        <v>5</v>
      </c>
      <c r="B361" s="106" t="str">
        <f>'Funding 2019'!$K$90</f>
        <v>CGMMLA19V167</v>
      </c>
      <c r="C361" s="151"/>
      <c r="D361" s="151"/>
      <c r="E361" s="152"/>
      <c r="F361" s="166"/>
      <c r="G361" s="166"/>
      <c r="H361" s="166"/>
      <c r="J361" s="154">
        <f t="shared" si="148"/>
        <v>0</v>
      </c>
      <c r="K361" s="154">
        <f t="shared" si="148"/>
        <v>0</v>
      </c>
      <c r="L361" s="154">
        <f t="shared" si="148"/>
        <v>0</v>
      </c>
      <c r="N361" s="152"/>
      <c r="O361" s="155"/>
      <c r="P361" s="155"/>
      <c r="Q361" s="156" t="str">
        <f t="shared" si="143"/>
        <v/>
      </c>
      <c r="R361" s="155"/>
      <c r="S361" s="156" t="str">
        <f t="shared" si="144"/>
        <v/>
      </c>
      <c r="T361" s="140" t="str">
        <f t="shared" ca="1" si="136"/>
        <v/>
      </c>
      <c r="U361" s="139" t="str">
        <f t="shared" si="137"/>
        <v/>
      </c>
      <c r="V361" s="139" t="str">
        <f t="shared" si="138"/>
        <v/>
      </c>
      <c r="W361" s="139" t="str">
        <f t="shared" si="139"/>
        <v/>
      </c>
      <c r="X361" s="327"/>
    </row>
    <row r="362" spans="1:24" ht="18.75" x14ac:dyDescent="0.25">
      <c r="A362" s="157"/>
      <c r="B362" s="158"/>
      <c r="C362" s="157"/>
      <c r="D362" s="157"/>
      <c r="E362" s="159"/>
      <c r="F362" s="160">
        <f>SUM(F356:F361)</f>
        <v>1455545000</v>
      </c>
      <c r="G362" s="160">
        <f>SUM(G356:G361)</f>
        <v>0</v>
      </c>
      <c r="H362" s="160">
        <f>SUM(H356:H361)</f>
        <v>0</v>
      </c>
      <c r="J362" s="161">
        <f t="shared" si="145"/>
        <v>89726.605843915677</v>
      </c>
      <c r="K362" s="161">
        <f t="shared" si="146"/>
        <v>0</v>
      </c>
      <c r="L362" s="161">
        <f t="shared" si="147"/>
        <v>0</v>
      </c>
      <c r="N362" s="159"/>
      <c r="O362" s="162"/>
      <c r="P362" s="162"/>
      <c r="Q362" s="156" t="str">
        <f t="shared" si="143"/>
        <v/>
      </c>
      <c r="R362" s="162"/>
      <c r="S362" s="156" t="str">
        <f t="shared" si="144"/>
        <v/>
      </c>
      <c r="T362" s="140" t="str">
        <f t="shared" ca="1" si="136"/>
        <v/>
      </c>
      <c r="U362" s="139" t="str">
        <f t="shared" si="137"/>
        <v/>
      </c>
      <c r="V362" s="139" t="str">
        <f t="shared" si="138"/>
        <v/>
      </c>
      <c r="W362" s="139" t="str">
        <f t="shared" si="139"/>
        <v/>
      </c>
      <c r="X362" s="327"/>
    </row>
    <row r="363" spans="1:24" ht="18.75" x14ac:dyDescent="0.25">
      <c r="Q363" s="156" t="str">
        <f t="shared" si="143"/>
        <v/>
      </c>
      <c r="S363" s="156" t="str">
        <f t="shared" si="144"/>
        <v/>
      </c>
      <c r="T363" s="140" t="str">
        <f t="shared" ca="1" si="136"/>
        <v/>
      </c>
      <c r="U363" s="139" t="str">
        <f t="shared" si="137"/>
        <v/>
      </c>
      <c r="V363" s="139" t="str">
        <f t="shared" si="138"/>
        <v/>
      </c>
      <c r="W363" s="139" t="str">
        <f t="shared" si="139"/>
        <v/>
      </c>
      <c r="X363" s="327"/>
    </row>
    <row r="364" spans="1:24" ht="18.75" x14ac:dyDescent="0.25">
      <c r="Q364" s="156" t="str">
        <f t="shared" si="143"/>
        <v/>
      </c>
      <c r="S364" s="156" t="str">
        <f t="shared" si="144"/>
        <v/>
      </c>
      <c r="T364" s="140" t="str">
        <f t="shared" ca="1" si="136"/>
        <v/>
      </c>
      <c r="U364" s="139" t="str">
        <f t="shared" si="137"/>
        <v/>
      </c>
      <c r="V364" s="139" t="str">
        <f t="shared" si="138"/>
        <v/>
      </c>
      <c r="W364" s="139" t="str">
        <f t="shared" si="139"/>
        <v/>
      </c>
      <c r="X364" s="327"/>
    </row>
    <row r="365" spans="1:24" ht="18.75" x14ac:dyDescent="0.25">
      <c r="A365" s="163" t="str">
        <f>'Funding 2019'!L99</f>
        <v>Investment Product</v>
      </c>
      <c r="B365" s="113" t="str">
        <f>'Funding 2019'!L91</f>
        <v>M264 - Engine</v>
      </c>
      <c r="C365" s="147"/>
      <c r="D365" s="147"/>
      <c r="E365" s="148"/>
      <c r="F365" s="148"/>
      <c r="G365" s="148"/>
      <c r="H365" s="148"/>
      <c r="J365" s="149">
        <f t="shared" ref="J365:L366" si="149">F365/$J$2</f>
        <v>0</v>
      </c>
      <c r="K365" s="149">
        <f t="shared" si="149"/>
        <v>0</v>
      </c>
      <c r="L365" s="149">
        <f t="shared" si="149"/>
        <v>0</v>
      </c>
      <c r="N365" s="148"/>
      <c r="O365" s="150"/>
      <c r="P365" s="150"/>
      <c r="Q365" s="156" t="str">
        <f t="shared" si="143"/>
        <v/>
      </c>
      <c r="R365" s="150"/>
      <c r="S365" s="156" t="str">
        <f t="shared" si="144"/>
        <v/>
      </c>
      <c r="T365" s="140" t="str">
        <f t="shared" ca="1" si="136"/>
        <v/>
      </c>
      <c r="U365" s="139" t="str">
        <f t="shared" si="137"/>
        <v/>
      </c>
      <c r="V365" s="139" t="str">
        <f t="shared" si="138"/>
        <v/>
      </c>
      <c r="W365" s="139" t="str">
        <f t="shared" si="139"/>
        <v/>
      </c>
      <c r="X365" s="327"/>
    </row>
    <row r="366" spans="1:24" ht="18.75" x14ac:dyDescent="0.25">
      <c r="A366" s="151">
        <v>1</v>
      </c>
      <c r="B366" s="106" t="str">
        <f>'Funding 2019'!$K$91</f>
        <v>CGMM2019M264</v>
      </c>
      <c r="C366" s="151">
        <v>6100000730</v>
      </c>
      <c r="D366" s="151">
        <v>310618800</v>
      </c>
      <c r="E366" s="165" t="s">
        <v>306</v>
      </c>
      <c r="F366" s="166"/>
      <c r="G366" s="166">
        <f>64225199*0</f>
        <v>0</v>
      </c>
      <c r="H366" s="166">
        <v>58526160</v>
      </c>
      <c r="J366" s="154">
        <f t="shared" si="149"/>
        <v>0</v>
      </c>
      <c r="K366" s="154">
        <f t="shared" si="149"/>
        <v>0</v>
      </c>
      <c r="L366" s="154">
        <f t="shared" si="149"/>
        <v>3607.8264085809396</v>
      </c>
      <c r="N366" s="152" t="s">
        <v>165</v>
      </c>
      <c r="O366" s="155">
        <v>43538</v>
      </c>
      <c r="P366" s="155">
        <v>43305</v>
      </c>
      <c r="Q366" s="156">
        <f t="shared" si="143"/>
        <v>43465</v>
      </c>
      <c r="R366" s="155">
        <v>43586</v>
      </c>
      <c r="S366" s="156">
        <f t="shared" si="144"/>
        <v>43586</v>
      </c>
      <c r="T366" s="140" t="str">
        <f t="shared" ca="1" si="136"/>
        <v/>
      </c>
      <c r="U366" s="139" t="str">
        <f t="shared" si="137"/>
        <v/>
      </c>
      <c r="V366" s="139" t="str">
        <f t="shared" si="138"/>
        <v/>
      </c>
      <c r="W366" s="139" t="str">
        <f t="shared" si="139"/>
        <v/>
      </c>
      <c r="X366" s="327"/>
    </row>
    <row r="367" spans="1:24" ht="18.75" x14ac:dyDescent="0.25">
      <c r="A367" s="151">
        <v>2</v>
      </c>
      <c r="B367" s="106" t="str">
        <f>'Funding 2019'!$K$91</f>
        <v>CGMM2019M264</v>
      </c>
      <c r="C367" s="151">
        <v>6100000673</v>
      </c>
      <c r="D367" s="151">
        <v>310618803</v>
      </c>
      <c r="E367" s="165" t="s">
        <v>272</v>
      </c>
      <c r="F367" s="166"/>
      <c r="G367" s="166">
        <f>22501248*0</f>
        <v>0</v>
      </c>
      <c r="H367" s="166">
        <v>2601041272</v>
      </c>
      <c r="J367" s="154">
        <f t="shared" ref="J367:J409" si="150">F367/$J$2</f>
        <v>0</v>
      </c>
      <c r="K367" s="154">
        <f t="shared" ref="K367:K409" si="151">G367/$J$2</f>
        <v>0</v>
      </c>
      <c r="L367" s="154">
        <f t="shared" ref="L367:L409" si="152">H367/$J$2</f>
        <v>160340.35704598692</v>
      </c>
      <c r="N367" s="152" t="s">
        <v>165</v>
      </c>
      <c r="O367" s="155">
        <v>43539</v>
      </c>
      <c r="P367" s="155">
        <v>43286</v>
      </c>
      <c r="Q367" s="156">
        <f t="shared" si="143"/>
        <v>43465</v>
      </c>
      <c r="R367" s="155">
        <v>43497</v>
      </c>
      <c r="S367" s="156">
        <f t="shared" si="144"/>
        <v>43497</v>
      </c>
      <c r="T367" s="140" t="str">
        <f t="shared" ca="1" si="136"/>
        <v/>
      </c>
      <c r="U367" s="139" t="str">
        <f t="shared" si="137"/>
        <v/>
      </c>
      <c r="V367" s="139" t="str">
        <f t="shared" si="138"/>
        <v/>
      </c>
      <c r="W367" s="139" t="str">
        <f t="shared" si="139"/>
        <v/>
      </c>
      <c r="X367" s="327"/>
    </row>
    <row r="368" spans="1:24" ht="18.75" x14ac:dyDescent="0.25">
      <c r="A368" s="151">
        <v>3</v>
      </c>
      <c r="B368" s="106" t="str">
        <f>'Funding 2019'!$K$91</f>
        <v>CGMM2019M264</v>
      </c>
      <c r="C368" s="151">
        <v>6100000678</v>
      </c>
      <c r="D368" s="151">
        <v>310818801</v>
      </c>
      <c r="E368" s="165" t="s">
        <v>273</v>
      </c>
      <c r="F368" s="166"/>
      <c r="G368" s="166">
        <f>291916800*0</f>
        <v>0</v>
      </c>
      <c r="H368" s="166">
        <v>1685907037</v>
      </c>
      <c r="J368" s="154">
        <f t="shared" si="150"/>
        <v>0</v>
      </c>
      <c r="K368" s="154">
        <f t="shared" si="151"/>
        <v>0</v>
      </c>
      <c r="L368" s="154">
        <f t="shared" si="152"/>
        <v>103927.19991369745</v>
      </c>
      <c r="N368" s="152" t="s">
        <v>165</v>
      </c>
      <c r="O368" s="155">
        <v>43556</v>
      </c>
      <c r="P368" s="155">
        <v>43362</v>
      </c>
      <c r="Q368" s="156">
        <f t="shared" si="143"/>
        <v>43465</v>
      </c>
      <c r="R368" s="155">
        <v>43525</v>
      </c>
      <c r="S368" s="156">
        <f t="shared" si="144"/>
        <v>43525</v>
      </c>
      <c r="T368" s="140" t="str">
        <f t="shared" ca="1" si="136"/>
        <v/>
      </c>
      <c r="U368" s="139" t="str">
        <f t="shared" si="137"/>
        <v/>
      </c>
      <c r="V368" s="139" t="str">
        <f t="shared" si="138"/>
        <v/>
      </c>
      <c r="W368" s="139" t="str">
        <f t="shared" si="139"/>
        <v/>
      </c>
      <c r="X368" s="327"/>
    </row>
    <row r="369" spans="1:25" ht="18.75" x14ac:dyDescent="0.25">
      <c r="A369" s="151">
        <v>4</v>
      </c>
      <c r="B369" s="331" t="str">
        <f>'Funding 2019'!$K$91</f>
        <v>CGMM2019M264</v>
      </c>
      <c r="C369" s="283">
        <v>6100000702</v>
      </c>
      <c r="D369" s="283">
        <v>311118800</v>
      </c>
      <c r="E369" s="338" t="s">
        <v>274</v>
      </c>
      <c r="F369" s="280">
        <f>583798855*0</f>
        <v>0</v>
      </c>
      <c r="G369" s="280">
        <f>871033063*0</f>
        <v>0</v>
      </c>
      <c r="H369" s="280"/>
      <c r="J369" s="154">
        <f t="shared" si="150"/>
        <v>0</v>
      </c>
      <c r="K369" s="154">
        <f t="shared" si="151"/>
        <v>0</v>
      </c>
      <c r="L369" s="154">
        <f t="shared" si="152"/>
        <v>0</v>
      </c>
      <c r="N369" s="152"/>
      <c r="O369" s="155"/>
      <c r="P369" s="155"/>
      <c r="Q369" s="156" t="str">
        <f t="shared" si="143"/>
        <v/>
      </c>
      <c r="R369" s="155"/>
      <c r="S369" s="156" t="str">
        <f t="shared" si="144"/>
        <v/>
      </c>
      <c r="T369" s="140" t="str">
        <f t="shared" ca="1" si="136"/>
        <v/>
      </c>
      <c r="U369" s="139" t="str">
        <f t="shared" si="137"/>
        <v/>
      </c>
      <c r="V369" s="139" t="str">
        <f t="shared" si="138"/>
        <v/>
      </c>
      <c r="W369" s="139" t="str">
        <f t="shared" si="139"/>
        <v/>
      </c>
      <c r="X369" s="327"/>
      <c r="Y369" s="139" t="s">
        <v>828</v>
      </c>
    </row>
    <row r="370" spans="1:25" ht="18.75" x14ac:dyDescent="0.25">
      <c r="A370" s="151">
        <v>5</v>
      </c>
      <c r="B370" s="106" t="str">
        <f>'Funding 2019'!$K$91</f>
        <v>CGMM2019M264</v>
      </c>
      <c r="C370" s="151">
        <v>2100011425</v>
      </c>
      <c r="D370" s="151">
        <v>4500134095</v>
      </c>
      <c r="E370" s="165" t="s">
        <v>166</v>
      </c>
      <c r="F370" s="166"/>
      <c r="G370" s="166">
        <f>2209238626*0</f>
        <v>0</v>
      </c>
      <c r="H370" s="166">
        <v>2157075245</v>
      </c>
      <c r="J370" s="154">
        <f t="shared" si="150"/>
        <v>0</v>
      </c>
      <c r="K370" s="154">
        <f t="shared" si="151"/>
        <v>0</v>
      </c>
      <c r="L370" s="154">
        <f t="shared" si="152"/>
        <v>132972.21335223771</v>
      </c>
      <c r="N370" s="152" t="s">
        <v>165</v>
      </c>
      <c r="O370" s="155">
        <v>43527</v>
      </c>
      <c r="P370" s="155">
        <v>43370</v>
      </c>
      <c r="Q370" s="156">
        <f t="shared" si="143"/>
        <v>43465</v>
      </c>
      <c r="R370" s="155">
        <v>43556</v>
      </c>
      <c r="S370" s="156">
        <f t="shared" si="144"/>
        <v>43556</v>
      </c>
      <c r="T370" s="140" t="str">
        <f t="shared" ca="1" si="136"/>
        <v/>
      </c>
      <c r="U370" s="139" t="str">
        <f t="shared" si="137"/>
        <v/>
      </c>
      <c r="V370" s="139" t="str">
        <f t="shared" si="138"/>
        <v/>
      </c>
      <c r="W370" s="139" t="str">
        <f t="shared" si="139"/>
        <v/>
      </c>
      <c r="X370" s="327"/>
    </row>
    <row r="371" spans="1:25" ht="18.75" x14ac:dyDescent="0.25">
      <c r="A371" s="151">
        <v>6</v>
      </c>
      <c r="B371" s="106" t="str">
        <f>'Funding 2019'!$K$91</f>
        <v>CGMM2019M264</v>
      </c>
      <c r="C371" s="151">
        <v>2100011546</v>
      </c>
      <c r="D371" s="151">
        <v>4500134525</v>
      </c>
      <c r="E371" s="165" t="s">
        <v>275</v>
      </c>
      <c r="F371" s="166">
        <f>1400000000*0</f>
        <v>0</v>
      </c>
      <c r="G371" s="166">
        <f>(165136920-135670440)*0</f>
        <v>0</v>
      </c>
      <c r="H371" s="166">
        <v>725000040</v>
      </c>
      <c r="J371" s="154">
        <f t="shared" si="150"/>
        <v>0</v>
      </c>
      <c r="K371" s="154">
        <f t="shared" si="151"/>
        <v>0</v>
      </c>
      <c r="L371" s="154">
        <f t="shared" si="152"/>
        <v>44692.395512267292</v>
      </c>
      <c r="N371" s="152" t="s">
        <v>195</v>
      </c>
      <c r="O371" s="155">
        <v>43676</v>
      </c>
      <c r="P371" s="155">
        <v>43497</v>
      </c>
      <c r="Q371" s="156">
        <f t="shared" si="143"/>
        <v>43497</v>
      </c>
      <c r="R371" s="155">
        <v>43525</v>
      </c>
      <c r="S371" s="156">
        <f t="shared" si="144"/>
        <v>43525</v>
      </c>
      <c r="T371" s="140" t="str">
        <f t="shared" ca="1" si="136"/>
        <v/>
      </c>
      <c r="U371" s="139" t="str">
        <f t="shared" si="137"/>
        <v/>
      </c>
      <c r="V371" s="139" t="str">
        <f t="shared" si="138"/>
        <v/>
      </c>
      <c r="W371" s="139" t="str">
        <f t="shared" si="139"/>
        <v/>
      </c>
      <c r="X371" s="327"/>
    </row>
    <row r="372" spans="1:25" ht="18.75" x14ac:dyDescent="0.25">
      <c r="A372" s="151">
        <v>7</v>
      </c>
      <c r="B372" s="106" t="str">
        <f>'Funding 2019'!$K$91</f>
        <v>CGMM2019M264</v>
      </c>
      <c r="C372" s="151">
        <v>2100011526</v>
      </c>
      <c r="D372" s="151">
        <v>4500134449</v>
      </c>
      <c r="E372" s="165" t="s">
        <v>196</v>
      </c>
      <c r="F372" s="166"/>
      <c r="G372" s="166">
        <f>318000000*0</f>
        <v>0</v>
      </c>
      <c r="H372" s="166">
        <v>318000000</v>
      </c>
      <c r="J372" s="154">
        <f t="shared" si="150"/>
        <v>0</v>
      </c>
      <c r="K372" s="154">
        <f t="shared" si="151"/>
        <v>0</v>
      </c>
      <c r="L372" s="154">
        <f t="shared" si="152"/>
        <v>19603.008260387127</v>
      </c>
      <c r="N372" s="152" t="s">
        <v>165</v>
      </c>
      <c r="O372" s="155">
        <v>43546</v>
      </c>
      <c r="P372" s="155">
        <v>43486</v>
      </c>
      <c r="Q372" s="156">
        <f t="shared" si="143"/>
        <v>43466</v>
      </c>
      <c r="R372" s="155">
        <v>43525</v>
      </c>
      <c r="S372" s="156">
        <f t="shared" si="144"/>
        <v>43525</v>
      </c>
      <c r="T372" s="140" t="str">
        <f t="shared" ca="1" si="136"/>
        <v/>
      </c>
      <c r="U372" s="139" t="str">
        <f t="shared" si="137"/>
        <v/>
      </c>
      <c r="V372" s="139" t="str">
        <f t="shared" si="138"/>
        <v/>
      </c>
      <c r="W372" s="139" t="str">
        <f t="shared" si="139"/>
        <v/>
      </c>
      <c r="X372" s="327"/>
    </row>
    <row r="373" spans="1:25" ht="18.75" x14ac:dyDescent="0.25">
      <c r="A373" s="151">
        <v>8</v>
      </c>
      <c r="B373" s="106" t="str">
        <f>'Funding 2019'!$K$91</f>
        <v>CGMM2019M264</v>
      </c>
      <c r="C373" s="151">
        <v>6100000722</v>
      </c>
      <c r="D373" s="151">
        <v>310119800</v>
      </c>
      <c r="E373" s="165" t="s">
        <v>276</v>
      </c>
      <c r="F373" s="166"/>
      <c r="G373" s="166">
        <f>64331329*0</f>
        <v>0</v>
      </c>
      <c r="H373" s="166">
        <v>49621939</v>
      </c>
      <c r="J373" s="154">
        <f t="shared" si="150"/>
        <v>0</v>
      </c>
      <c r="K373" s="154">
        <f t="shared" si="151"/>
        <v>0</v>
      </c>
      <c r="L373" s="154">
        <f t="shared" si="152"/>
        <v>3058.9285538158056</v>
      </c>
      <c r="N373" s="152" t="s">
        <v>165</v>
      </c>
      <c r="O373" s="155">
        <v>43532</v>
      </c>
      <c r="P373" s="155">
        <v>43475</v>
      </c>
      <c r="Q373" s="156">
        <f t="shared" si="143"/>
        <v>43466</v>
      </c>
      <c r="R373" s="155">
        <v>43525</v>
      </c>
      <c r="S373" s="156">
        <f t="shared" si="144"/>
        <v>43525</v>
      </c>
      <c r="T373" s="140" t="str">
        <f t="shared" ca="1" si="136"/>
        <v/>
      </c>
      <c r="U373" s="139" t="str">
        <f t="shared" si="137"/>
        <v/>
      </c>
      <c r="V373" s="139" t="str">
        <f t="shared" si="138"/>
        <v/>
      </c>
      <c r="W373" s="139" t="str">
        <f t="shared" si="139"/>
        <v/>
      </c>
      <c r="X373" s="327"/>
    </row>
    <row r="374" spans="1:25" ht="18.75" x14ac:dyDescent="0.25">
      <c r="A374" s="151">
        <v>9</v>
      </c>
      <c r="B374" s="106" t="str">
        <f>'Funding 2019'!$K$91</f>
        <v>CGMM2019M264</v>
      </c>
      <c r="C374" s="151">
        <v>6100000728</v>
      </c>
      <c r="D374" s="151">
        <v>310219800</v>
      </c>
      <c r="E374" s="165" t="s">
        <v>305</v>
      </c>
      <c r="F374" s="166"/>
      <c r="G374" s="166">
        <f>53649000*0</f>
        <v>0</v>
      </c>
      <c r="H374" s="166">
        <v>40973298</v>
      </c>
      <c r="J374" s="154">
        <f t="shared" si="150"/>
        <v>0</v>
      </c>
      <c r="K374" s="154">
        <f t="shared" si="151"/>
        <v>0</v>
      </c>
      <c r="L374" s="154">
        <f t="shared" si="152"/>
        <v>2525.7858463814573</v>
      </c>
      <c r="N374" s="152" t="s">
        <v>165</v>
      </c>
      <c r="O374" s="155">
        <v>43532</v>
      </c>
      <c r="P374" s="155">
        <v>43509</v>
      </c>
      <c r="Q374" s="156">
        <f t="shared" si="143"/>
        <v>43497</v>
      </c>
      <c r="R374" s="155">
        <v>43525</v>
      </c>
      <c r="S374" s="156">
        <f t="shared" si="144"/>
        <v>43525</v>
      </c>
      <c r="T374" s="140" t="str">
        <f t="shared" ca="1" si="136"/>
        <v/>
      </c>
      <c r="U374" s="139" t="str">
        <f t="shared" si="137"/>
        <v/>
      </c>
      <c r="V374" s="139" t="str">
        <f t="shared" si="138"/>
        <v/>
      </c>
      <c r="W374" s="139" t="str">
        <f t="shared" si="139"/>
        <v/>
      </c>
      <c r="X374" s="327"/>
    </row>
    <row r="375" spans="1:25" ht="18.75" x14ac:dyDescent="0.25">
      <c r="A375" s="151">
        <v>10</v>
      </c>
      <c r="B375" s="106" t="str">
        <f>'Funding 2019'!$K$91</f>
        <v>CGMM2019M264</v>
      </c>
      <c r="C375" s="151">
        <v>6100000734</v>
      </c>
      <c r="D375" s="151">
        <v>310219801</v>
      </c>
      <c r="E375" s="165" t="s">
        <v>340</v>
      </c>
      <c r="F375" s="166">
        <f>96969150*0</f>
        <v>0</v>
      </c>
      <c r="G375" s="166"/>
      <c r="H375" s="166">
        <v>32377725</v>
      </c>
      <c r="J375" s="154">
        <f t="shared" si="150"/>
        <v>0</v>
      </c>
      <c r="K375" s="154">
        <f t="shared" si="151"/>
        <v>0</v>
      </c>
      <c r="L375" s="154">
        <f t="shared" si="152"/>
        <v>1995.914498828751</v>
      </c>
      <c r="N375" s="152" t="s">
        <v>165</v>
      </c>
      <c r="O375" s="155">
        <v>43607</v>
      </c>
      <c r="P375" s="155">
        <v>43521</v>
      </c>
      <c r="Q375" s="156">
        <f t="shared" si="143"/>
        <v>43497</v>
      </c>
      <c r="R375" s="155">
        <v>43525</v>
      </c>
      <c r="S375" s="156">
        <f t="shared" si="144"/>
        <v>43525</v>
      </c>
      <c r="T375" s="140" t="str">
        <f t="shared" ca="1" si="136"/>
        <v/>
      </c>
      <c r="U375" s="139" t="str">
        <f t="shared" si="137"/>
        <v/>
      </c>
      <c r="V375" s="139" t="str">
        <f t="shared" si="138"/>
        <v/>
      </c>
      <c r="W375" s="139" t="str">
        <f t="shared" si="139"/>
        <v/>
      </c>
      <c r="X375" s="327"/>
    </row>
    <row r="376" spans="1:25" ht="18.75" x14ac:dyDescent="0.25">
      <c r="A376" s="151">
        <v>11</v>
      </c>
      <c r="B376" s="331" t="str">
        <f>'Funding 2019'!$K$91</f>
        <v>CGMM2019M264</v>
      </c>
      <c r="C376" s="283">
        <v>6100000744</v>
      </c>
      <c r="D376" s="283"/>
      <c r="E376" s="338" t="s">
        <v>353</v>
      </c>
      <c r="F376" s="280">
        <f>280279901*0</f>
        <v>0</v>
      </c>
      <c r="G376" s="280"/>
      <c r="H376" s="280"/>
      <c r="J376" s="154">
        <f t="shared" si="150"/>
        <v>0</v>
      </c>
      <c r="K376" s="154">
        <f t="shared" si="151"/>
        <v>0</v>
      </c>
      <c r="L376" s="154">
        <f t="shared" si="152"/>
        <v>0</v>
      </c>
      <c r="N376" s="152"/>
      <c r="O376" s="155"/>
      <c r="P376" s="155"/>
      <c r="Q376" s="156" t="str">
        <f t="shared" si="143"/>
        <v/>
      </c>
      <c r="R376" s="155"/>
      <c r="S376" s="156" t="str">
        <f t="shared" si="144"/>
        <v/>
      </c>
      <c r="T376" s="140" t="str">
        <f t="shared" ca="1" si="136"/>
        <v/>
      </c>
      <c r="U376" s="139" t="str">
        <f t="shared" si="137"/>
        <v/>
      </c>
      <c r="V376" s="139" t="str">
        <f t="shared" si="138"/>
        <v/>
      </c>
      <c r="W376" s="139" t="str">
        <f t="shared" si="139"/>
        <v/>
      </c>
      <c r="X376" s="327"/>
      <c r="Y376" s="139" t="s">
        <v>829</v>
      </c>
    </row>
    <row r="377" spans="1:25" ht="18.75" x14ac:dyDescent="0.25">
      <c r="A377" s="151">
        <v>12</v>
      </c>
      <c r="B377" s="331" t="str">
        <f>'Funding 2019'!$K$91</f>
        <v>CGMM2019M264</v>
      </c>
      <c r="C377" s="283"/>
      <c r="D377" s="283">
        <v>310319350</v>
      </c>
      <c r="E377" s="338" t="s">
        <v>354</v>
      </c>
      <c r="F377" s="280"/>
      <c r="G377" s="280">
        <f>209145674*0</f>
        <v>0</v>
      </c>
      <c r="H377" s="336">
        <v>246963040</v>
      </c>
      <c r="J377" s="154">
        <f t="shared" si="150"/>
        <v>0</v>
      </c>
      <c r="K377" s="154">
        <f t="shared" si="151"/>
        <v>0</v>
      </c>
      <c r="L377" s="154">
        <f t="shared" si="152"/>
        <v>15223.957588460116</v>
      </c>
      <c r="N377" s="152" t="s">
        <v>165</v>
      </c>
      <c r="O377" s="155">
        <v>43636</v>
      </c>
      <c r="P377" s="155">
        <v>43544</v>
      </c>
      <c r="Q377" s="156">
        <f t="shared" si="143"/>
        <v>43525</v>
      </c>
      <c r="R377" s="155">
        <v>43525</v>
      </c>
      <c r="S377" s="156">
        <f t="shared" si="144"/>
        <v>43525</v>
      </c>
      <c r="T377" s="140" t="str">
        <f t="shared" ca="1" si="136"/>
        <v/>
      </c>
      <c r="U377" s="139" t="str">
        <f t="shared" si="137"/>
        <v/>
      </c>
      <c r="V377" s="139" t="str">
        <f t="shared" si="138"/>
        <v/>
      </c>
      <c r="W377" s="139" t="str">
        <f t="shared" si="139"/>
        <v/>
      </c>
      <c r="X377" s="327"/>
      <c r="Y377" s="139" t="s">
        <v>829</v>
      </c>
    </row>
    <row r="378" spans="1:25" ht="18.75" x14ac:dyDescent="0.25">
      <c r="A378" s="151">
        <v>13</v>
      </c>
      <c r="B378" s="106" t="str">
        <f>'Funding 2019'!$K$91</f>
        <v>CGMM2019M264</v>
      </c>
      <c r="C378" s="151">
        <v>6100000751</v>
      </c>
      <c r="D378" s="151" t="s">
        <v>406</v>
      </c>
      <c r="E378" s="152" t="s">
        <v>602</v>
      </c>
      <c r="F378" s="166">
        <f>198705980*0</f>
        <v>0</v>
      </c>
      <c r="G378" s="166"/>
      <c r="H378" s="166">
        <v>632110177</v>
      </c>
      <c r="J378" s="154">
        <f t="shared" si="150"/>
        <v>0</v>
      </c>
      <c r="K378" s="154">
        <f t="shared" si="151"/>
        <v>0</v>
      </c>
      <c r="L378" s="154">
        <f t="shared" si="152"/>
        <v>38966.22962643324</v>
      </c>
      <c r="N378" s="152" t="s">
        <v>365</v>
      </c>
      <c r="O378" s="155">
        <v>43661</v>
      </c>
      <c r="P378" s="155">
        <v>43553</v>
      </c>
      <c r="Q378" s="156">
        <f t="shared" si="143"/>
        <v>43525</v>
      </c>
      <c r="R378" s="155">
        <v>43608</v>
      </c>
      <c r="S378" s="156">
        <f t="shared" si="144"/>
        <v>43586</v>
      </c>
      <c r="T378" s="140" t="str">
        <f t="shared" ca="1" si="136"/>
        <v/>
      </c>
      <c r="U378" s="139" t="str">
        <f t="shared" si="137"/>
        <v/>
      </c>
      <c r="V378" s="139" t="str">
        <f t="shared" si="138"/>
        <v/>
      </c>
      <c r="W378" s="139" t="str">
        <f t="shared" si="139"/>
        <v/>
      </c>
      <c r="X378" s="327"/>
    </row>
    <row r="379" spans="1:25" ht="18.75" x14ac:dyDescent="0.25">
      <c r="A379" s="151">
        <v>14</v>
      </c>
      <c r="B379" s="106" t="str">
        <f>'Funding 2019'!$K$91</f>
        <v>CGMM2019M264</v>
      </c>
      <c r="C379" s="151">
        <v>2100011603</v>
      </c>
      <c r="D379" s="151">
        <v>4500134668</v>
      </c>
      <c r="E379" s="152" t="s">
        <v>366</v>
      </c>
      <c r="F379" s="166"/>
      <c r="G379" s="166"/>
      <c r="H379" s="166">
        <v>20253600</v>
      </c>
      <c r="J379" s="154">
        <f t="shared" si="150"/>
        <v>0</v>
      </c>
      <c r="K379" s="154">
        <f t="shared" si="151"/>
        <v>0</v>
      </c>
      <c r="L379" s="154">
        <f t="shared" si="152"/>
        <v>1248.5266921464677</v>
      </c>
      <c r="N379" s="152" t="s">
        <v>165</v>
      </c>
      <c r="O379" s="155">
        <v>43584</v>
      </c>
      <c r="P379" s="155">
        <v>43545</v>
      </c>
      <c r="Q379" s="156">
        <f t="shared" si="143"/>
        <v>43525</v>
      </c>
      <c r="R379" s="155">
        <v>43525</v>
      </c>
      <c r="S379" s="156">
        <f t="shared" si="144"/>
        <v>43525</v>
      </c>
      <c r="T379" s="140" t="str">
        <f t="shared" ca="1" si="136"/>
        <v/>
      </c>
      <c r="U379" s="139" t="str">
        <f t="shared" si="137"/>
        <v/>
      </c>
      <c r="V379" s="139" t="str">
        <f t="shared" si="138"/>
        <v/>
      </c>
      <c r="W379" s="139" t="str">
        <f t="shared" si="139"/>
        <v/>
      </c>
      <c r="X379" s="327"/>
    </row>
    <row r="380" spans="1:25" ht="18.75" x14ac:dyDescent="0.25">
      <c r="A380" s="151">
        <v>15</v>
      </c>
      <c r="B380" s="106" t="str">
        <f>'Funding 2019'!$K$91</f>
        <v>CGMM2019M264</v>
      </c>
      <c r="C380" s="151">
        <v>2100011619</v>
      </c>
      <c r="D380" s="151">
        <v>4500134765</v>
      </c>
      <c r="E380" s="152" t="s">
        <v>405</v>
      </c>
      <c r="F380" s="166"/>
      <c r="G380" s="166">
        <f>367251456*0</f>
        <v>0</v>
      </c>
      <c r="H380" s="166">
        <v>382339168</v>
      </c>
      <c r="J380" s="154">
        <f t="shared" si="150"/>
        <v>0</v>
      </c>
      <c r="K380" s="154">
        <f t="shared" si="151"/>
        <v>0</v>
      </c>
      <c r="L380" s="154">
        <f t="shared" si="152"/>
        <v>23569.175687338182</v>
      </c>
      <c r="N380" s="152" t="s">
        <v>365</v>
      </c>
      <c r="O380" s="155">
        <v>43625</v>
      </c>
      <c r="P380" s="155">
        <v>43577</v>
      </c>
      <c r="Q380" s="156">
        <f t="shared" si="143"/>
        <v>43556</v>
      </c>
      <c r="R380" s="155">
        <v>43671</v>
      </c>
      <c r="S380" s="156">
        <f t="shared" si="144"/>
        <v>43647</v>
      </c>
      <c r="T380" s="140" t="str">
        <f t="shared" ca="1" si="136"/>
        <v/>
      </c>
      <c r="U380" s="139" t="str">
        <f t="shared" si="137"/>
        <v/>
      </c>
      <c r="V380" s="139" t="str">
        <f t="shared" si="138"/>
        <v/>
      </c>
      <c r="W380" s="139" t="str">
        <f t="shared" si="139"/>
        <v/>
      </c>
      <c r="X380" s="327"/>
    </row>
    <row r="381" spans="1:25" ht="18.75" x14ac:dyDescent="0.25">
      <c r="A381" s="151">
        <v>16</v>
      </c>
      <c r="B381" s="106" t="str">
        <f>'Funding 2019'!$K$91</f>
        <v>CGMM2019M264</v>
      </c>
      <c r="C381" s="164">
        <v>2100011683</v>
      </c>
      <c r="D381" s="164">
        <v>4500134966</v>
      </c>
      <c r="E381" s="165" t="s">
        <v>486</v>
      </c>
      <c r="F381" s="166"/>
      <c r="G381" s="166">
        <f>99300000*0</f>
        <v>0</v>
      </c>
      <c r="H381" s="166">
        <v>99300000</v>
      </c>
      <c r="J381" s="154">
        <f t="shared" si="150"/>
        <v>0</v>
      </c>
      <c r="K381" s="154">
        <f t="shared" si="151"/>
        <v>0</v>
      </c>
      <c r="L381" s="154">
        <f t="shared" si="152"/>
        <v>6121.3167303661694</v>
      </c>
      <c r="N381" s="152" t="s">
        <v>165</v>
      </c>
      <c r="O381" s="155">
        <v>43721</v>
      </c>
      <c r="P381" s="155">
        <v>43637</v>
      </c>
      <c r="Q381" s="156">
        <f t="shared" si="143"/>
        <v>43617</v>
      </c>
      <c r="R381" s="155">
        <v>43735</v>
      </c>
      <c r="S381" s="156">
        <f t="shared" si="144"/>
        <v>43709</v>
      </c>
      <c r="T381" s="140" t="str">
        <f t="shared" ca="1" si="136"/>
        <v/>
      </c>
      <c r="U381" s="139" t="str">
        <f t="shared" si="137"/>
        <v/>
      </c>
      <c r="V381" s="139" t="str">
        <f t="shared" si="138"/>
        <v/>
      </c>
      <c r="W381" s="139" t="str">
        <f t="shared" si="139"/>
        <v/>
      </c>
      <c r="X381" s="327"/>
    </row>
    <row r="382" spans="1:25" ht="18.75" x14ac:dyDescent="0.25">
      <c r="A382" s="151">
        <v>17</v>
      </c>
      <c r="B382" s="106" t="str">
        <f>'Funding 2019'!$K$91</f>
        <v>CGMM2019M264</v>
      </c>
      <c r="C382" s="151"/>
      <c r="D382" s="151">
        <v>4500134095</v>
      </c>
      <c r="E382" s="152" t="s">
        <v>722</v>
      </c>
      <c r="F382" s="166"/>
      <c r="G382" s="166"/>
      <c r="H382" s="166">
        <v>-625837997</v>
      </c>
      <c r="J382" s="154">
        <f t="shared" si="150"/>
        <v>0</v>
      </c>
      <c r="K382" s="154">
        <f t="shared" si="151"/>
        <v>0</v>
      </c>
      <c r="L382" s="154">
        <f t="shared" si="152"/>
        <v>-38579.583097028728</v>
      </c>
      <c r="N382" s="165"/>
      <c r="O382" s="169"/>
      <c r="P382" s="169">
        <v>43465</v>
      </c>
      <c r="Q382" s="156">
        <f t="shared" si="143"/>
        <v>43465</v>
      </c>
      <c r="R382" s="169">
        <v>43586</v>
      </c>
      <c r="S382" s="156">
        <f t="shared" si="144"/>
        <v>43586</v>
      </c>
      <c r="T382" s="140" t="str">
        <f t="shared" ca="1" si="136"/>
        <v/>
      </c>
      <c r="U382" s="139" t="str">
        <f t="shared" si="137"/>
        <v/>
      </c>
      <c r="V382" s="139" t="str">
        <f t="shared" si="138"/>
        <v/>
      </c>
      <c r="W382" s="139" t="str">
        <f t="shared" si="139"/>
        <v/>
      </c>
      <c r="X382" s="327"/>
    </row>
    <row r="383" spans="1:25" ht="18.75" x14ac:dyDescent="0.25">
      <c r="A383" s="151">
        <v>18</v>
      </c>
      <c r="B383" s="106" t="str">
        <f>'Funding 2019'!$K$91</f>
        <v>CGMM2019M264</v>
      </c>
      <c r="C383" s="151">
        <v>2100011711</v>
      </c>
      <c r="D383" s="151">
        <v>4500135057</v>
      </c>
      <c r="E383" s="152" t="s">
        <v>551</v>
      </c>
      <c r="F383" s="166">
        <f>549635000*0</f>
        <v>0</v>
      </c>
      <c r="G383" s="166">
        <v>516656900</v>
      </c>
      <c r="H383" s="166"/>
      <c r="J383" s="154">
        <f t="shared" si="150"/>
        <v>0</v>
      </c>
      <c r="K383" s="154">
        <f t="shared" si="151"/>
        <v>31849.149303415114</v>
      </c>
      <c r="L383" s="154">
        <f t="shared" si="152"/>
        <v>0</v>
      </c>
      <c r="N383" s="165" t="s">
        <v>552</v>
      </c>
      <c r="O383" s="169">
        <v>43714</v>
      </c>
      <c r="P383" s="145">
        <v>43656</v>
      </c>
      <c r="Q383" s="156">
        <f t="shared" si="143"/>
        <v>43647</v>
      </c>
      <c r="R383" s="169"/>
      <c r="S383" s="156" t="str">
        <f t="shared" si="144"/>
        <v/>
      </c>
      <c r="T383" s="140">
        <f t="shared" ca="1" si="136"/>
        <v>59</v>
      </c>
      <c r="U383" s="139" t="str">
        <f t="shared" si="137"/>
        <v/>
      </c>
      <c r="V383" s="139" t="str">
        <f t="shared" si="138"/>
        <v/>
      </c>
      <c r="W383" s="139" t="str">
        <f t="shared" si="139"/>
        <v/>
      </c>
      <c r="X383" s="327"/>
    </row>
    <row r="384" spans="1:25" ht="18.75" x14ac:dyDescent="0.25">
      <c r="A384" s="151">
        <v>19</v>
      </c>
      <c r="B384" s="106" t="str">
        <f>'Funding 2019'!$K$91</f>
        <v>CGMM2019M264</v>
      </c>
      <c r="C384" s="151">
        <v>6100000782</v>
      </c>
      <c r="D384" s="151" t="s">
        <v>846</v>
      </c>
      <c r="E384" s="152" t="s">
        <v>614</v>
      </c>
      <c r="F384" s="166">
        <f>696755150*0</f>
        <v>0</v>
      </c>
      <c r="G384" s="166">
        <v>693201410</v>
      </c>
      <c r="H384" s="166"/>
      <c r="J384" s="154">
        <f t="shared" si="150"/>
        <v>0</v>
      </c>
      <c r="K384" s="154">
        <f t="shared" si="151"/>
        <v>42732.179139440268</v>
      </c>
      <c r="L384" s="154">
        <f t="shared" si="152"/>
        <v>0</v>
      </c>
      <c r="N384" s="165" t="s">
        <v>165</v>
      </c>
      <c r="O384" s="169">
        <v>43810</v>
      </c>
      <c r="P384" s="145">
        <v>43665</v>
      </c>
      <c r="Q384" s="156">
        <f t="shared" si="143"/>
        <v>43647</v>
      </c>
      <c r="R384" s="169"/>
      <c r="S384" s="156" t="str">
        <f t="shared" si="144"/>
        <v/>
      </c>
      <c r="T384" s="140" t="str">
        <f t="shared" ca="1" si="136"/>
        <v/>
      </c>
      <c r="U384" s="139" t="str">
        <f t="shared" si="137"/>
        <v/>
      </c>
      <c r="V384" s="139" t="str">
        <f t="shared" si="138"/>
        <v/>
      </c>
      <c r="W384" s="139" t="str">
        <f t="shared" si="139"/>
        <v/>
      </c>
      <c r="X384" s="327"/>
    </row>
    <row r="385" spans="1:25" ht="18.75" x14ac:dyDescent="0.25">
      <c r="A385" s="151">
        <v>20</v>
      </c>
      <c r="B385" s="106" t="str">
        <f>'Funding 2019'!$K$91</f>
        <v>CGMM2019M264</v>
      </c>
      <c r="C385" s="151">
        <v>2100011741</v>
      </c>
      <c r="D385" s="151">
        <v>4500135142</v>
      </c>
      <c r="E385" s="152" t="s">
        <v>618</v>
      </c>
      <c r="F385" s="166">
        <f>20000000*0</f>
        <v>0</v>
      </c>
      <c r="G385" s="166"/>
      <c r="H385" s="166">
        <v>18000000</v>
      </c>
      <c r="J385" s="154">
        <f t="shared" si="150"/>
        <v>0</v>
      </c>
      <c r="K385" s="154">
        <f t="shared" si="151"/>
        <v>0</v>
      </c>
      <c r="L385" s="154">
        <f t="shared" si="152"/>
        <v>1109.6042411539884</v>
      </c>
      <c r="N385" s="165" t="s">
        <v>365</v>
      </c>
      <c r="O385" s="169">
        <v>43705</v>
      </c>
      <c r="P385" s="145">
        <v>43671</v>
      </c>
      <c r="Q385" s="156">
        <f t="shared" si="143"/>
        <v>43647</v>
      </c>
      <c r="R385" s="169">
        <v>43698</v>
      </c>
      <c r="S385" s="156">
        <f t="shared" si="144"/>
        <v>43678</v>
      </c>
      <c r="T385" s="140" t="str">
        <f t="shared" ca="1" si="136"/>
        <v/>
      </c>
      <c r="U385" s="139" t="str">
        <f t="shared" si="137"/>
        <v/>
      </c>
      <c r="V385" s="139" t="str">
        <f t="shared" si="138"/>
        <v/>
      </c>
      <c r="W385" s="139" t="str">
        <f t="shared" si="139"/>
        <v/>
      </c>
      <c r="X385" s="327"/>
    </row>
    <row r="386" spans="1:25" ht="18.75" x14ac:dyDescent="0.25">
      <c r="A386" s="151">
        <v>21</v>
      </c>
      <c r="B386" s="106" t="str">
        <f>'Funding 2019'!$K$91</f>
        <v>CGMM2019M264</v>
      </c>
      <c r="C386" s="151"/>
      <c r="D386" s="151"/>
      <c r="E386" s="152" t="s">
        <v>888</v>
      </c>
      <c r="F386" s="166"/>
      <c r="G386" s="280"/>
      <c r="H386" s="166">
        <v>-9049632</v>
      </c>
      <c r="J386" s="154">
        <f t="shared" si="150"/>
        <v>0</v>
      </c>
      <c r="K386" s="154">
        <f t="shared" si="151"/>
        <v>0</v>
      </c>
      <c r="L386" s="154">
        <f t="shared" si="152"/>
        <v>-557.86166933793618</v>
      </c>
      <c r="N386" s="165" t="s">
        <v>552</v>
      </c>
      <c r="O386" s="169">
        <v>43718</v>
      </c>
      <c r="P386" s="145">
        <v>43670</v>
      </c>
      <c r="Q386" s="156">
        <f t="shared" si="143"/>
        <v>43647</v>
      </c>
      <c r="R386" s="169">
        <v>43717</v>
      </c>
      <c r="S386" s="156">
        <f t="shared" si="144"/>
        <v>43709</v>
      </c>
      <c r="T386" s="140" t="str">
        <f t="shared" ca="1" si="136"/>
        <v/>
      </c>
      <c r="U386" s="139" t="str">
        <f t="shared" si="137"/>
        <v/>
      </c>
      <c r="V386" s="139" t="str">
        <f t="shared" si="138"/>
        <v/>
      </c>
      <c r="W386" s="139" t="str">
        <f t="shared" si="139"/>
        <v/>
      </c>
      <c r="X386" s="327"/>
      <c r="Y386" s="139" t="s">
        <v>785</v>
      </c>
    </row>
    <row r="387" spans="1:25" ht="18.75" x14ac:dyDescent="0.25">
      <c r="A387" s="151">
        <v>22</v>
      </c>
      <c r="B387" s="106" t="str">
        <f>'Funding 2019'!$K$91</f>
        <v>CGMM2019M264</v>
      </c>
      <c r="C387" s="151">
        <v>2100011754</v>
      </c>
      <c r="D387" s="151">
        <v>4500135194</v>
      </c>
      <c r="E387" s="152" t="s">
        <v>638</v>
      </c>
      <c r="F387" s="166">
        <f>82360000*0</f>
        <v>0</v>
      </c>
      <c r="G387" s="166">
        <v>71126250</v>
      </c>
      <c r="H387" s="166"/>
      <c r="J387" s="154">
        <f t="shared" si="150"/>
        <v>0</v>
      </c>
      <c r="K387" s="154">
        <f t="shared" si="151"/>
        <v>4384.5549254099369</v>
      </c>
      <c r="L387" s="154">
        <f t="shared" si="152"/>
        <v>0</v>
      </c>
      <c r="N387" s="165" t="s">
        <v>552</v>
      </c>
      <c r="O387" s="169">
        <v>43738</v>
      </c>
      <c r="P387" s="145">
        <v>43677</v>
      </c>
      <c r="Q387" s="156">
        <f t="shared" si="143"/>
        <v>43647</v>
      </c>
      <c r="R387" s="169"/>
      <c r="S387" s="156" t="str">
        <f t="shared" si="144"/>
        <v/>
      </c>
      <c r="T387" s="140">
        <f t="shared" ca="1" si="136"/>
        <v>35</v>
      </c>
      <c r="U387" s="139" t="str">
        <f t="shared" si="137"/>
        <v/>
      </c>
      <c r="V387" s="139" t="str">
        <f t="shared" si="138"/>
        <v/>
      </c>
      <c r="W387" s="139" t="str">
        <f t="shared" si="139"/>
        <v/>
      </c>
      <c r="X387" s="327"/>
    </row>
    <row r="388" spans="1:25" ht="18.75" x14ac:dyDescent="0.25">
      <c r="A388" s="151">
        <v>23</v>
      </c>
      <c r="B388" s="106" t="str">
        <f>'Funding 2019'!$K$91</f>
        <v>CGMM2019M264</v>
      </c>
      <c r="C388" s="151">
        <v>2100011755</v>
      </c>
      <c r="D388" s="151">
        <v>4500135182</v>
      </c>
      <c r="E388" s="152" t="s">
        <v>638</v>
      </c>
      <c r="F388" s="166">
        <f>208667809*0</f>
        <v>0</v>
      </c>
      <c r="G388" s="166">
        <f>207253387*0</f>
        <v>0</v>
      </c>
      <c r="H388" s="166">
        <v>201439154</v>
      </c>
      <c r="J388" s="154">
        <f t="shared" si="150"/>
        <v>0</v>
      </c>
      <c r="K388" s="154">
        <f t="shared" si="151"/>
        <v>0</v>
      </c>
      <c r="L388" s="154">
        <f t="shared" si="152"/>
        <v>12417.652200715078</v>
      </c>
      <c r="N388" s="165" t="s">
        <v>552</v>
      </c>
      <c r="O388" s="169">
        <v>43775</v>
      </c>
      <c r="P388" s="145">
        <v>43677</v>
      </c>
      <c r="Q388" s="156">
        <f t="shared" si="143"/>
        <v>43647</v>
      </c>
      <c r="R388" s="169">
        <v>43742</v>
      </c>
      <c r="S388" s="156">
        <f t="shared" si="144"/>
        <v>43739</v>
      </c>
      <c r="T388" s="140" t="str">
        <f t="shared" ref="T388:T457" ca="1" si="153">IF(R388="",IF(O388="",IF(P388="","",IF(P388-TODAY()&lt;=0,TODAY()-P388,"")),IF(O388-TODAY()&lt;=0,TODAY()-O388,"")),IF(SUM(F388:G388)&lt;&gt;0,IF(O388="",IF(P388="","",IF(P388-TODAY()&lt;=0,TODAY()-P388,"")),IF(O388-TODAY()&lt;=0,TODAY()-O388,"")),""))</f>
        <v/>
      </c>
      <c r="U388" s="139" t="str">
        <f t="shared" si="137"/>
        <v/>
      </c>
      <c r="V388" s="139" t="str">
        <f t="shared" si="138"/>
        <v/>
      </c>
      <c r="W388" s="139" t="str">
        <f t="shared" si="139"/>
        <v/>
      </c>
      <c r="X388" s="327"/>
    </row>
    <row r="389" spans="1:25" ht="18.75" x14ac:dyDescent="0.25">
      <c r="A389" s="151">
        <v>24</v>
      </c>
      <c r="B389" s="106" t="str">
        <f>'Funding 2019'!$K$91</f>
        <v>CGMM2019M264</v>
      </c>
      <c r="C389" s="151"/>
      <c r="D389" s="151">
        <v>4500134223</v>
      </c>
      <c r="E389" s="152" t="s">
        <v>652</v>
      </c>
      <c r="F389" s="166"/>
      <c r="G389" s="166"/>
      <c r="H389" s="166">
        <v>-389950000</v>
      </c>
      <c r="J389" s="154">
        <f t="shared" si="150"/>
        <v>0</v>
      </c>
      <c r="K389" s="154">
        <f t="shared" si="151"/>
        <v>0</v>
      </c>
      <c r="L389" s="154">
        <f t="shared" si="152"/>
        <v>-24038.342990999878</v>
      </c>
      <c r="N389" s="165"/>
      <c r="O389" s="145">
        <v>43455</v>
      </c>
      <c r="P389" s="145">
        <v>43455</v>
      </c>
      <c r="Q389" s="156">
        <f t="shared" si="143"/>
        <v>43465</v>
      </c>
      <c r="R389" s="169">
        <v>43677</v>
      </c>
      <c r="S389" s="156">
        <f t="shared" si="144"/>
        <v>43647</v>
      </c>
      <c r="T389" s="140" t="str">
        <f t="shared" ca="1" si="153"/>
        <v/>
      </c>
      <c r="U389" s="139" t="str">
        <f t="shared" ref="U389:U456" si="154">IF(A389="","",IF(AND(J389&gt;0,Q389=""), "RED",""))</f>
        <v/>
      </c>
      <c r="V389" s="139" t="str">
        <f t="shared" ref="V389:V456" si="155">IF(A389="","",IF(AND(K389&gt;0,Q389=""), "BLUE",""))</f>
        <v/>
      </c>
      <c r="W389" s="139" t="str">
        <f t="shared" ref="W389:W456" si="156">IF(A389="","",IF(AND(L389&gt;0,S389=""), "YELLOW",""))</f>
        <v/>
      </c>
      <c r="X389" s="327"/>
    </row>
    <row r="390" spans="1:25" ht="18.75" x14ac:dyDescent="0.25">
      <c r="A390" s="151">
        <v>25</v>
      </c>
      <c r="B390" s="106" t="str">
        <f>'Funding 2019'!$K$91</f>
        <v>CGMM2019M264</v>
      </c>
      <c r="C390" s="151">
        <v>2100011784</v>
      </c>
      <c r="D390" s="151" t="s">
        <v>777</v>
      </c>
      <c r="E390" s="152" t="s">
        <v>749</v>
      </c>
      <c r="F390" s="166">
        <f>87500000*0</f>
        <v>0</v>
      </c>
      <c r="G390" s="166">
        <f>87500000*0</f>
        <v>0</v>
      </c>
      <c r="H390" s="166">
        <v>34969522</v>
      </c>
      <c r="J390" s="154">
        <f t="shared" si="150"/>
        <v>0</v>
      </c>
      <c r="K390" s="154">
        <f t="shared" si="151"/>
        <v>0</v>
      </c>
      <c r="L390" s="154">
        <f t="shared" si="152"/>
        <v>2155.6849956848723</v>
      </c>
      <c r="N390" s="165" t="s">
        <v>552</v>
      </c>
      <c r="O390" s="169">
        <v>43738</v>
      </c>
      <c r="P390" s="145">
        <v>43699</v>
      </c>
      <c r="Q390" s="156">
        <f t="shared" si="143"/>
        <v>43678</v>
      </c>
      <c r="R390" s="169">
        <v>43717</v>
      </c>
      <c r="S390" s="156">
        <f t="shared" si="144"/>
        <v>43709</v>
      </c>
      <c r="T390" s="140" t="str">
        <f t="shared" ca="1" si="153"/>
        <v/>
      </c>
      <c r="U390" s="139" t="str">
        <f t="shared" si="154"/>
        <v/>
      </c>
      <c r="V390" s="139" t="str">
        <f t="shared" si="155"/>
        <v/>
      </c>
      <c r="W390" s="139" t="str">
        <f t="shared" si="156"/>
        <v/>
      </c>
      <c r="X390" s="327"/>
    </row>
    <row r="391" spans="1:25" ht="18.75" x14ac:dyDescent="0.25">
      <c r="A391" s="151">
        <v>26</v>
      </c>
      <c r="B391" s="106" t="str">
        <f>'Funding 2019'!$K$91</f>
        <v>CGMM2019M264</v>
      </c>
      <c r="C391" s="151">
        <v>2500003667</v>
      </c>
      <c r="D391" s="151"/>
      <c r="E391" s="152" t="s">
        <v>868</v>
      </c>
      <c r="F391" s="166">
        <f>19193000*0</f>
        <v>0</v>
      </c>
      <c r="G391" s="166">
        <v>45790000</v>
      </c>
      <c r="H391" s="166"/>
      <c r="J391" s="154">
        <f t="shared" si="150"/>
        <v>0</v>
      </c>
      <c r="K391" s="154">
        <f t="shared" si="151"/>
        <v>2822.7099001356182</v>
      </c>
      <c r="L391" s="154">
        <f t="shared" si="152"/>
        <v>0</v>
      </c>
      <c r="N391" s="165" t="s">
        <v>390</v>
      </c>
      <c r="O391" s="169">
        <v>43757</v>
      </c>
      <c r="P391" s="145">
        <v>43732</v>
      </c>
      <c r="Q391" s="156">
        <f t="shared" si="143"/>
        <v>43709</v>
      </c>
      <c r="R391" s="169"/>
      <c r="S391" s="156" t="str">
        <f t="shared" si="144"/>
        <v/>
      </c>
      <c r="T391" s="140">
        <f t="shared" ca="1" si="153"/>
        <v>16</v>
      </c>
      <c r="U391" s="139" t="str">
        <f t="shared" si="154"/>
        <v/>
      </c>
      <c r="V391" s="139" t="str">
        <f t="shared" si="155"/>
        <v/>
      </c>
      <c r="W391" s="139" t="str">
        <f t="shared" si="156"/>
        <v/>
      </c>
      <c r="X391" s="327"/>
    </row>
    <row r="392" spans="1:25" ht="18.75" x14ac:dyDescent="0.25">
      <c r="A392" s="151">
        <v>27</v>
      </c>
      <c r="B392" s="106" t="str">
        <f>'Funding 2019'!$K$91</f>
        <v>CGMM2019M264</v>
      </c>
      <c r="C392" s="151">
        <v>2100011812</v>
      </c>
      <c r="D392" s="151"/>
      <c r="E392" s="152" t="s">
        <v>887</v>
      </c>
      <c r="F392" s="166">
        <v>19193000</v>
      </c>
      <c r="G392" s="166"/>
      <c r="H392" s="166"/>
      <c r="J392" s="154">
        <f t="shared" si="150"/>
        <v>1183.1463444704723</v>
      </c>
      <c r="K392" s="154">
        <f t="shared" si="151"/>
        <v>0</v>
      </c>
      <c r="L392" s="154">
        <f t="shared" si="152"/>
        <v>0</v>
      </c>
      <c r="N392" s="165" t="s">
        <v>390</v>
      </c>
      <c r="O392" s="169">
        <v>43755</v>
      </c>
      <c r="P392" s="145">
        <v>43732</v>
      </c>
      <c r="Q392" s="156">
        <f t="shared" si="143"/>
        <v>43709</v>
      </c>
      <c r="R392" s="169"/>
      <c r="S392" s="156" t="str">
        <f t="shared" si="144"/>
        <v/>
      </c>
      <c r="T392" s="140">
        <f t="shared" ca="1" si="153"/>
        <v>18</v>
      </c>
      <c r="U392" s="139" t="str">
        <f t="shared" si="154"/>
        <v/>
      </c>
      <c r="V392" s="139" t="str">
        <f t="shared" si="155"/>
        <v/>
      </c>
      <c r="W392" s="139" t="str">
        <f t="shared" si="156"/>
        <v/>
      </c>
      <c r="X392" s="327"/>
    </row>
    <row r="393" spans="1:25" ht="18.75" x14ac:dyDescent="0.25">
      <c r="A393" s="151">
        <v>28</v>
      </c>
      <c r="B393" s="106" t="str">
        <f>'Funding 2019'!$K$91</f>
        <v>CGMM2019M264</v>
      </c>
      <c r="C393" s="151">
        <v>2100011816</v>
      </c>
      <c r="D393" s="151">
        <v>4500135447</v>
      </c>
      <c r="E393" s="152" t="s">
        <v>920</v>
      </c>
      <c r="F393" s="166"/>
      <c r="G393" s="166">
        <v>107964000</v>
      </c>
      <c r="H393" s="166"/>
      <c r="J393" s="154">
        <f t="shared" ref="J393" si="157">F393/$J$2</f>
        <v>0</v>
      </c>
      <c r="K393" s="154">
        <f t="shared" ref="K393" si="158">G393/$J$2</f>
        <v>6655.4062384416229</v>
      </c>
      <c r="L393" s="154">
        <f t="shared" ref="L393" si="159">H393/$J$2</f>
        <v>0</v>
      </c>
      <c r="N393" s="165" t="s">
        <v>552</v>
      </c>
      <c r="O393" s="169">
        <v>43789</v>
      </c>
      <c r="P393" s="145">
        <v>43759</v>
      </c>
      <c r="Q393" s="156">
        <f t="shared" si="143"/>
        <v>43739</v>
      </c>
      <c r="R393" s="169"/>
      <c r="S393" s="156" t="str">
        <f t="shared" si="144"/>
        <v/>
      </c>
      <c r="T393" s="140" t="str">
        <f t="shared" ca="1" si="153"/>
        <v/>
      </c>
      <c r="U393" s="139" t="str">
        <f t="shared" si="154"/>
        <v/>
      </c>
      <c r="V393" s="139" t="str">
        <f t="shared" si="155"/>
        <v/>
      </c>
      <c r="W393" s="139" t="str">
        <f t="shared" si="156"/>
        <v/>
      </c>
      <c r="X393" s="327"/>
    </row>
    <row r="394" spans="1:25" ht="18.75" x14ac:dyDescent="0.25">
      <c r="A394" s="151">
        <v>29</v>
      </c>
      <c r="B394" s="106" t="str">
        <f>'Funding 2019'!$K$91</f>
        <v>CGMM2019M264</v>
      </c>
      <c r="C394" s="151">
        <v>2100011892</v>
      </c>
      <c r="D394" s="151"/>
      <c r="E394" s="152" t="s">
        <v>933</v>
      </c>
      <c r="F394" s="166">
        <v>323093860</v>
      </c>
      <c r="G394" s="166"/>
      <c r="H394" s="166"/>
      <c r="J394" s="154">
        <f t="shared" ref="J394:J404" si="160">F394/$J$2</f>
        <v>19917.017630378497</v>
      </c>
      <c r="K394" s="154">
        <f t="shared" ref="K394:K404" si="161">G394/$J$2</f>
        <v>0</v>
      </c>
      <c r="L394" s="154">
        <f t="shared" ref="L394:L404" si="162">H394/$J$2</f>
        <v>0</v>
      </c>
      <c r="N394" s="165" t="s">
        <v>552</v>
      </c>
      <c r="O394" s="169">
        <v>43819</v>
      </c>
      <c r="P394" s="145">
        <v>43770</v>
      </c>
      <c r="Q394" s="156">
        <f t="shared" si="143"/>
        <v>43770</v>
      </c>
      <c r="R394" s="169"/>
      <c r="S394" s="156" t="str">
        <f t="shared" si="144"/>
        <v/>
      </c>
      <c r="T394" s="140" t="str">
        <f t="shared" ca="1" si="153"/>
        <v/>
      </c>
      <c r="X394" s="327"/>
    </row>
    <row r="395" spans="1:25" ht="18.75" x14ac:dyDescent="0.25">
      <c r="A395" s="151">
        <v>30</v>
      </c>
      <c r="B395" s="106" t="str">
        <f>'Funding 2019'!$K$91</f>
        <v>CGMM2019M264</v>
      </c>
      <c r="C395" s="151">
        <v>2100011908</v>
      </c>
      <c r="D395" s="151"/>
      <c r="E395" s="152" t="s">
        <v>934</v>
      </c>
      <c r="F395" s="166">
        <v>738163330</v>
      </c>
      <c r="G395" s="166"/>
      <c r="H395" s="166"/>
      <c r="J395" s="154">
        <f t="shared" si="160"/>
        <v>45503.842312908397</v>
      </c>
      <c r="K395" s="154">
        <f t="shared" si="161"/>
        <v>0</v>
      </c>
      <c r="L395" s="154">
        <f t="shared" si="162"/>
        <v>0</v>
      </c>
      <c r="N395" s="165" t="s">
        <v>552</v>
      </c>
      <c r="O395" s="169">
        <v>43819</v>
      </c>
      <c r="P395" s="145">
        <v>43770</v>
      </c>
      <c r="Q395" s="156">
        <f t="shared" si="143"/>
        <v>43770</v>
      </c>
      <c r="R395" s="169"/>
      <c r="S395" s="156" t="str">
        <f t="shared" si="144"/>
        <v/>
      </c>
      <c r="T395" s="140" t="str">
        <f t="shared" ca="1" si="153"/>
        <v/>
      </c>
      <c r="X395" s="327"/>
    </row>
    <row r="396" spans="1:25" ht="18.75" x14ac:dyDescent="0.25">
      <c r="A396" s="151">
        <v>31</v>
      </c>
      <c r="B396" s="106" t="str">
        <f>'Funding 2019'!$K$91</f>
        <v>CGMM2019M264</v>
      </c>
      <c r="C396" s="151"/>
      <c r="D396" s="151"/>
      <c r="E396" s="152"/>
      <c r="F396" s="166"/>
      <c r="G396" s="166"/>
      <c r="H396" s="166"/>
      <c r="J396" s="154">
        <f t="shared" si="160"/>
        <v>0</v>
      </c>
      <c r="K396" s="154">
        <f t="shared" si="161"/>
        <v>0</v>
      </c>
      <c r="L396" s="154">
        <f t="shared" si="162"/>
        <v>0</v>
      </c>
      <c r="N396" s="165"/>
      <c r="O396" s="169"/>
      <c r="Q396" s="156" t="str">
        <f t="shared" si="143"/>
        <v/>
      </c>
      <c r="R396" s="169"/>
      <c r="S396" s="156" t="str">
        <f t="shared" si="144"/>
        <v/>
      </c>
      <c r="T396" s="140" t="str">
        <f t="shared" ca="1" si="153"/>
        <v/>
      </c>
      <c r="X396" s="327"/>
    </row>
    <row r="397" spans="1:25" ht="18.75" x14ac:dyDescent="0.25">
      <c r="A397" s="151">
        <v>32</v>
      </c>
      <c r="B397" s="106" t="str">
        <f>'Funding 2019'!$K$91</f>
        <v>CGMM2019M264</v>
      </c>
      <c r="C397" s="151"/>
      <c r="D397" s="151"/>
      <c r="E397" s="152"/>
      <c r="F397" s="166"/>
      <c r="G397" s="166"/>
      <c r="H397" s="166"/>
      <c r="J397" s="154">
        <f t="shared" si="160"/>
        <v>0</v>
      </c>
      <c r="K397" s="154">
        <f t="shared" si="161"/>
        <v>0</v>
      </c>
      <c r="L397" s="154">
        <f t="shared" si="162"/>
        <v>0</v>
      </c>
      <c r="N397" s="165"/>
      <c r="O397" s="169"/>
      <c r="Q397" s="156" t="str">
        <f t="shared" si="143"/>
        <v/>
      </c>
      <c r="R397" s="169"/>
      <c r="S397" s="156" t="str">
        <f t="shared" si="144"/>
        <v/>
      </c>
      <c r="T397" s="140" t="str">
        <f t="shared" ca="1" si="153"/>
        <v/>
      </c>
      <c r="X397" s="327"/>
    </row>
    <row r="398" spans="1:25" ht="18.75" x14ac:dyDescent="0.25">
      <c r="A398" s="151">
        <v>33</v>
      </c>
      <c r="B398" s="106" t="str">
        <f>'Funding 2019'!$K$91</f>
        <v>CGMM2019M264</v>
      </c>
      <c r="C398" s="151"/>
      <c r="D398" s="151"/>
      <c r="E398" s="152"/>
      <c r="F398" s="166"/>
      <c r="G398" s="166"/>
      <c r="H398" s="166"/>
      <c r="J398" s="154">
        <f t="shared" si="160"/>
        <v>0</v>
      </c>
      <c r="K398" s="154">
        <f t="shared" si="161"/>
        <v>0</v>
      </c>
      <c r="L398" s="154">
        <f t="shared" si="162"/>
        <v>0</v>
      </c>
      <c r="N398" s="165" t="s">
        <v>552</v>
      </c>
      <c r="O398" s="169">
        <v>43789</v>
      </c>
      <c r="P398" s="145">
        <v>43737</v>
      </c>
      <c r="Q398" s="156">
        <f t="shared" si="143"/>
        <v>43709</v>
      </c>
      <c r="R398" s="169"/>
      <c r="S398" s="156" t="str">
        <f t="shared" si="144"/>
        <v/>
      </c>
      <c r="T398" s="140" t="str">
        <f t="shared" ca="1" si="153"/>
        <v/>
      </c>
      <c r="U398" s="139" t="str">
        <f t="shared" si="154"/>
        <v/>
      </c>
      <c r="V398" s="139" t="str">
        <f t="shared" si="155"/>
        <v/>
      </c>
      <c r="W398" s="139" t="str">
        <f t="shared" si="156"/>
        <v/>
      </c>
      <c r="X398" s="327"/>
    </row>
    <row r="399" spans="1:25" ht="18.75" x14ac:dyDescent="0.25">
      <c r="A399" s="151">
        <v>34</v>
      </c>
      <c r="B399" s="106" t="str">
        <f>'Funding 2019'!$K$91</f>
        <v>CGMM2019M264</v>
      </c>
      <c r="C399" s="151">
        <v>2100011861</v>
      </c>
      <c r="D399" s="151"/>
      <c r="E399" s="152" t="s">
        <v>915</v>
      </c>
      <c r="F399" s="166">
        <v>132982500</v>
      </c>
      <c r="G399" s="166"/>
      <c r="H399" s="166"/>
      <c r="J399" s="154">
        <f t="shared" si="160"/>
        <v>8197.6636666255708</v>
      </c>
      <c r="K399" s="154">
        <f t="shared" si="161"/>
        <v>0</v>
      </c>
      <c r="L399" s="154">
        <f t="shared" si="162"/>
        <v>0</v>
      </c>
      <c r="N399" s="165" t="s">
        <v>552</v>
      </c>
      <c r="O399" s="169">
        <v>43818</v>
      </c>
      <c r="P399" s="145">
        <v>43759</v>
      </c>
      <c r="Q399" s="156">
        <f t="shared" si="143"/>
        <v>43739</v>
      </c>
      <c r="R399" s="169"/>
      <c r="S399" s="156" t="str">
        <f t="shared" si="144"/>
        <v/>
      </c>
      <c r="T399" s="140" t="str">
        <f t="shared" ca="1" si="153"/>
        <v/>
      </c>
      <c r="U399" s="139" t="str">
        <f t="shared" si="154"/>
        <v/>
      </c>
      <c r="V399" s="139" t="str">
        <f t="shared" si="155"/>
        <v/>
      </c>
      <c r="W399" s="139" t="str">
        <f t="shared" si="156"/>
        <v/>
      </c>
      <c r="X399" s="327"/>
    </row>
    <row r="400" spans="1:25" ht="18.75" x14ac:dyDescent="0.25">
      <c r="A400" s="151">
        <v>35</v>
      </c>
      <c r="B400" s="106" t="str">
        <f>'Funding 2019'!$K$91</f>
        <v>CGMM2019M264</v>
      </c>
      <c r="C400" s="151">
        <v>2100011860</v>
      </c>
      <c r="D400" s="151"/>
      <c r="E400" s="152" t="s">
        <v>916</v>
      </c>
      <c r="F400" s="166">
        <v>82100000</v>
      </c>
      <c r="G400" s="166"/>
      <c r="H400" s="166"/>
      <c r="J400" s="154">
        <f t="shared" si="160"/>
        <v>5061.0282332634697</v>
      </c>
      <c r="K400" s="154">
        <f t="shared" si="161"/>
        <v>0</v>
      </c>
      <c r="L400" s="154">
        <f t="shared" si="162"/>
        <v>0</v>
      </c>
      <c r="N400" s="165" t="s">
        <v>552</v>
      </c>
      <c r="O400" s="169">
        <v>43818</v>
      </c>
      <c r="P400" s="145">
        <v>43759</v>
      </c>
      <c r="Q400" s="156">
        <f t="shared" si="143"/>
        <v>43739</v>
      </c>
      <c r="R400" s="169"/>
      <c r="S400" s="156" t="str">
        <f t="shared" si="144"/>
        <v/>
      </c>
      <c r="T400" s="140" t="str">
        <f t="shared" ca="1" si="153"/>
        <v/>
      </c>
      <c r="U400" s="139" t="str">
        <f t="shared" si="154"/>
        <v/>
      </c>
      <c r="V400" s="139" t="str">
        <f t="shared" si="155"/>
        <v/>
      </c>
      <c r="W400" s="139" t="str">
        <f t="shared" si="156"/>
        <v/>
      </c>
      <c r="X400" s="327"/>
    </row>
    <row r="401" spans="1:24" ht="18.75" x14ac:dyDescent="0.25">
      <c r="A401" s="151">
        <v>36</v>
      </c>
      <c r="B401" s="106" t="str">
        <f>'Funding 2019'!$K$91</f>
        <v>CGMM2019M264</v>
      </c>
      <c r="C401" s="151">
        <v>2100011842</v>
      </c>
      <c r="D401" s="151"/>
      <c r="E401" s="152" t="s">
        <v>918</v>
      </c>
      <c r="F401" s="166">
        <v>56900000</v>
      </c>
      <c r="G401" s="166"/>
      <c r="H401" s="166"/>
      <c r="J401" s="154">
        <f t="shared" si="160"/>
        <v>3507.5822956478855</v>
      </c>
      <c r="K401" s="154">
        <f t="shared" si="161"/>
        <v>0</v>
      </c>
      <c r="L401" s="154">
        <f t="shared" si="162"/>
        <v>0</v>
      </c>
      <c r="N401" s="165" t="s">
        <v>552</v>
      </c>
      <c r="O401" s="169">
        <v>43796</v>
      </c>
      <c r="P401" s="145">
        <v>43759</v>
      </c>
      <c r="Q401" s="156">
        <f t="shared" si="143"/>
        <v>43739</v>
      </c>
      <c r="R401" s="169"/>
      <c r="S401" s="156" t="str">
        <f t="shared" si="144"/>
        <v/>
      </c>
      <c r="T401" s="140" t="str">
        <f t="shared" ca="1" si="153"/>
        <v/>
      </c>
      <c r="U401" s="139" t="str">
        <f t="shared" si="154"/>
        <v/>
      </c>
      <c r="V401" s="139" t="str">
        <f t="shared" si="155"/>
        <v/>
      </c>
      <c r="W401" s="139" t="str">
        <f t="shared" si="156"/>
        <v/>
      </c>
      <c r="X401" s="327"/>
    </row>
    <row r="402" spans="1:24" ht="18.75" x14ac:dyDescent="0.25">
      <c r="A402" s="151">
        <v>37</v>
      </c>
      <c r="B402" s="106" t="str">
        <f>'Funding 2019'!$K$91</f>
        <v>CGMM2019M264</v>
      </c>
      <c r="C402" s="151">
        <v>2100011845</v>
      </c>
      <c r="D402" s="151">
        <v>4500135448</v>
      </c>
      <c r="E402" s="152" t="s">
        <v>917</v>
      </c>
      <c r="F402" s="166"/>
      <c r="G402" s="166">
        <v>51486304</v>
      </c>
      <c r="H402" s="166"/>
      <c r="J402" s="154">
        <f t="shared" si="160"/>
        <v>0</v>
      </c>
      <c r="K402" s="154">
        <f t="shared" si="161"/>
        <v>3173.8567377635309</v>
      </c>
      <c r="L402" s="154">
        <f t="shared" si="162"/>
        <v>0</v>
      </c>
      <c r="N402" s="165" t="s">
        <v>919</v>
      </c>
      <c r="O402" s="169">
        <v>43790</v>
      </c>
      <c r="P402" s="145">
        <v>43759</v>
      </c>
      <c r="Q402" s="156">
        <f t="shared" si="143"/>
        <v>43739</v>
      </c>
      <c r="R402" s="169"/>
      <c r="S402" s="156" t="str">
        <f t="shared" si="144"/>
        <v/>
      </c>
      <c r="T402" s="140" t="str">
        <f t="shared" ca="1" si="153"/>
        <v/>
      </c>
      <c r="U402" s="139" t="str">
        <f t="shared" si="154"/>
        <v/>
      </c>
      <c r="V402" s="139" t="str">
        <f t="shared" si="155"/>
        <v/>
      </c>
      <c r="W402" s="139" t="str">
        <f t="shared" si="156"/>
        <v/>
      </c>
      <c r="X402" s="327"/>
    </row>
    <row r="403" spans="1:24" ht="18.75" x14ac:dyDescent="0.25">
      <c r="A403" s="151">
        <v>38</v>
      </c>
      <c r="B403" s="106" t="str">
        <f>'Funding 2019'!$K$91</f>
        <v>CGMM2019M264</v>
      </c>
      <c r="C403" s="151">
        <v>2100011840</v>
      </c>
      <c r="D403" s="151">
        <v>4500135426</v>
      </c>
      <c r="E403" s="152" t="s">
        <v>921</v>
      </c>
      <c r="F403" s="166"/>
      <c r="G403" s="166">
        <v>26250000</v>
      </c>
      <c r="H403" s="166"/>
      <c r="J403" s="154">
        <f t="shared" si="160"/>
        <v>0</v>
      </c>
      <c r="K403" s="154">
        <f t="shared" si="161"/>
        <v>1618.1728516828998</v>
      </c>
      <c r="L403" s="154">
        <f t="shared" si="162"/>
        <v>0</v>
      </c>
      <c r="N403" s="165" t="s">
        <v>552</v>
      </c>
      <c r="O403" s="169">
        <v>43797</v>
      </c>
      <c r="P403" s="145">
        <v>43759</v>
      </c>
      <c r="Q403" s="156">
        <f t="shared" si="143"/>
        <v>43739</v>
      </c>
      <c r="R403" s="169"/>
      <c r="S403" s="156" t="str">
        <f t="shared" si="144"/>
        <v/>
      </c>
      <c r="T403" s="140" t="str">
        <f t="shared" ca="1" si="153"/>
        <v/>
      </c>
      <c r="U403" s="139" t="str">
        <f t="shared" si="154"/>
        <v/>
      </c>
      <c r="V403" s="139" t="str">
        <f t="shared" si="155"/>
        <v/>
      </c>
      <c r="W403" s="139" t="str">
        <f t="shared" si="156"/>
        <v/>
      </c>
      <c r="X403" s="327"/>
    </row>
    <row r="404" spans="1:24" ht="18.75" x14ac:dyDescent="0.25">
      <c r="A404" s="151">
        <v>39</v>
      </c>
      <c r="B404" s="106" t="str">
        <f>'Funding 2019'!$K$91</f>
        <v>CGMM2019M264</v>
      </c>
      <c r="C404" s="151">
        <v>2100011831</v>
      </c>
      <c r="D404" s="151">
        <v>4500135427</v>
      </c>
      <c r="E404" s="152" t="s">
        <v>922</v>
      </c>
      <c r="F404" s="166"/>
      <c r="G404" s="166">
        <v>54900000</v>
      </c>
      <c r="H404" s="166"/>
      <c r="J404" s="154">
        <f t="shared" si="160"/>
        <v>0</v>
      </c>
      <c r="K404" s="154">
        <f t="shared" si="161"/>
        <v>3384.2929355196648</v>
      </c>
      <c r="L404" s="154">
        <f t="shared" si="162"/>
        <v>0</v>
      </c>
      <c r="N404" s="165" t="s">
        <v>552</v>
      </c>
      <c r="O404" s="169">
        <v>43789</v>
      </c>
      <c r="P404" s="145">
        <v>43734</v>
      </c>
      <c r="Q404" s="156">
        <f t="shared" si="143"/>
        <v>43709</v>
      </c>
      <c r="R404" s="169"/>
      <c r="S404" s="156" t="str">
        <f t="shared" si="144"/>
        <v/>
      </c>
      <c r="T404" s="140" t="str">
        <f t="shared" ca="1" si="153"/>
        <v/>
      </c>
      <c r="U404" s="139" t="str">
        <f t="shared" si="154"/>
        <v/>
      </c>
      <c r="V404" s="139" t="str">
        <f t="shared" si="155"/>
        <v/>
      </c>
      <c r="W404" s="139" t="str">
        <f t="shared" si="156"/>
        <v/>
      </c>
      <c r="X404" s="327"/>
    </row>
    <row r="405" spans="1:24" ht="18.75" x14ac:dyDescent="0.25">
      <c r="A405" s="151">
        <v>40</v>
      </c>
      <c r="B405" s="106" t="str">
        <f>'Funding 2019'!$K$91</f>
        <v>CGMM2019M264</v>
      </c>
      <c r="C405" s="151">
        <v>2100011826</v>
      </c>
      <c r="D405" s="151">
        <v>4500135425</v>
      </c>
      <c r="E405" s="152" t="s">
        <v>923</v>
      </c>
      <c r="F405" s="166"/>
      <c r="G405" s="166">
        <v>178257929</v>
      </c>
      <c r="H405" s="166"/>
      <c r="J405" s="154">
        <f t="shared" ref="J405:J406" si="163">F405/$J$2</f>
        <v>0</v>
      </c>
      <c r="K405" s="154">
        <f t="shared" ref="K405:K406" si="164">G405/$J$2</f>
        <v>10988.65300209592</v>
      </c>
      <c r="L405" s="154">
        <f t="shared" ref="L405:L406" si="165">H405/$J$2</f>
        <v>0</v>
      </c>
      <c r="N405" s="165" t="s">
        <v>552</v>
      </c>
      <c r="O405" s="169">
        <v>43789</v>
      </c>
      <c r="P405" s="145">
        <v>43759</v>
      </c>
      <c r="Q405" s="156">
        <f t="shared" si="143"/>
        <v>43739</v>
      </c>
      <c r="R405" s="169"/>
      <c r="S405" s="156" t="str">
        <f t="shared" si="144"/>
        <v/>
      </c>
      <c r="T405" s="140" t="str">
        <f t="shared" ca="1" si="153"/>
        <v/>
      </c>
      <c r="U405" s="139" t="str">
        <f t="shared" si="154"/>
        <v/>
      </c>
      <c r="V405" s="139" t="str">
        <f t="shared" si="155"/>
        <v/>
      </c>
      <c r="W405" s="139" t="str">
        <f t="shared" si="156"/>
        <v/>
      </c>
      <c r="X405" s="327"/>
    </row>
    <row r="406" spans="1:24" ht="18.75" x14ac:dyDescent="0.25">
      <c r="A406" s="151">
        <v>41</v>
      </c>
      <c r="B406" s="106" t="str">
        <f>'Funding 2019'!$K$91</f>
        <v>CGMM2019M264</v>
      </c>
      <c r="C406" s="151"/>
      <c r="D406" s="151"/>
      <c r="E406" s="152" t="s">
        <v>924</v>
      </c>
      <c r="F406" s="166"/>
      <c r="G406" s="166"/>
      <c r="H406" s="166"/>
      <c r="J406" s="154">
        <f t="shared" si="163"/>
        <v>0</v>
      </c>
      <c r="K406" s="154">
        <f t="shared" si="164"/>
        <v>0</v>
      </c>
      <c r="L406" s="154">
        <f t="shared" si="165"/>
        <v>0</v>
      </c>
      <c r="N406" s="165"/>
      <c r="O406" s="169"/>
      <c r="Q406" s="156" t="str">
        <f t="shared" ref="Q406:Q469" si="166">IF(P406="","",IF(YEAR(P406)&lt;=2018,DATE(2018,12,31),EOMONTH(P406,-1)+1))</f>
        <v/>
      </c>
      <c r="R406" s="169"/>
      <c r="S406" s="156" t="str">
        <f t="shared" ref="S406:S469" si="167">IF(R406="","",IF(YEAR(R406)&lt;=2018,DATE(2018,12,31),EOMONTH(R406,-1)+1))</f>
        <v/>
      </c>
      <c r="T406" s="140"/>
      <c r="U406" s="139" t="str">
        <f t="shared" si="154"/>
        <v/>
      </c>
      <c r="V406" s="139" t="str">
        <f t="shared" si="155"/>
        <v/>
      </c>
      <c r="W406" s="139" t="str">
        <f t="shared" si="156"/>
        <v/>
      </c>
      <c r="X406" s="327"/>
    </row>
    <row r="407" spans="1:24" ht="18.75" x14ac:dyDescent="0.25">
      <c r="A407" s="151">
        <v>42</v>
      </c>
      <c r="B407" s="106" t="str">
        <f>'Funding 2019'!$K$91</f>
        <v>CGMM2019M264</v>
      </c>
      <c r="C407" s="151">
        <v>2100011363</v>
      </c>
      <c r="D407" s="151">
        <v>4500133909</v>
      </c>
      <c r="E407" s="152" t="s">
        <v>601</v>
      </c>
      <c r="F407" s="166"/>
      <c r="G407" s="166"/>
      <c r="H407" s="166">
        <v>-4107176364</v>
      </c>
      <c r="J407" s="154">
        <f t="shared" si="150"/>
        <v>0</v>
      </c>
      <c r="K407" s="154">
        <f t="shared" si="151"/>
        <v>0</v>
      </c>
      <c r="L407" s="154">
        <f t="shared" si="152"/>
        <v>-253185.57292565651</v>
      </c>
      <c r="N407" s="165"/>
      <c r="O407" s="169"/>
      <c r="P407" s="169">
        <v>43465</v>
      </c>
      <c r="Q407" s="156">
        <f t="shared" si="166"/>
        <v>43465</v>
      </c>
      <c r="R407" s="169">
        <v>43586</v>
      </c>
      <c r="S407" s="156">
        <f t="shared" si="167"/>
        <v>43586</v>
      </c>
      <c r="T407" s="140" t="str">
        <f t="shared" ca="1" si="153"/>
        <v/>
      </c>
      <c r="U407" s="139" t="str">
        <f t="shared" si="154"/>
        <v/>
      </c>
      <c r="V407" s="139" t="str">
        <f t="shared" si="155"/>
        <v/>
      </c>
      <c r="W407" s="139" t="str">
        <f t="shared" si="156"/>
        <v/>
      </c>
      <c r="X407" s="327"/>
    </row>
    <row r="408" spans="1:24" ht="18.75" x14ac:dyDescent="0.25">
      <c r="A408" s="151">
        <v>43</v>
      </c>
      <c r="B408" s="106" t="str">
        <f>'Funding 2019'!$K$91</f>
        <v>CGMM2019M264</v>
      </c>
      <c r="C408" s="151">
        <v>2100011363</v>
      </c>
      <c r="D408" s="151">
        <v>4500133909</v>
      </c>
      <c r="E408" s="152" t="s">
        <v>492</v>
      </c>
      <c r="F408" s="166"/>
      <c r="G408" s="166"/>
      <c r="H408" s="166">
        <v>8017661407</v>
      </c>
      <c r="J408" s="154">
        <f t="shared" si="150"/>
        <v>0</v>
      </c>
      <c r="K408" s="154">
        <f t="shared" si="151"/>
        <v>0</v>
      </c>
      <c r="L408" s="154">
        <f t="shared" si="152"/>
        <v>494246.1722968808</v>
      </c>
      <c r="N408" s="165"/>
      <c r="O408" s="169"/>
      <c r="P408" s="169">
        <v>43465</v>
      </c>
      <c r="Q408" s="156">
        <f t="shared" si="166"/>
        <v>43465</v>
      </c>
      <c r="R408" s="169">
        <v>43586</v>
      </c>
      <c r="S408" s="156">
        <f t="shared" si="167"/>
        <v>43586</v>
      </c>
      <c r="T408" s="140" t="str">
        <f t="shared" ca="1" si="153"/>
        <v/>
      </c>
      <c r="U408" s="139" t="str">
        <f t="shared" si="154"/>
        <v/>
      </c>
      <c r="V408" s="139" t="str">
        <f t="shared" si="155"/>
        <v/>
      </c>
      <c r="W408" s="139" t="str">
        <f t="shared" si="156"/>
        <v/>
      </c>
      <c r="X408" s="327"/>
    </row>
    <row r="409" spans="1:24" ht="18.75" x14ac:dyDescent="0.25">
      <c r="A409" s="151">
        <v>44</v>
      </c>
      <c r="B409" s="106" t="str">
        <f>'Funding 2019'!$K$91</f>
        <v>CGMM2019M264</v>
      </c>
      <c r="C409" s="151"/>
      <c r="D409" s="151"/>
      <c r="E409" s="152" t="s">
        <v>699</v>
      </c>
      <c r="F409" s="166"/>
      <c r="G409" s="166"/>
      <c r="H409" s="166">
        <f>0*363866618</f>
        <v>0</v>
      </c>
      <c r="J409" s="154">
        <f t="shared" si="150"/>
        <v>0</v>
      </c>
      <c r="K409" s="154">
        <f t="shared" si="151"/>
        <v>0</v>
      </c>
      <c r="L409" s="154">
        <f t="shared" si="152"/>
        <v>0</v>
      </c>
      <c r="N409" s="165"/>
      <c r="O409" s="169"/>
      <c r="P409" s="169">
        <v>43465</v>
      </c>
      <c r="Q409" s="156">
        <f t="shared" si="166"/>
        <v>43465</v>
      </c>
      <c r="R409" s="169">
        <v>43586</v>
      </c>
      <c r="S409" s="156">
        <f t="shared" si="167"/>
        <v>43586</v>
      </c>
      <c r="T409" s="140" t="str">
        <f t="shared" ca="1" si="153"/>
        <v/>
      </c>
      <c r="U409" s="139" t="str">
        <f t="shared" si="154"/>
        <v/>
      </c>
      <c r="V409" s="139" t="str">
        <f t="shared" si="155"/>
        <v/>
      </c>
      <c r="W409" s="139" t="str">
        <f t="shared" si="156"/>
        <v/>
      </c>
      <c r="X409" s="327"/>
    </row>
    <row r="410" spans="1:24" ht="18.75" x14ac:dyDescent="0.25">
      <c r="A410" s="157"/>
      <c r="B410" s="158"/>
      <c r="C410" s="157"/>
      <c r="D410" s="157"/>
      <c r="E410" s="159"/>
      <c r="F410" s="160">
        <f>SUM(F365:F409)</f>
        <v>1352432690</v>
      </c>
      <c r="G410" s="160">
        <f>SUM(G365:G409)</f>
        <v>1745632793</v>
      </c>
      <c r="H410" s="160">
        <f>SUM(H365:H409)</f>
        <v>12189544791</v>
      </c>
      <c r="J410" s="161">
        <f>F410/$J$2</f>
        <v>83370.280483294293</v>
      </c>
      <c r="K410" s="161">
        <f>G410/$J$2</f>
        <v>107608.97503390457</v>
      </c>
      <c r="L410" s="161">
        <f>H410/$J$2</f>
        <v>751420.58876833925</v>
      </c>
      <c r="N410" s="159"/>
      <c r="O410" s="162"/>
      <c r="P410" s="162"/>
      <c r="Q410" s="156" t="str">
        <f t="shared" si="166"/>
        <v/>
      </c>
      <c r="R410" s="162"/>
      <c r="S410" s="156" t="str">
        <f t="shared" si="167"/>
        <v/>
      </c>
      <c r="T410" s="140" t="str">
        <f t="shared" ca="1" si="153"/>
        <v/>
      </c>
      <c r="U410" s="139" t="str">
        <f t="shared" si="154"/>
        <v/>
      </c>
      <c r="V410" s="139" t="str">
        <f t="shared" si="155"/>
        <v/>
      </c>
      <c r="W410" s="139" t="str">
        <f t="shared" si="156"/>
        <v/>
      </c>
      <c r="X410" s="327"/>
    </row>
    <row r="411" spans="1:24" ht="18.75" x14ac:dyDescent="0.25">
      <c r="Q411" s="156" t="str">
        <f t="shared" si="166"/>
        <v/>
      </c>
      <c r="S411" s="156" t="str">
        <f t="shared" si="167"/>
        <v/>
      </c>
      <c r="T411" s="140" t="str">
        <f t="shared" ca="1" si="153"/>
        <v/>
      </c>
      <c r="U411" s="139" t="str">
        <f t="shared" si="154"/>
        <v/>
      </c>
      <c r="V411" s="139" t="str">
        <f t="shared" si="155"/>
        <v/>
      </c>
      <c r="W411" s="139" t="str">
        <f t="shared" si="156"/>
        <v/>
      </c>
      <c r="X411" s="327"/>
    </row>
    <row r="412" spans="1:24" ht="18.75" x14ac:dyDescent="0.25">
      <c r="A412" s="163" t="str">
        <f>'Funding 2019'!L99</f>
        <v>Investment Product</v>
      </c>
      <c r="B412" s="113" t="str">
        <f>'Funding 2019'!L95</f>
        <v>W213 - E Class</v>
      </c>
      <c r="C412" s="147"/>
      <c r="D412" s="147"/>
      <c r="E412" s="148"/>
      <c r="F412" s="148"/>
      <c r="G412" s="148"/>
      <c r="H412" s="148"/>
      <c r="J412" s="149">
        <f t="shared" ref="J412:L418" si="168">F412/$J$2</f>
        <v>0</v>
      </c>
      <c r="K412" s="149">
        <f t="shared" si="168"/>
        <v>0</v>
      </c>
      <c r="L412" s="149">
        <f t="shared" si="168"/>
        <v>0</v>
      </c>
      <c r="N412" s="148"/>
      <c r="O412" s="150"/>
      <c r="P412" s="150"/>
      <c r="Q412" s="156" t="str">
        <f t="shared" si="166"/>
        <v/>
      </c>
      <c r="R412" s="150"/>
      <c r="S412" s="156" t="str">
        <f t="shared" si="167"/>
        <v/>
      </c>
      <c r="T412" s="140" t="str">
        <f t="shared" ca="1" si="153"/>
        <v/>
      </c>
      <c r="U412" s="139" t="str">
        <f t="shared" si="154"/>
        <v/>
      </c>
      <c r="V412" s="139" t="str">
        <f t="shared" si="155"/>
        <v/>
      </c>
      <c r="W412" s="139" t="str">
        <f t="shared" si="156"/>
        <v/>
      </c>
      <c r="X412" s="327"/>
    </row>
    <row r="413" spans="1:24" ht="18.75" x14ac:dyDescent="0.25">
      <c r="A413" s="151">
        <v>1</v>
      </c>
      <c r="B413" s="106" t="str">
        <f>'Funding 2019'!$K$95</f>
        <v>CGMM2019W213</v>
      </c>
      <c r="C413" s="151">
        <v>6100000707</v>
      </c>
      <c r="D413" s="151">
        <v>330119800</v>
      </c>
      <c r="E413" s="152" t="s">
        <v>277</v>
      </c>
      <c r="F413" s="166">
        <f>127000000*0</f>
        <v>0</v>
      </c>
      <c r="G413" s="166">
        <f>72489938*0</f>
        <v>0</v>
      </c>
      <c r="H413" s="166">
        <v>73498142</v>
      </c>
      <c r="J413" s="154">
        <f t="shared" si="168"/>
        <v>0</v>
      </c>
      <c r="K413" s="154">
        <f t="shared" si="168"/>
        <v>0</v>
      </c>
      <c r="L413" s="154">
        <f t="shared" si="168"/>
        <v>4530.7694488965599</v>
      </c>
      <c r="N413" s="152" t="s">
        <v>194</v>
      </c>
      <c r="O413" s="155">
        <v>43555</v>
      </c>
      <c r="P413" s="155">
        <v>43482</v>
      </c>
      <c r="Q413" s="156">
        <f t="shared" si="166"/>
        <v>43466</v>
      </c>
      <c r="R413" s="155">
        <v>43556</v>
      </c>
      <c r="S413" s="156">
        <f t="shared" si="167"/>
        <v>43556</v>
      </c>
      <c r="T413" s="140" t="str">
        <f t="shared" ca="1" si="153"/>
        <v/>
      </c>
      <c r="U413" s="139" t="str">
        <f t="shared" si="154"/>
        <v/>
      </c>
      <c r="V413" s="139" t="str">
        <f t="shared" si="155"/>
        <v/>
      </c>
      <c r="W413" s="139" t="str">
        <f t="shared" si="156"/>
        <v/>
      </c>
      <c r="X413" s="327"/>
    </row>
    <row r="414" spans="1:24" ht="18.75" x14ac:dyDescent="0.25">
      <c r="A414" s="151">
        <v>2</v>
      </c>
      <c r="B414" s="106" t="str">
        <f>'Funding 2019'!$K$95</f>
        <v>CGMM2019W213</v>
      </c>
      <c r="C414" s="151">
        <v>2100011675</v>
      </c>
      <c r="D414" s="151">
        <v>4500135058</v>
      </c>
      <c r="E414" s="152" t="s">
        <v>465</v>
      </c>
      <c r="F414" s="166">
        <f>65000000*0</f>
        <v>0</v>
      </c>
      <c r="G414" s="166"/>
      <c r="H414" s="166"/>
      <c r="J414" s="154">
        <f t="shared" si="168"/>
        <v>0</v>
      </c>
      <c r="K414" s="154">
        <f t="shared" si="168"/>
        <v>0</v>
      </c>
      <c r="L414" s="154">
        <f t="shared" si="168"/>
        <v>0</v>
      </c>
      <c r="N414" s="152"/>
      <c r="O414" s="155"/>
      <c r="P414" s="155"/>
      <c r="Q414" s="156" t="str">
        <f t="shared" si="166"/>
        <v/>
      </c>
      <c r="R414" s="155"/>
      <c r="S414" s="156" t="str">
        <f t="shared" si="167"/>
        <v/>
      </c>
      <c r="T414" s="140" t="str">
        <f t="shared" ca="1" si="153"/>
        <v/>
      </c>
      <c r="U414" s="139" t="str">
        <f t="shared" si="154"/>
        <v/>
      </c>
      <c r="V414" s="139" t="str">
        <f t="shared" si="155"/>
        <v/>
      </c>
      <c r="W414" s="139" t="str">
        <f t="shared" si="156"/>
        <v/>
      </c>
      <c r="X414" s="327"/>
    </row>
    <row r="415" spans="1:24" ht="18.75" x14ac:dyDescent="0.25">
      <c r="A415" s="151">
        <v>3</v>
      </c>
      <c r="B415" s="106" t="str">
        <f>'Funding 2019'!$K$95</f>
        <v>CGMM2019W213</v>
      </c>
      <c r="C415" s="151">
        <v>2100011680</v>
      </c>
      <c r="D415" s="151">
        <v>4500135034</v>
      </c>
      <c r="E415" s="152" t="s">
        <v>520</v>
      </c>
      <c r="F415" s="166"/>
      <c r="G415" s="166">
        <f>111200000*0</f>
        <v>0</v>
      </c>
      <c r="H415" s="166">
        <v>111200000</v>
      </c>
      <c r="J415" s="154">
        <f t="shared" si="168"/>
        <v>0</v>
      </c>
      <c r="K415" s="154">
        <f t="shared" si="168"/>
        <v>0</v>
      </c>
      <c r="L415" s="154">
        <f t="shared" si="168"/>
        <v>6854.888423129084</v>
      </c>
      <c r="N415" s="152" t="s">
        <v>165</v>
      </c>
      <c r="O415" s="155">
        <v>43768</v>
      </c>
      <c r="P415" s="155">
        <v>43609</v>
      </c>
      <c r="Q415" s="156">
        <f t="shared" si="166"/>
        <v>43586</v>
      </c>
      <c r="R415" s="155">
        <v>43686</v>
      </c>
      <c r="S415" s="156">
        <f t="shared" si="167"/>
        <v>43678</v>
      </c>
      <c r="T415" s="140" t="str">
        <f t="shared" ca="1" si="153"/>
        <v/>
      </c>
      <c r="U415" s="139" t="str">
        <f t="shared" si="154"/>
        <v/>
      </c>
      <c r="V415" s="139" t="str">
        <f t="shared" si="155"/>
        <v/>
      </c>
      <c r="W415" s="139" t="str">
        <f t="shared" si="156"/>
        <v/>
      </c>
      <c r="X415" s="327"/>
    </row>
    <row r="416" spans="1:24" ht="18.75" x14ac:dyDescent="0.25">
      <c r="A416" s="151">
        <v>4</v>
      </c>
      <c r="B416" s="106" t="str">
        <f>'Funding 2019'!$K$95</f>
        <v>CGMM2019W213</v>
      </c>
      <c r="C416" s="151">
        <v>5500011836</v>
      </c>
      <c r="D416" s="151">
        <v>1920202597</v>
      </c>
      <c r="E416" s="152" t="s">
        <v>626</v>
      </c>
      <c r="G416" s="166"/>
      <c r="H416" s="166">
        <v>14600000</v>
      </c>
      <c r="J416" s="154">
        <f t="shared" si="168"/>
        <v>0</v>
      </c>
      <c r="K416" s="154">
        <f t="shared" si="168"/>
        <v>0</v>
      </c>
      <c r="L416" s="154">
        <f t="shared" si="168"/>
        <v>900.01232893601286</v>
      </c>
      <c r="N416" s="152" t="s">
        <v>165</v>
      </c>
      <c r="O416" s="155">
        <v>43738</v>
      </c>
      <c r="P416" s="155">
        <v>43675</v>
      </c>
      <c r="Q416" s="156">
        <f t="shared" si="166"/>
        <v>43647</v>
      </c>
      <c r="R416" s="155">
        <v>43718</v>
      </c>
      <c r="S416" s="156">
        <f t="shared" si="167"/>
        <v>43709</v>
      </c>
      <c r="T416" s="140" t="str">
        <f t="shared" ca="1" si="153"/>
        <v/>
      </c>
      <c r="U416" s="139" t="str">
        <f t="shared" si="154"/>
        <v/>
      </c>
      <c r="V416" s="139" t="str">
        <f t="shared" si="155"/>
        <v/>
      </c>
      <c r="W416" s="139" t="str">
        <f t="shared" si="156"/>
        <v/>
      </c>
      <c r="X416" s="327"/>
    </row>
    <row r="417" spans="1:25" ht="18.75" x14ac:dyDescent="0.25">
      <c r="A417" s="151">
        <v>4</v>
      </c>
      <c r="B417" s="106" t="str">
        <f>'Funding 2019'!$K$95</f>
        <v>CGMM2019W213</v>
      </c>
      <c r="C417" s="151"/>
      <c r="D417" s="151"/>
      <c r="E417" s="152"/>
      <c r="F417" s="166"/>
      <c r="G417" s="166"/>
      <c r="H417" s="166"/>
      <c r="J417" s="154">
        <f t="shared" si="168"/>
        <v>0</v>
      </c>
      <c r="K417" s="154">
        <f t="shared" si="168"/>
        <v>0</v>
      </c>
      <c r="L417" s="154">
        <f t="shared" si="168"/>
        <v>0</v>
      </c>
      <c r="N417" s="152"/>
      <c r="O417" s="155"/>
      <c r="P417" s="155"/>
      <c r="Q417" s="156" t="str">
        <f t="shared" si="166"/>
        <v/>
      </c>
      <c r="R417" s="155"/>
      <c r="S417" s="156" t="str">
        <f t="shared" si="167"/>
        <v/>
      </c>
      <c r="T417" s="140" t="str">
        <f t="shared" ca="1" si="153"/>
        <v/>
      </c>
      <c r="U417" s="139" t="str">
        <f t="shared" si="154"/>
        <v/>
      </c>
      <c r="V417" s="139" t="str">
        <f t="shared" si="155"/>
        <v/>
      </c>
      <c r="W417" s="139" t="str">
        <f t="shared" si="156"/>
        <v/>
      </c>
      <c r="X417" s="327"/>
    </row>
    <row r="418" spans="1:25" ht="18.75" x14ac:dyDescent="0.25">
      <c r="A418" s="157"/>
      <c r="B418" s="158"/>
      <c r="C418" s="157"/>
      <c r="D418" s="157"/>
      <c r="E418" s="159"/>
      <c r="F418" s="160">
        <f>SUM(F412:F417)</f>
        <v>0</v>
      </c>
      <c r="G418" s="160">
        <f>SUM(G412:G417)</f>
        <v>0</v>
      </c>
      <c r="H418" s="160">
        <f>SUM(H412:H417)</f>
        <v>199298142</v>
      </c>
      <c r="J418" s="161">
        <f t="shared" si="168"/>
        <v>0</v>
      </c>
      <c r="K418" s="161">
        <f t="shared" si="168"/>
        <v>0</v>
      </c>
      <c r="L418" s="161">
        <f t="shared" si="168"/>
        <v>12285.670200961657</v>
      </c>
      <c r="N418" s="159"/>
      <c r="O418" s="162"/>
      <c r="P418" s="162"/>
      <c r="Q418" s="156" t="str">
        <f t="shared" si="166"/>
        <v/>
      </c>
      <c r="R418" s="162"/>
      <c r="S418" s="156" t="str">
        <f t="shared" si="167"/>
        <v/>
      </c>
      <c r="T418" s="140" t="str">
        <f t="shared" ca="1" si="153"/>
        <v/>
      </c>
      <c r="U418" s="139" t="str">
        <f t="shared" si="154"/>
        <v/>
      </c>
      <c r="V418" s="139" t="str">
        <f t="shared" si="155"/>
        <v/>
      </c>
      <c r="W418" s="139" t="str">
        <f t="shared" si="156"/>
        <v/>
      </c>
      <c r="X418" s="327"/>
    </row>
    <row r="419" spans="1:25" ht="18.75" x14ac:dyDescent="0.25">
      <c r="Q419" s="156" t="str">
        <f t="shared" si="166"/>
        <v/>
      </c>
      <c r="S419" s="156" t="str">
        <f t="shared" si="167"/>
        <v/>
      </c>
      <c r="T419" s="140" t="str">
        <f t="shared" ca="1" si="153"/>
        <v/>
      </c>
      <c r="U419" s="139" t="str">
        <f t="shared" si="154"/>
        <v/>
      </c>
      <c r="V419" s="139" t="str">
        <f t="shared" si="155"/>
        <v/>
      </c>
      <c r="W419" s="139" t="str">
        <f t="shared" si="156"/>
        <v/>
      </c>
      <c r="X419" s="327"/>
    </row>
    <row r="420" spans="1:25" ht="18.75" x14ac:dyDescent="0.25">
      <c r="A420" s="163" t="str">
        <f>'Funding 2019'!L99</f>
        <v>Investment Product</v>
      </c>
      <c r="B420" s="113" t="str">
        <f>'Funding 2019'!L96</f>
        <v>V222 - S Class</v>
      </c>
      <c r="C420" s="147"/>
      <c r="D420" s="147"/>
      <c r="E420" s="148"/>
      <c r="F420" s="148"/>
      <c r="G420" s="148"/>
      <c r="H420" s="148"/>
      <c r="J420" s="149">
        <f t="shared" ref="J420:J425" si="169">F420/$J$2</f>
        <v>0</v>
      </c>
      <c r="K420" s="149">
        <f t="shared" ref="K420:K425" si="170">G420/$J$2</f>
        <v>0</v>
      </c>
      <c r="L420" s="149">
        <f t="shared" ref="L420:L425" si="171">H420/$J$2</f>
        <v>0</v>
      </c>
      <c r="N420" s="148"/>
      <c r="O420" s="150"/>
      <c r="P420" s="150"/>
      <c r="Q420" s="156" t="str">
        <f t="shared" si="166"/>
        <v/>
      </c>
      <c r="R420" s="150"/>
      <c r="S420" s="156" t="str">
        <f t="shared" si="167"/>
        <v/>
      </c>
      <c r="T420" s="140" t="str">
        <f t="shared" ca="1" si="153"/>
        <v/>
      </c>
      <c r="U420" s="139" t="str">
        <f t="shared" si="154"/>
        <v/>
      </c>
      <c r="V420" s="139" t="str">
        <f t="shared" si="155"/>
        <v/>
      </c>
      <c r="W420" s="139" t="str">
        <f t="shared" si="156"/>
        <v/>
      </c>
      <c r="X420" s="327"/>
    </row>
    <row r="421" spans="1:25" ht="18.75" x14ac:dyDescent="0.25">
      <c r="A421" s="151">
        <v>1</v>
      </c>
      <c r="B421" s="106" t="str">
        <f>'Funding 2019'!$K$96</f>
        <v>CGMM2019V222</v>
      </c>
      <c r="C421" s="283">
        <v>2100011691</v>
      </c>
      <c r="D421" s="283">
        <v>4500134998</v>
      </c>
      <c r="E421" s="284" t="s">
        <v>491</v>
      </c>
      <c r="F421" s="285">
        <f>28110000*0</f>
        <v>0</v>
      </c>
      <c r="G421" s="285"/>
      <c r="H421" s="285">
        <f>28110000</f>
        <v>28110000</v>
      </c>
      <c r="I421" s="329"/>
      <c r="J421" s="330">
        <f t="shared" si="169"/>
        <v>0</v>
      </c>
      <c r="K421" s="330">
        <f t="shared" si="170"/>
        <v>0</v>
      </c>
      <c r="L421" s="330">
        <f t="shared" si="171"/>
        <v>1732.8319566021453</v>
      </c>
      <c r="M421" s="329"/>
      <c r="N421" s="284" t="s">
        <v>198</v>
      </c>
      <c r="O421" s="318">
        <v>43677</v>
      </c>
      <c r="P421" s="318">
        <v>43636</v>
      </c>
      <c r="Q421" s="156">
        <f t="shared" si="166"/>
        <v>43617</v>
      </c>
      <c r="R421" s="318">
        <v>43676</v>
      </c>
      <c r="S421" s="156">
        <f t="shared" si="167"/>
        <v>43647</v>
      </c>
      <c r="T421" s="140" t="str">
        <f t="shared" ca="1" si="153"/>
        <v/>
      </c>
      <c r="U421" s="139" t="str">
        <f t="shared" si="154"/>
        <v/>
      </c>
      <c r="V421" s="139" t="str">
        <f t="shared" si="155"/>
        <v/>
      </c>
      <c r="W421" s="139" t="str">
        <f t="shared" si="156"/>
        <v/>
      </c>
      <c r="X421" s="327"/>
    </row>
    <row r="422" spans="1:25" ht="18.75" x14ac:dyDescent="0.25">
      <c r="A422" s="151">
        <v>2</v>
      </c>
      <c r="B422" s="106" t="str">
        <f>'Funding 2019'!$K$96</f>
        <v>CGMM2019V222</v>
      </c>
      <c r="C422" s="283">
        <v>2100011691</v>
      </c>
      <c r="D422" s="283">
        <v>4500134998</v>
      </c>
      <c r="E422" s="284" t="s">
        <v>633</v>
      </c>
      <c r="F422" s="285">
        <f>28110000*0</f>
        <v>0</v>
      </c>
      <c r="G422" s="285"/>
      <c r="H422" s="285">
        <f>-28110000</f>
        <v>-28110000</v>
      </c>
      <c r="I422" s="329"/>
      <c r="J422" s="330">
        <f t="shared" ref="J422:L424" si="172">F422/$J$2</f>
        <v>0</v>
      </c>
      <c r="K422" s="330">
        <f t="shared" si="172"/>
        <v>0</v>
      </c>
      <c r="L422" s="330">
        <f t="shared" si="172"/>
        <v>-1732.8319566021453</v>
      </c>
      <c r="M422" s="329"/>
      <c r="N422" s="284" t="s">
        <v>198</v>
      </c>
      <c r="O422" s="318">
        <v>43677</v>
      </c>
      <c r="P422" s="318">
        <v>43636</v>
      </c>
      <c r="Q422" s="156">
        <f t="shared" si="166"/>
        <v>43617</v>
      </c>
      <c r="R422" s="318">
        <v>43676</v>
      </c>
      <c r="S422" s="156">
        <f t="shared" si="167"/>
        <v>43647</v>
      </c>
      <c r="T422" s="140" t="str">
        <f t="shared" ca="1" si="153"/>
        <v/>
      </c>
      <c r="U422" s="139" t="str">
        <f t="shared" si="154"/>
        <v/>
      </c>
      <c r="V422" s="139" t="str">
        <f t="shared" si="155"/>
        <v/>
      </c>
      <c r="W422" s="139" t="str">
        <f t="shared" si="156"/>
        <v/>
      </c>
      <c r="X422" s="327"/>
    </row>
    <row r="423" spans="1:25" ht="18.75" x14ac:dyDescent="0.25">
      <c r="A423" s="151">
        <v>3</v>
      </c>
      <c r="B423" s="106" t="str">
        <f>'Funding 2019'!$K$96</f>
        <v>CGMM2019V222</v>
      </c>
      <c r="C423" s="151">
        <v>5500012002</v>
      </c>
      <c r="D423" s="151"/>
      <c r="E423" s="152" t="s">
        <v>819</v>
      </c>
      <c r="F423" s="153"/>
      <c r="G423" s="153"/>
      <c r="H423" s="153"/>
      <c r="J423" s="154">
        <f t="shared" si="172"/>
        <v>0</v>
      </c>
      <c r="K423" s="154">
        <f t="shared" si="172"/>
        <v>0</v>
      </c>
      <c r="L423" s="154">
        <f t="shared" si="172"/>
        <v>0</v>
      </c>
      <c r="N423" s="152"/>
      <c r="O423" s="155"/>
      <c r="P423" s="155"/>
      <c r="Q423" s="156" t="str">
        <f t="shared" si="166"/>
        <v/>
      </c>
      <c r="R423" s="155"/>
      <c r="S423" s="156" t="str">
        <f t="shared" si="167"/>
        <v/>
      </c>
      <c r="T423" s="140" t="str">
        <f t="shared" ca="1" si="153"/>
        <v/>
      </c>
      <c r="U423" s="139" t="str">
        <f t="shared" si="154"/>
        <v/>
      </c>
      <c r="V423" s="139" t="str">
        <f t="shared" si="155"/>
        <v/>
      </c>
      <c r="W423" s="139" t="str">
        <f t="shared" si="156"/>
        <v/>
      </c>
      <c r="X423" s="327"/>
    </row>
    <row r="424" spans="1:25" ht="18.75" x14ac:dyDescent="0.25">
      <c r="A424" s="151">
        <v>4</v>
      </c>
      <c r="B424" s="106" t="str">
        <f>'Funding 2019'!$K$96</f>
        <v>CGMM2019V222</v>
      </c>
      <c r="C424" s="151"/>
      <c r="D424" s="151"/>
      <c r="E424" s="152"/>
      <c r="F424" s="153"/>
      <c r="G424" s="153"/>
      <c r="H424" s="153"/>
      <c r="J424" s="154">
        <f t="shared" si="172"/>
        <v>0</v>
      </c>
      <c r="K424" s="154">
        <f t="shared" si="172"/>
        <v>0</v>
      </c>
      <c r="L424" s="154">
        <f t="shared" si="172"/>
        <v>0</v>
      </c>
      <c r="N424" s="152"/>
      <c r="O424" s="155"/>
      <c r="P424" s="155"/>
      <c r="Q424" s="156" t="str">
        <f t="shared" si="166"/>
        <v/>
      </c>
      <c r="R424" s="155"/>
      <c r="S424" s="156" t="str">
        <f t="shared" si="167"/>
        <v/>
      </c>
      <c r="T424" s="140" t="str">
        <f t="shared" ca="1" si="153"/>
        <v/>
      </c>
      <c r="U424" s="139" t="str">
        <f t="shared" si="154"/>
        <v/>
      </c>
      <c r="V424" s="139" t="str">
        <f t="shared" si="155"/>
        <v/>
      </c>
      <c r="W424" s="139" t="str">
        <f t="shared" si="156"/>
        <v/>
      </c>
      <c r="X424" s="327"/>
    </row>
    <row r="425" spans="1:25" ht="18.75" x14ac:dyDescent="0.25">
      <c r="A425" s="157"/>
      <c r="B425" s="158"/>
      <c r="C425" s="157"/>
      <c r="D425" s="157"/>
      <c r="E425" s="159"/>
      <c r="F425" s="160">
        <f>SUM(F420:F424)</f>
        <v>0</v>
      </c>
      <c r="G425" s="160">
        <f>SUM(G420:G424)</f>
        <v>0</v>
      </c>
      <c r="H425" s="160">
        <f>SUM(H420:H424)</f>
        <v>0</v>
      </c>
      <c r="J425" s="161">
        <f t="shared" si="169"/>
        <v>0</v>
      </c>
      <c r="K425" s="161">
        <f t="shared" si="170"/>
        <v>0</v>
      </c>
      <c r="L425" s="161">
        <f t="shared" si="171"/>
        <v>0</v>
      </c>
      <c r="N425" s="159"/>
      <c r="O425" s="162"/>
      <c r="P425" s="162"/>
      <c r="Q425" s="156" t="str">
        <f t="shared" si="166"/>
        <v/>
      </c>
      <c r="R425" s="162"/>
      <c r="S425" s="156" t="str">
        <f t="shared" si="167"/>
        <v/>
      </c>
      <c r="T425" s="140" t="str">
        <f t="shared" ca="1" si="153"/>
        <v/>
      </c>
      <c r="U425" s="139" t="str">
        <f t="shared" si="154"/>
        <v/>
      </c>
      <c r="V425" s="139" t="str">
        <f t="shared" si="155"/>
        <v/>
      </c>
      <c r="W425" s="139" t="str">
        <f t="shared" si="156"/>
        <v/>
      </c>
      <c r="X425" s="327"/>
    </row>
    <row r="426" spans="1:25" ht="18.75" x14ac:dyDescent="0.25">
      <c r="Q426" s="156" t="str">
        <f t="shared" si="166"/>
        <v/>
      </c>
      <c r="S426" s="156" t="str">
        <f t="shared" si="167"/>
        <v/>
      </c>
      <c r="T426" s="140" t="str">
        <f t="shared" ca="1" si="153"/>
        <v/>
      </c>
      <c r="U426" s="139" t="str">
        <f t="shared" si="154"/>
        <v/>
      </c>
      <c r="V426" s="139" t="str">
        <f t="shared" si="155"/>
        <v/>
      </c>
      <c r="W426" s="139" t="str">
        <f t="shared" si="156"/>
        <v/>
      </c>
      <c r="X426" s="327"/>
    </row>
    <row r="427" spans="1:25" ht="18.75" x14ac:dyDescent="0.25">
      <c r="A427" s="163" t="str">
        <f>'Funding 2019'!L99</f>
        <v>Investment Product</v>
      </c>
      <c r="B427" s="113" t="str">
        <f>'Funding 2019'!L97</f>
        <v>W205 - C Class</v>
      </c>
      <c r="C427" s="147"/>
      <c r="D427" s="147"/>
      <c r="E427" s="148"/>
      <c r="F427" s="148"/>
      <c r="G427" s="148"/>
      <c r="H427" s="148"/>
      <c r="J427" s="149">
        <f t="shared" ref="J427:L434" si="173">F427/$J$2</f>
        <v>0</v>
      </c>
      <c r="K427" s="149">
        <f t="shared" si="173"/>
        <v>0</v>
      </c>
      <c r="L427" s="149">
        <f t="shared" si="173"/>
        <v>0</v>
      </c>
      <c r="N427" s="148"/>
      <c r="O427" s="150"/>
      <c r="P427" s="150"/>
      <c r="Q427" s="156" t="str">
        <f t="shared" si="166"/>
        <v/>
      </c>
      <c r="R427" s="150"/>
      <c r="S427" s="156" t="str">
        <f t="shared" si="167"/>
        <v/>
      </c>
      <c r="T427" s="140" t="str">
        <f t="shared" ca="1" si="153"/>
        <v/>
      </c>
      <c r="U427" s="139" t="str">
        <f t="shared" si="154"/>
        <v/>
      </c>
      <c r="V427" s="139" t="str">
        <f t="shared" si="155"/>
        <v/>
      </c>
      <c r="W427" s="139" t="str">
        <f t="shared" si="156"/>
        <v/>
      </c>
      <c r="X427" s="327"/>
    </row>
    <row r="428" spans="1:25" ht="18.75" x14ac:dyDescent="0.25">
      <c r="A428" s="151">
        <v>2</v>
      </c>
      <c r="B428" s="331" t="str">
        <f>'Funding 2019'!$K$97</f>
        <v>CGMM2019W205</v>
      </c>
      <c r="C428" s="283">
        <v>6100000743</v>
      </c>
      <c r="D428" s="283" t="s">
        <v>750</v>
      </c>
      <c r="E428" s="284" t="s">
        <v>352</v>
      </c>
      <c r="F428" s="285"/>
      <c r="G428" s="285"/>
      <c r="H428" s="285">
        <v>70745300</v>
      </c>
      <c r="J428" s="154">
        <f t="shared" si="173"/>
        <v>0</v>
      </c>
      <c r="K428" s="154">
        <f t="shared" si="173"/>
        <v>0</v>
      </c>
      <c r="L428" s="154">
        <f t="shared" si="173"/>
        <v>4361.0713845395139</v>
      </c>
      <c r="N428" s="152" t="s">
        <v>194</v>
      </c>
      <c r="O428" s="155">
        <v>43570</v>
      </c>
      <c r="P428" s="155">
        <v>43663</v>
      </c>
      <c r="Q428" s="156">
        <f t="shared" si="166"/>
        <v>43647</v>
      </c>
      <c r="R428" s="155">
        <v>43676</v>
      </c>
      <c r="S428" s="156">
        <f t="shared" si="167"/>
        <v>43647</v>
      </c>
      <c r="T428" s="140" t="str">
        <f t="shared" ca="1" si="153"/>
        <v/>
      </c>
      <c r="U428" s="139" t="str">
        <f t="shared" si="154"/>
        <v/>
      </c>
      <c r="V428" s="139" t="str">
        <f t="shared" si="155"/>
        <v/>
      </c>
      <c r="W428" s="139" t="str">
        <f t="shared" si="156"/>
        <v/>
      </c>
      <c r="X428" s="327"/>
      <c r="Y428" s="139" t="s">
        <v>850</v>
      </c>
    </row>
    <row r="429" spans="1:25" ht="18.75" x14ac:dyDescent="0.25">
      <c r="A429" s="151">
        <v>4</v>
      </c>
      <c r="B429" s="106" t="str">
        <f>'Funding 2019'!$K$97</f>
        <v>CGMM2019W205</v>
      </c>
      <c r="C429" s="151">
        <v>2100011743</v>
      </c>
      <c r="D429" s="151">
        <v>4500135146</v>
      </c>
      <c r="E429" s="152" t="s">
        <v>649</v>
      </c>
      <c r="F429" s="153"/>
      <c r="G429" s="287"/>
      <c r="H429" s="153">
        <v>46780024</v>
      </c>
      <c r="J429" s="154">
        <f t="shared" si="173"/>
        <v>0</v>
      </c>
      <c r="K429" s="154">
        <f t="shared" si="173"/>
        <v>0</v>
      </c>
      <c r="L429" s="154">
        <f t="shared" si="173"/>
        <v>2883.739612871409</v>
      </c>
      <c r="N429" s="152" t="s">
        <v>199</v>
      </c>
      <c r="O429" s="155">
        <v>43738</v>
      </c>
      <c r="P429" s="155">
        <v>43670</v>
      </c>
      <c r="Q429" s="156">
        <f t="shared" si="166"/>
        <v>43647</v>
      </c>
      <c r="R429" s="155">
        <v>43686</v>
      </c>
      <c r="S429" s="156">
        <f t="shared" si="167"/>
        <v>43678</v>
      </c>
      <c r="T429" s="140" t="str">
        <f t="shared" ca="1" si="153"/>
        <v/>
      </c>
      <c r="U429" s="139" t="str">
        <f t="shared" si="154"/>
        <v/>
      </c>
      <c r="V429" s="139" t="str">
        <f t="shared" si="155"/>
        <v/>
      </c>
      <c r="W429" s="139" t="str">
        <f t="shared" si="156"/>
        <v/>
      </c>
      <c r="X429" s="327"/>
    </row>
    <row r="430" spans="1:25" ht="18.75" x14ac:dyDescent="0.25">
      <c r="A430" s="151">
        <v>5</v>
      </c>
      <c r="B430" s="106" t="str">
        <f>'Funding 2019'!$K$97</f>
        <v>CGMM2019W205</v>
      </c>
      <c r="C430" s="151"/>
      <c r="D430" s="151" t="s">
        <v>650</v>
      </c>
      <c r="E430" s="152" t="s">
        <v>651</v>
      </c>
      <c r="F430" s="153"/>
      <c r="G430" s="153"/>
      <c r="H430" s="153">
        <f>11038846-7987616</f>
        <v>3051230</v>
      </c>
      <c r="J430" s="154">
        <f t="shared" si="173"/>
        <v>0</v>
      </c>
      <c r="K430" s="154">
        <f t="shared" si="173"/>
        <v>0</v>
      </c>
      <c r="L430" s="154">
        <f t="shared" si="173"/>
        <v>188.09209715201578</v>
      </c>
      <c r="N430" s="152"/>
      <c r="O430" s="155">
        <v>43676</v>
      </c>
      <c r="P430" s="155">
        <v>43705</v>
      </c>
      <c r="Q430" s="156">
        <f t="shared" si="166"/>
        <v>43678</v>
      </c>
      <c r="R430" s="155">
        <v>43682</v>
      </c>
      <c r="S430" s="156">
        <f t="shared" si="167"/>
        <v>43678</v>
      </c>
      <c r="T430" s="140" t="str">
        <f t="shared" ca="1" si="153"/>
        <v/>
      </c>
      <c r="U430" s="139" t="str">
        <f t="shared" si="154"/>
        <v/>
      </c>
      <c r="V430" s="139" t="str">
        <f t="shared" si="155"/>
        <v/>
      </c>
      <c r="W430" s="139" t="str">
        <f t="shared" si="156"/>
        <v/>
      </c>
      <c r="X430" s="327"/>
    </row>
    <row r="431" spans="1:25" ht="18.75" x14ac:dyDescent="0.25">
      <c r="A431" s="151">
        <v>6</v>
      </c>
      <c r="B431" s="106" t="str">
        <f>'Funding 2019'!$K$97</f>
        <v>CGMM2019W205</v>
      </c>
      <c r="C431" s="151"/>
      <c r="D431" s="151"/>
      <c r="E431" s="152"/>
      <c r="F431" s="153"/>
      <c r="G431" s="153"/>
      <c r="H431" s="153"/>
      <c r="J431" s="154">
        <f t="shared" si="173"/>
        <v>0</v>
      </c>
      <c r="K431" s="154">
        <f t="shared" si="173"/>
        <v>0</v>
      </c>
      <c r="L431" s="154">
        <f t="shared" si="173"/>
        <v>0</v>
      </c>
      <c r="N431" s="152"/>
      <c r="O431" s="155"/>
      <c r="P431" s="155"/>
      <c r="Q431" s="156" t="str">
        <f t="shared" si="166"/>
        <v/>
      </c>
      <c r="R431" s="155"/>
      <c r="S431" s="156" t="str">
        <f t="shared" si="167"/>
        <v/>
      </c>
      <c r="T431" s="140" t="str">
        <f t="shared" ca="1" si="153"/>
        <v/>
      </c>
      <c r="U431" s="139" t="str">
        <f t="shared" si="154"/>
        <v/>
      </c>
      <c r="V431" s="139" t="str">
        <f t="shared" si="155"/>
        <v/>
      </c>
      <c r="W431" s="139" t="str">
        <f t="shared" si="156"/>
        <v/>
      </c>
      <c r="X431" s="327"/>
    </row>
    <row r="432" spans="1:25" ht="18.75" x14ac:dyDescent="0.25">
      <c r="A432" s="151">
        <v>7</v>
      </c>
      <c r="B432" s="106" t="str">
        <f>'Funding 2019'!$K$97</f>
        <v>CGMM2019W205</v>
      </c>
      <c r="C432" s="151"/>
      <c r="D432" s="151"/>
      <c r="E432" s="152"/>
      <c r="F432" s="153"/>
      <c r="G432" s="153"/>
      <c r="H432" s="153"/>
      <c r="J432" s="154">
        <f t="shared" si="173"/>
        <v>0</v>
      </c>
      <c r="K432" s="154">
        <f t="shared" si="173"/>
        <v>0</v>
      </c>
      <c r="L432" s="154">
        <f t="shared" si="173"/>
        <v>0</v>
      </c>
      <c r="N432" s="152"/>
      <c r="O432" s="155"/>
      <c r="P432" s="155"/>
      <c r="Q432" s="156" t="str">
        <f t="shared" si="166"/>
        <v/>
      </c>
      <c r="R432" s="155"/>
      <c r="S432" s="156" t="str">
        <f t="shared" si="167"/>
        <v/>
      </c>
      <c r="T432" s="140" t="str">
        <f t="shared" ca="1" si="153"/>
        <v/>
      </c>
      <c r="U432" s="139" t="str">
        <f t="shared" si="154"/>
        <v/>
      </c>
      <c r="V432" s="139" t="str">
        <f t="shared" si="155"/>
        <v/>
      </c>
      <c r="W432" s="139" t="str">
        <f t="shared" si="156"/>
        <v/>
      </c>
      <c r="X432" s="327"/>
    </row>
    <row r="433" spans="1:25" ht="18.75" x14ac:dyDescent="0.25">
      <c r="A433" s="151">
        <v>8</v>
      </c>
      <c r="B433" s="106" t="str">
        <f>'Funding 2019'!$K$97</f>
        <v>CGMM2019W205</v>
      </c>
      <c r="C433" s="151"/>
      <c r="D433" s="151"/>
      <c r="E433" s="152"/>
      <c r="F433" s="153"/>
      <c r="G433" s="153"/>
      <c r="H433" s="153"/>
      <c r="J433" s="154">
        <f t="shared" si="173"/>
        <v>0</v>
      </c>
      <c r="K433" s="154">
        <f t="shared" si="173"/>
        <v>0</v>
      </c>
      <c r="L433" s="154">
        <f t="shared" si="173"/>
        <v>0</v>
      </c>
      <c r="N433" s="152"/>
      <c r="O433" s="155"/>
      <c r="P433" s="155"/>
      <c r="Q433" s="156" t="str">
        <f t="shared" si="166"/>
        <v/>
      </c>
      <c r="R433" s="155"/>
      <c r="S433" s="156" t="str">
        <f t="shared" si="167"/>
        <v/>
      </c>
      <c r="T433" s="140" t="str">
        <f t="shared" ca="1" si="153"/>
        <v/>
      </c>
      <c r="U433" s="139" t="str">
        <f t="shared" si="154"/>
        <v/>
      </c>
      <c r="V433" s="139" t="str">
        <f t="shared" si="155"/>
        <v/>
      </c>
      <c r="W433" s="139" t="str">
        <f t="shared" si="156"/>
        <v/>
      </c>
      <c r="X433" s="327"/>
    </row>
    <row r="434" spans="1:25" ht="18.75" x14ac:dyDescent="0.25">
      <c r="A434" s="157"/>
      <c r="B434" s="158"/>
      <c r="C434" s="157"/>
      <c r="D434" s="157"/>
      <c r="E434" s="159"/>
      <c r="F434" s="160">
        <f>SUM(F427:F433)</f>
        <v>0</v>
      </c>
      <c r="G434" s="160">
        <f>SUM(G427:G433)</f>
        <v>0</v>
      </c>
      <c r="H434" s="160">
        <f>SUM(H427:H433)</f>
        <v>120576554</v>
      </c>
      <c r="J434" s="161">
        <f t="shared" si="173"/>
        <v>0</v>
      </c>
      <c r="K434" s="161">
        <f t="shared" si="173"/>
        <v>0</v>
      </c>
      <c r="L434" s="161">
        <f t="shared" si="173"/>
        <v>7432.9030945629393</v>
      </c>
      <c r="N434" s="159"/>
      <c r="O434" s="162"/>
      <c r="P434" s="162"/>
      <c r="Q434" s="156" t="str">
        <f t="shared" si="166"/>
        <v/>
      </c>
      <c r="R434" s="162"/>
      <c r="S434" s="156" t="str">
        <f t="shared" si="167"/>
        <v/>
      </c>
      <c r="T434" s="140" t="str">
        <f t="shared" ca="1" si="153"/>
        <v/>
      </c>
      <c r="U434" s="139" t="str">
        <f t="shared" si="154"/>
        <v/>
      </c>
      <c r="V434" s="139" t="str">
        <f t="shared" si="155"/>
        <v/>
      </c>
      <c r="W434" s="139" t="str">
        <f t="shared" si="156"/>
        <v/>
      </c>
      <c r="X434" s="327"/>
    </row>
    <row r="435" spans="1:25" ht="18.75" x14ac:dyDescent="0.25">
      <c r="Q435" s="156" t="str">
        <f t="shared" si="166"/>
        <v/>
      </c>
      <c r="S435" s="156" t="str">
        <f t="shared" si="167"/>
        <v/>
      </c>
      <c r="T435" s="140" t="str">
        <f t="shared" ca="1" si="153"/>
        <v/>
      </c>
      <c r="U435" s="139" t="str">
        <f t="shared" si="154"/>
        <v/>
      </c>
      <c r="V435" s="139" t="str">
        <f t="shared" si="155"/>
        <v/>
      </c>
      <c r="W435" s="139" t="str">
        <f t="shared" si="156"/>
        <v/>
      </c>
      <c r="X435" s="327"/>
    </row>
    <row r="436" spans="1:25" ht="18.75" x14ac:dyDescent="0.25">
      <c r="A436" s="163" t="str">
        <f>'Funding 2019'!L99</f>
        <v>Investment Product</v>
      </c>
      <c r="B436" s="113" t="str">
        <f>'Funding 2019'!L98</f>
        <v>X253 - GLC</v>
      </c>
      <c r="C436" s="147"/>
      <c r="D436" s="147"/>
      <c r="E436" s="148"/>
      <c r="F436" s="148"/>
      <c r="G436" s="148"/>
      <c r="H436" s="148"/>
      <c r="J436" s="149">
        <f t="shared" ref="J436:L443" si="174">F436/$J$2</f>
        <v>0</v>
      </c>
      <c r="K436" s="149">
        <f t="shared" si="174"/>
        <v>0</v>
      </c>
      <c r="L436" s="149">
        <f t="shared" si="174"/>
        <v>0</v>
      </c>
      <c r="N436" s="148"/>
      <c r="O436" s="150"/>
      <c r="P436" s="150"/>
      <c r="Q436" s="156" t="str">
        <f t="shared" si="166"/>
        <v/>
      </c>
      <c r="R436" s="150"/>
      <c r="S436" s="156" t="str">
        <f t="shared" si="167"/>
        <v/>
      </c>
      <c r="T436" s="140" t="str">
        <f t="shared" ca="1" si="153"/>
        <v/>
      </c>
      <c r="U436" s="139" t="str">
        <f t="shared" si="154"/>
        <v/>
      </c>
      <c r="V436" s="139" t="str">
        <f t="shared" si="155"/>
        <v/>
      </c>
      <c r="W436" s="139" t="str">
        <f t="shared" si="156"/>
        <v/>
      </c>
      <c r="X436" s="327"/>
    </row>
    <row r="437" spans="1:25" ht="18.75" x14ac:dyDescent="0.25">
      <c r="A437" s="151">
        <v>2</v>
      </c>
      <c r="B437" s="106" t="str">
        <f>'Funding 2019'!$K$98</f>
        <v>CGMM2019X253</v>
      </c>
      <c r="C437" s="283">
        <v>2100011692</v>
      </c>
      <c r="D437" s="283">
        <v>4500134996</v>
      </c>
      <c r="E437" s="284" t="s">
        <v>477</v>
      </c>
      <c r="F437" s="285">
        <f>191030000*0</f>
        <v>0</v>
      </c>
      <c r="G437" s="285">
        <v>207560000</v>
      </c>
      <c r="H437" s="153"/>
      <c r="J437" s="154">
        <f t="shared" si="174"/>
        <v>0</v>
      </c>
      <c r="K437" s="154">
        <f t="shared" si="174"/>
        <v>12794.969794106768</v>
      </c>
      <c r="L437" s="154">
        <f t="shared" si="174"/>
        <v>0</v>
      </c>
      <c r="N437" s="152" t="s">
        <v>165</v>
      </c>
      <c r="O437" s="155">
        <v>43777</v>
      </c>
      <c r="P437" s="155">
        <v>43640</v>
      </c>
      <c r="Q437" s="156">
        <f t="shared" si="166"/>
        <v>43617</v>
      </c>
      <c r="R437" s="155"/>
      <c r="S437" s="156" t="str">
        <f t="shared" si="167"/>
        <v/>
      </c>
      <c r="T437" s="140" t="str">
        <f t="shared" ca="1" si="153"/>
        <v/>
      </c>
      <c r="U437" s="139" t="str">
        <f t="shared" si="154"/>
        <v/>
      </c>
      <c r="V437" s="139" t="str">
        <f t="shared" si="155"/>
        <v/>
      </c>
      <c r="W437" s="139" t="str">
        <f t="shared" si="156"/>
        <v/>
      </c>
      <c r="X437" s="327"/>
      <c r="Y437" s="278" t="s">
        <v>700</v>
      </c>
    </row>
    <row r="438" spans="1:25" ht="18.75" x14ac:dyDescent="0.25">
      <c r="A438" s="151">
        <v>3</v>
      </c>
      <c r="B438" s="106" t="str">
        <f>'Funding 2019'!$K$98</f>
        <v>CGMM2019X253</v>
      </c>
      <c r="C438" s="151">
        <v>2100011737</v>
      </c>
      <c r="D438" s="151">
        <v>4500135155</v>
      </c>
      <c r="E438" s="152" t="s">
        <v>611</v>
      </c>
      <c r="F438" s="153">
        <f>62732700*0</f>
        <v>0</v>
      </c>
      <c r="H438" s="153">
        <v>62732700</v>
      </c>
      <c r="J438" s="154">
        <f t="shared" si="174"/>
        <v>0</v>
      </c>
      <c r="K438" s="154">
        <f t="shared" si="174"/>
        <v>0</v>
      </c>
      <c r="L438" s="154">
        <f t="shared" si="174"/>
        <v>3867.1372210578229</v>
      </c>
      <c r="N438" s="152" t="s">
        <v>165</v>
      </c>
      <c r="O438" s="155">
        <v>43766</v>
      </c>
      <c r="P438" s="155">
        <v>43670</v>
      </c>
      <c r="Q438" s="156">
        <f t="shared" si="166"/>
        <v>43647</v>
      </c>
      <c r="R438" s="155">
        <v>43717</v>
      </c>
      <c r="S438" s="156">
        <f t="shared" si="167"/>
        <v>43709</v>
      </c>
      <c r="T438" s="140" t="str">
        <f t="shared" ca="1" si="153"/>
        <v/>
      </c>
      <c r="U438" s="139" t="str">
        <f t="shared" si="154"/>
        <v/>
      </c>
      <c r="V438" s="139" t="str">
        <f t="shared" si="155"/>
        <v/>
      </c>
      <c r="W438" s="139" t="str">
        <f t="shared" si="156"/>
        <v/>
      </c>
      <c r="X438" s="327"/>
    </row>
    <row r="439" spans="1:25" ht="18.75" x14ac:dyDescent="0.25">
      <c r="A439" s="151">
        <v>4</v>
      </c>
      <c r="B439" s="106" t="str">
        <f>'Funding 2019'!$K$98</f>
        <v>CGMM2019X253</v>
      </c>
      <c r="C439" s="151">
        <v>2100011765</v>
      </c>
      <c r="D439" s="151">
        <v>4500135195</v>
      </c>
      <c r="E439" s="152" t="s">
        <v>611</v>
      </c>
      <c r="F439" s="153">
        <f>104214000*0</f>
        <v>0</v>
      </c>
      <c r="G439" s="153"/>
      <c r="H439" s="153">
        <v>101068180</v>
      </c>
      <c r="J439" s="154">
        <f t="shared" si="174"/>
        <v>0</v>
      </c>
      <c r="K439" s="154">
        <f t="shared" si="174"/>
        <v>0</v>
      </c>
      <c r="L439" s="154">
        <f t="shared" si="174"/>
        <v>6230.3156207619286</v>
      </c>
      <c r="N439" s="152" t="s">
        <v>165</v>
      </c>
      <c r="O439" s="155">
        <v>43764</v>
      </c>
      <c r="P439" s="155">
        <v>43684</v>
      </c>
      <c r="Q439" s="156">
        <f t="shared" si="166"/>
        <v>43678</v>
      </c>
      <c r="R439" s="155">
        <v>43742</v>
      </c>
      <c r="S439" s="156">
        <f t="shared" si="167"/>
        <v>43739</v>
      </c>
      <c r="T439" s="140" t="str">
        <f t="shared" ca="1" si="153"/>
        <v/>
      </c>
      <c r="U439" s="139" t="str">
        <f t="shared" si="154"/>
        <v/>
      </c>
      <c r="V439" s="139" t="str">
        <f t="shared" si="155"/>
        <v/>
      </c>
      <c r="W439" s="139" t="str">
        <f t="shared" si="156"/>
        <v/>
      </c>
      <c r="X439" s="327"/>
    </row>
    <row r="440" spans="1:25" ht="18.75" x14ac:dyDescent="0.25">
      <c r="A440" s="151">
        <v>5</v>
      </c>
      <c r="B440" s="106" t="str">
        <f>'Funding 2019'!$K$98</f>
        <v>CGMM2019X253</v>
      </c>
      <c r="C440" s="151"/>
      <c r="D440" s="151"/>
      <c r="E440" s="152"/>
      <c r="F440" s="153"/>
      <c r="G440" s="153"/>
      <c r="H440" s="153"/>
      <c r="J440" s="154">
        <f t="shared" si="174"/>
        <v>0</v>
      </c>
      <c r="K440" s="154">
        <f t="shared" si="174"/>
        <v>0</v>
      </c>
      <c r="L440" s="154">
        <f t="shared" si="174"/>
        <v>0</v>
      </c>
      <c r="N440" s="152"/>
      <c r="O440" s="155"/>
      <c r="P440" s="155"/>
      <c r="Q440" s="156" t="str">
        <f t="shared" si="166"/>
        <v/>
      </c>
      <c r="R440" s="155"/>
      <c r="S440" s="156" t="str">
        <f t="shared" si="167"/>
        <v/>
      </c>
      <c r="T440" s="140" t="str">
        <f t="shared" ca="1" si="153"/>
        <v/>
      </c>
      <c r="U440" s="139" t="str">
        <f t="shared" si="154"/>
        <v/>
      </c>
      <c r="V440" s="139" t="str">
        <f t="shared" si="155"/>
        <v/>
      </c>
      <c r="W440" s="139" t="str">
        <f t="shared" si="156"/>
        <v/>
      </c>
      <c r="X440" s="327"/>
    </row>
    <row r="441" spans="1:25" ht="18.75" x14ac:dyDescent="0.25">
      <c r="A441" s="151">
        <v>6</v>
      </c>
      <c r="B441" s="106" t="str">
        <f>'Funding 2019'!$K$98</f>
        <v>CGMM2019X253</v>
      </c>
      <c r="C441" s="151"/>
      <c r="D441" s="151"/>
      <c r="E441" s="152"/>
      <c r="F441" s="153"/>
      <c r="G441" s="153"/>
      <c r="H441" s="153"/>
      <c r="J441" s="154">
        <f t="shared" si="174"/>
        <v>0</v>
      </c>
      <c r="K441" s="154">
        <f t="shared" si="174"/>
        <v>0</v>
      </c>
      <c r="L441" s="154">
        <f t="shared" si="174"/>
        <v>0</v>
      </c>
      <c r="N441" s="152"/>
      <c r="O441" s="155"/>
      <c r="P441" s="155"/>
      <c r="Q441" s="156" t="str">
        <f t="shared" si="166"/>
        <v/>
      </c>
      <c r="R441" s="155"/>
      <c r="S441" s="156" t="str">
        <f t="shared" si="167"/>
        <v/>
      </c>
      <c r="T441" s="140" t="str">
        <f t="shared" ca="1" si="153"/>
        <v/>
      </c>
      <c r="U441" s="139" t="str">
        <f t="shared" si="154"/>
        <v/>
      </c>
      <c r="V441" s="139" t="str">
        <f t="shared" si="155"/>
        <v/>
      </c>
      <c r="W441" s="139" t="str">
        <f t="shared" si="156"/>
        <v/>
      </c>
      <c r="X441" s="327"/>
    </row>
    <row r="442" spans="1:25" ht="18.75" x14ac:dyDescent="0.25">
      <c r="A442" s="151">
        <v>7</v>
      </c>
      <c r="B442" s="106" t="str">
        <f>'Funding 2019'!$K$98</f>
        <v>CGMM2019X253</v>
      </c>
      <c r="C442" s="151"/>
      <c r="D442" s="151"/>
      <c r="E442" s="152"/>
      <c r="F442" s="153"/>
      <c r="G442" s="153"/>
      <c r="H442" s="153"/>
      <c r="J442" s="154">
        <f t="shared" si="174"/>
        <v>0</v>
      </c>
      <c r="K442" s="154">
        <f t="shared" si="174"/>
        <v>0</v>
      </c>
      <c r="L442" s="154">
        <f t="shared" si="174"/>
        <v>0</v>
      </c>
      <c r="N442" s="152"/>
      <c r="O442" s="155"/>
      <c r="P442" s="155">
        <v>43439</v>
      </c>
      <c r="Q442" s="156">
        <f t="shared" si="166"/>
        <v>43465</v>
      </c>
      <c r="R442" s="155">
        <v>43484</v>
      </c>
      <c r="S442" s="156">
        <f t="shared" si="167"/>
        <v>43466</v>
      </c>
      <c r="T442" s="140" t="str">
        <f t="shared" ca="1" si="153"/>
        <v/>
      </c>
      <c r="U442" s="139" t="str">
        <f t="shared" si="154"/>
        <v/>
      </c>
      <c r="V442" s="139" t="str">
        <f t="shared" si="155"/>
        <v/>
      </c>
      <c r="W442" s="139" t="str">
        <f t="shared" si="156"/>
        <v/>
      </c>
      <c r="X442" s="327"/>
    </row>
    <row r="443" spans="1:25" ht="18.75" x14ac:dyDescent="0.25">
      <c r="A443" s="157"/>
      <c r="B443" s="158"/>
      <c r="C443" s="157"/>
      <c r="D443" s="157"/>
      <c r="E443" s="159"/>
      <c r="F443" s="160">
        <f>SUM(F436:F442)</f>
        <v>0</v>
      </c>
      <c r="G443" s="160">
        <f>SUM(G436:G442)</f>
        <v>207560000</v>
      </c>
      <c r="H443" s="160">
        <f>SUM(H436:H442)</f>
        <v>163800880</v>
      </c>
      <c r="J443" s="161">
        <f t="shared" si="174"/>
        <v>0</v>
      </c>
      <c r="K443" s="161">
        <f t="shared" si="174"/>
        <v>12794.969794106768</v>
      </c>
      <c r="L443" s="161">
        <f t="shared" si="174"/>
        <v>10097.452841819751</v>
      </c>
      <c r="N443" s="159"/>
      <c r="O443" s="162"/>
      <c r="P443" s="162"/>
      <c r="Q443" s="156" t="str">
        <f t="shared" si="166"/>
        <v/>
      </c>
      <c r="R443" s="162"/>
      <c r="S443" s="156" t="str">
        <f t="shared" si="167"/>
        <v/>
      </c>
      <c r="T443" s="140" t="str">
        <f t="shared" ca="1" si="153"/>
        <v/>
      </c>
      <c r="U443" s="139" t="str">
        <f t="shared" si="154"/>
        <v/>
      </c>
      <c r="V443" s="139" t="str">
        <f t="shared" si="155"/>
        <v/>
      </c>
      <c r="W443" s="139" t="str">
        <f t="shared" si="156"/>
        <v/>
      </c>
      <c r="X443" s="327"/>
    </row>
    <row r="444" spans="1:25" ht="18.75" x14ac:dyDescent="0.25">
      <c r="Q444" s="156" t="str">
        <f t="shared" si="166"/>
        <v/>
      </c>
      <c r="S444" s="156" t="str">
        <f t="shared" si="167"/>
        <v/>
      </c>
      <c r="T444" s="140" t="str">
        <f t="shared" ca="1" si="153"/>
        <v/>
      </c>
      <c r="U444" s="139" t="str">
        <f t="shared" si="154"/>
        <v/>
      </c>
      <c r="V444" s="139" t="str">
        <f t="shared" si="155"/>
        <v/>
      </c>
      <c r="W444" s="139" t="str">
        <f t="shared" si="156"/>
        <v/>
      </c>
      <c r="X444" s="327"/>
    </row>
    <row r="445" spans="1:25" ht="18.75" x14ac:dyDescent="0.25">
      <c r="A445" s="163" t="str">
        <f>'Funding 2019'!L55</f>
        <v>PC-Quality</v>
      </c>
      <c r="B445" s="113" t="str">
        <f>'Funding 2019'!L54</f>
        <v>Best Practice / Benchmarking</v>
      </c>
      <c r="C445" s="147"/>
      <c r="D445" s="147"/>
      <c r="E445" s="148"/>
      <c r="F445" s="148"/>
      <c r="G445" s="148"/>
      <c r="H445" s="148"/>
      <c r="J445" s="149">
        <f t="shared" ref="J445:L449" si="175">F445/$J$2</f>
        <v>0</v>
      </c>
      <c r="K445" s="149">
        <f t="shared" si="175"/>
        <v>0</v>
      </c>
      <c r="L445" s="149">
        <f t="shared" si="175"/>
        <v>0</v>
      </c>
      <c r="N445" s="148"/>
      <c r="O445" s="150"/>
      <c r="P445" s="150"/>
      <c r="Q445" s="156" t="str">
        <f t="shared" si="166"/>
        <v/>
      </c>
      <c r="R445" s="150"/>
      <c r="S445" s="156" t="str">
        <f t="shared" si="167"/>
        <v/>
      </c>
      <c r="T445" s="140" t="str">
        <f t="shared" ca="1" si="153"/>
        <v/>
      </c>
      <c r="U445" s="139" t="str">
        <f t="shared" si="154"/>
        <v/>
      </c>
      <c r="V445" s="139" t="str">
        <f t="shared" si="155"/>
        <v/>
      </c>
      <c r="W445" s="139" t="str">
        <f t="shared" si="156"/>
        <v/>
      </c>
      <c r="X445" s="327"/>
    </row>
    <row r="446" spans="1:25" ht="18.75" x14ac:dyDescent="0.25">
      <c r="A446" s="151">
        <v>2</v>
      </c>
      <c r="B446" s="106" t="str">
        <f>'Funding 2019'!$K$54</f>
        <v>EGMMQPC19001</v>
      </c>
      <c r="C446" s="151">
        <v>3100007223</v>
      </c>
      <c r="D446" s="151"/>
      <c r="E446" s="152" t="s">
        <v>434</v>
      </c>
      <c r="F446" s="153"/>
      <c r="G446" s="153"/>
      <c r="H446" s="153">
        <v>39136012</v>
      </c>
      <c r="J446" s="154">
        <f t="shared" si="175"/>
        <v>0</v>
      </c>
      <c r="K446" s="154">
        <f t="shared" si="175"/>
        <v>0</v>
      </c>
      <c r="L446" s="154">
        <f t="shared" si="175"/>
        <v>2412.5269387251878</v>
      </c>
      <c r="N446" s="152" t="s">
        <v>435</v>
      </c>
      <c r="O446" s="155"/>
      <c r="P446" s="155">
        <v>43471</v>
      </c>
      <c r="Q446" s="156">
        <f t="shared" si="166"/>
        <v>43466</v>
      </c>
      <c r="R446" s="155">
        <v>43556</v>
      </c>
      <c r="S446" s="156">
        <f t="shared" si="167"/>
        <v>43556</v>
      </c>
      <c r="T446" s="140" t="str">
        <f t="shared" ca="1" si="153"/>
        <v/>
      </c>
      <c r="U446" s="139" t="str">
        <f t="shared" si="154"/>
        <v/>
      </c>
      <c r="V446" s="139" t="str">
        <f t="shared" si="155"/>
        <v/>
      </c>
      <c r="W446" s="139" t="str">
        <f t="shared" si="156"/>
        <v/>
      </c>
      <c r="X446" s="327"/>
    </row>
    <row r="447" spans="1:25" ht="18.75" x14ac:dyDescent="0.25">
      <c r="A447" s="151">
        <v>3</v>
      </c>
      <c r="B447" s="106" t="str">
        <f>'Funding 2019'!$K$54</f>
        <v>EGMMQPC19001</v>
      </c>
      <c r="C447" s="151">
        <v>5300000267</v>
      </c>
      <c r="D447" s="151"/>
      <c r="E447" s="152" t="s">
        <v>869</v>
      </c>
      <c r="F447" s="153">
        <v>16492125</v>
      </c>
      <c r="G447" s="153"/>
      <c r="J447" s="154">
        <f t="shared" si="175"/>
        <v>1016.6517692023178</v>
      </c>
      <c r="K447" s="154">
        <f t="shared" si="175"/>
        <v>0</v>
      </c>
      <c r="L447" s="154">
        <f t="shared" si="175"/>
        <v>0</v>
      </c>
      <c r="N447" s="152" t="s">
        <v>870</v>
      </c>
      <c r="O447" s="155">
        <v>43759</v>
      </c>
      <c r="P447" s="155">
        <v>43741</v>
      </c>
      <c r="Q447" s="156">
        <f t="shared" si="166"/>
        <v>43739</v>
      </c>
      <c r="R447" s="155"/>
      <c r="S447" s="156" t="str">
        <f t="shared" si="167"/>
        <v/>
      </c>
      <c r="T447" s="140">
        <f t="shared" ca="1" si="153"/>
        <v>14</v>
      </c>
      <c r="U447" s="139" t="str">
        <f t="shared" si="154"/>
        <v/>
      </c>
      <c r="V447" s="139" t="str">
        <f t="shared" si="155"/>
        <v/>
      </c>
      <c r="W447" s="139" t="str">
        <f t="shared" si="156"/>
        <v/>
      </c>
      <c r="X447" s="327"/>
    </row>
    <row r="448" spans="1:25" ht="18.75" x14ac:dyDescent="0.25">
      <c r="A448" s="151">
        <v>4</v>
      </c>
      <c r="B448" s="106" t="str">
        <f>'Funding 2019'!$K$54</f>
        <v>EGMMQPC19001</v>
      </c>
      <c r="C448" s="151"/>
      <c r="D448" s="151"/>
      <c r="E448" s="152"/>
      <c r="F448" s="153"/>
      <c r="G448" s="153"/>
      <c r="H448" s="153"/>
      <c r="J448" s="154">
        <f t="shared" si="175"/>
        <v>0</v>
      </c>
      <c r="K448" s="154">
        <f t="shared" si="175"/>
        <v>0</v>
      </c>
      <c r="L448" s="154">
        <f t="shared" si="175"/>
        <v>0</v>
      </c>
      <c r="N448" s="152"/>
      <c r="O448" s="155"/>
      <c r="P448" s="155"/>
      <c r="Q448" s="156" t="str">
        <f t="shared" si="166"/>
        <v/>
      </c>
      <c r="R448" s="155"/>
      <c r="S448" s="156" t="str">
        <f t="shared" si="167"/>
        <v/>
      </c>
      <c r="T448" s="140" t="str">
        <f t="shared" ca="1" si="153"/>
        <v/>
      </c>
      <c r="U448" s="139" t="str">
        <f t="shared" si="154"/>
        <v/>
      </c>
      <c r="V448" s="139" t="str">
        <f t="shared" si="155"/>
        <v/>
      </c>
      <c r="W448" s="139" t="str">
        <f t="shared" si="156"/>
        <v/>
      </c>
      <c r="X448" s="327"/>
    </row>
    <row r="449" spans="1:25" ht="18.75" x14ac:dyDescent="0.25">
      <c r="A449" s="157"/>
      <c r="B449" s="158"/>
      <c r="C449" s="157"/>
      <c r="D449" s="157"/>
      <c r="E449" s="159"/>
      <c r="F449" s="160">
        <f>SUM(F445:F448)</f>
        <v>16492125</v>
      </c>
      <c r="G449" s="160">
        <f>SUM(G445:G448)</f>
        <v>0</v>
      </c>
      <c r="H449" s="160">
        <f>SUM(H445:H448)</f>
        <v>39136012</v>
      </c>
      <c r="J449" s="161">
        <f t="shared" si="175"/>
        <v>1016.6517692023178</v>
      </c>
      <c r="K449" s="161">
        <f t="shared" si="175"/>
        <v>0</v>
      </c>
      <c r="L449" s="161">
        <f t="shared" si="175"/>
        <v>2412.5269387251878</v>
      </c>
      <c r="N449" s="159"/>
      <c r="O449" s="162"/>
      <c r="P449" s="162"/>
      <c r="Q449" s="156" t="str">
        <f t="shared" si="166"/>
        <v/>
      </c>
      <c r="R449" s="162"/>
      <c r="S449" s="156" t="str">
        <f t="shared" si="167"/>
        <v/>
      </c>
      <c r="T449" s="140" t="str">
        <f t="shared" ca="1" si="153"/>
        <v/>
      </c>
      <c r="U449" s="139" t="str">
        <f t="shared" si="154"/>
        <v/>
      </c>
      <c r="V449" s="139" t="str">
        <f t="shared" si="155"/>
        <v/>
      </c>
      <c r="W449" s="139" t="str">
        <f t="shared" si="156"/>
        <v/>
      </c>
      <c r="X449" s="327"/>
    </row>
    <row r="450" spans="1:25" ht="18.75" x14ac:dyDescent="0.25">
      <c r="Q450" s="156" t="str">
        <f t="shared" si="166"/>
        <v/>
      </c>
      <c r="S450" s="156" t="str">
        <f t="shared" si="167"/>
        <v/>
      </c>
      <c r="T450" s="140" t="str">
        <f t="shared" ca="1" si="153"/>
        <v/>
      </c>
      <c r="U450" s="139" t="str">
        <f t="shared" si="154"/>
        <v/>
      </c>
      <c r="V450" s="139" t="str">
        <f t="shared" si="155"/>
        <v/>
      </c>
      <c r="W450" s="139" t="str">
        <f t="shared" si="156"/>
        <v/>
      </c>
      <c r="X450" s="327"/>
    </row>
    <row r="451" spans="1:25" ht="18.75" x14ac:dyDescent="0.25">
      <c r="A451" s="163" t="str">
        <f>'Funding 2019'!L81</f>
        <v xml:space="preserve">PC - Engineering </v>
      </c>
      <c r="B451" s="113" t="str">
        <f>'Funding 2019'!L72</f>
        <v>Best Practice - one time cost</v>
      </c>
      <c r="C451" s="147"/>
      <c r="D451" s="147"/>
      <c r="E451" s="148"/>
      <c r="F451" s="148"/>
      <c r="G451" s="148"/>
      <c r="H451" s="148"/>
      <c r="J451" s="149">
        <f>F451/$J$2</f>
        <v>0</v>
      </c>
      <c r="K451" s="149">
        <f>G451/$J$2</f>
        <v>0</v>
      </c>
      <c r="L451" s="149">
        <f>H451/$J$2</f>
        <v>0</v>
      </c>
      <c r="N451" s="148"/>
      <c r="O451" s="150"/>
      <c r="P451" s="150"/>
      <c r="Q451" s="156" t="str">
        <f t="shared" si="166"/>
        <v/>
      </c>
      <c r="R451" s="150"/>
      <c r="S451" s="156" t="str">
        <f t="shared" si="167"/>
        <v/>
      </c>
      <c r="T451" s="140" t="str">
        <f t="shared" ca="1" si="153"/>
        <v/>
      </c>
      <c r="U451" s="139" t="str">
        <f t="shared" si="154"/>
        <v/>
      </c>
      <c r="V451" s="139" t="str">
        <f t="shared" si="155"/>
        <v/>
      </c>
      <c r="W451" s="139" t="str">
        <f t="shared" si="156"/>
        <v/>
      </c>
      <c r="X451" s="327"/>
    </row>
    <row r="452" spans="1:25" ht="18.75" x14ac:dyDescent="0.25">
      <c r="A452" s="151">
        <v>2</v>
      </c>
      <c r="B452" s="106" t="str">
        <f>'Funding 2019'!$K$72</f>
        <v>EGMMEPC19001</v>
      </c>
      <c r="C452" s="283">
        <v>5500011753</v>
      </c>
      <c r="D452" s="283"/>
      <c r="E452" s="284" t="s">
        <v>398</v>
      </c>
      <c r="F452" s="285">
        <f>9493450*0</f>
        <v>0</v>
      </c>
      <c r="G452" s="285"/>
      <c r="H452" s="280"/>
      <c r="J452" s="154">
        <f t="shared" ref="J452:J459" si="176">F452/$J$2</f>
        <v>0</v>
      </c>
      <c r="K452" s="154">
        <f t="shared" ref="K452:K459" si="177">G452/$J$2</f>
        <v>0</v>
      </c>
      <c r="L452" s="154">
        <f t="shared" ref="L452:L459" si="178">H452/$J$2</f>
        <v>0</v>
      </c>
      <c r="N452" s="152" t="s">
        <v>182</v>
      </c>
      <c r="O452" s="155"/>
      <c r="P452" s="155"/>
      <c r="Q452" s="156" t="str">
        <f t="shared" si="166"/>
        <v/>
      </c>
      <c r="R452" s="155"/>
      <c r="S452" s="156" t="str">
        <f t="shared" si="167"/>
        <v/>
      </c>
      <c r="T452" s="140" t="str">
        <f t="shared" ca="1" si="153"/>
        <v/>
      </c>
      <c r="U452" s="139" t="str">
        <f t="shared" si="154"/>
        <v/>
      </c>
      <c r="V452" s="139" t="str">
        <f t="shared" si="155"/>
        <v/>
      </c>
      <c r="W452" s="139" t="str">
        <f t="shared" si="156"/>
        <v/>
      </c>
      <c r="X452" s="327"/>
      <c r="Y452" s="139" t="s">
        <v>709</v>
      </c>
    </row>
    <row r="453" spans="1:25" ht="18.75" x14ac:dyDescent="0.25">
      <c r="A453" s="151">
        <v>3</v>
      </c>
      <c r="B453" s="106" t="str">
        <f>'Funding 2019'!$K$72</f>
        <v>EGMMEPC19001</v>
      </c>
      <c r="C453" s="151">
        <v>5500011356</v>
      </c>
      <c r="D453" s="151"/>
      <c r="E453" s="152" t="s">
        <v>397</v>
      </c>
      <c r="F453" s="153"/>
      <c r="G453" s="153"/>
      <c r="H453" s="183">
        <v>15000000</v>
      </c>
      <c r="J453" s="154">
        <f t="shared" si="176"/>
        <v>0</v>
      </c>
      <c r="K453" s="154">
        <f t="shared" si="177"/>
        <v>0</v>
      </c>
      <c r="L453" s="154">
        <f t="shared" si="178"/>
        <v>924.67020096165697</v>
      </c>
      <c r="N453" s="152" t="s">
        <v>182</v>
      </c>
      <c r="O453" s="155">
        <v>43539</v>
      </c>
      <c r="P453" s="155">
        <v>43529</v>
      </c>
      <c r="Q453" s="156">
        <f t="shared" si="166"/>
        <v>43525</v>
      </c>
      <c r="R453" s="155">
        <v>43525</v>
      </c>
      <c r="S453" s="156">
        <f t="shared" si="167"/>
        <v>43525</v>
      </c>
      <c r="T453" s="140" t="str">
        <f t="shared" ca="1" si="153"/>
        <v/>
      </c>
      <c r="U453" s="139" t="str">
        <f t="shared" si="154"/>
        <v/>
      </c>
      <c r="V453" s="139" t="str">
        <f t="shared" si="155"/>
        <v/>
      </c>
      <c r="W453" s="139" t="str">
        <f t="shared" si="156"/>
        <v/>
      </c>
      <c r="X453" s="327"/>
    </row>
    <row r="454" spans="1:25" ht="18.75" x14ac:dyDescent="0.25">
      <c r="A454" s="151">
        <v>4</v>
      </c>
      <c r="B454" s="106" t="str">
        <f>'Funding 2019'!$K$72</f>
        <v>EGMMEPC19001</v>
      </c>
      <c r="C454" s="151">
        <v>5500011392</v>
      </c>
      <c r="D454" s="151"/>
      <c r="E454" s="152" t="s">
        <v>398</v>
      </c>
      <c r="F454" s="153">
        <f>13750000*0</f>
        <v>0</v>
      </c>
      <c r="G454" s="153"/>
      <c r="H454" s="183">
        <f>13750000+3918450+1875000+3700000</f>
        <v>23243450</v>
      </c>
      <c r="J454" s="154">
        <f t="shared" si="176"/>
        <v>0</v>
      </c>
      <c r="K454" s="154">
        <f t="shared" si="177"/>
        <v>0</v>
      </c>
      <c r="L454" s="154">
        <f t="shared" si="178"/>
        <v>1432.8350388361484</v>
      </c>
      <c r="N454" s="152" t="s">
        <v>182</v>
      </c>
      <c r="O454" s="155">
        <v>43600</v>
      </c>
      <c r="P454" s="155">
        <v>43542</v>
      </c>
      <c r="Q454" s="156">
        <f t="shared" si="166"/>
        <v>43525</v>
      </c>
      <c r="R454" s="155">
        <v>43617</v>
      </c>
      <c r="S454" s="156">
        <f t="shared" si="167"/>
        <v>43617</v>
      </c>
      <c r="T454" s="140" t="str">
        <f t="shared" ca="1" si="153"/>
        <v/>
      </c>
      <c r="U454" s="139" t="str">
        <f t="shared" si="154"/>
        <v/>
      </c>
      <c r="V454" s="139" t="str">
        <f t="shared" si="155"/>
        <v/>
      </c>
      <c r="W454" s="139" t="str">
        <f t="shared" si="156"/>
        <v/>
      </c>
      <c r="X454" s="327"/>
    </row>
    <row r="455" spans="1:25" ht="18.75" x14ac:dyDescent="0.25">
      <c r="A455" s="151">
        <v>5</v>
      </c>
      <c r="B455" s="106" t="str">
        <f>'Funding 2019'!$K$72</f>
        <v>EGMMEPC19001</v>
      </c>
      <c r="C455" s="151">
        <v>3100007323</v>
      </c>
      <c r="D455" s="151"/>
      <c r="E455" s="152" t="s">
        <v>459</v>
      </c>
      <c r="F455" s="153">
        <f>10000000*0</f>
        <v>0</v>
      </c>
      <c r="G455" s="153"/>
      <c r="H455" s="183">
        <f>9447700+3243200</f>
        <v>12690900</v>
      </c>
      <c r="J455" s="154">
        <f t="shared" si="176"/>
        <v>0</v>
      </c>
      <c r="K455" s="154">
        <f t="shared" si="177"/>
        <v>0</v>
      </c>
      <c r="L455" s="154">
        <f t="shared" si="178"/>
        <v>782.32647022561957</v>
      </c>
      <c r="N455" s="152" t="s">
        <v>199</v>
      </c>
      <c r="O455" s="155">
        <v>43619</v>
      </c>
      <c r="P455" s="155">
        <v>43592</v>
      </c>
      <c r="Q455" s="156">
        <f t="shared" si="166"/>
        <v>43586</v>
      </c>
      <c r="R455" s="155">
        <v>43647</v>
      </c>
      <c r="S455" s="156">
        <f t="shared" si="167"/>
        <v>43647</v>
      </c>
      <c r="T455" s="140" t="str">
        <f t="shared" ca="1" si="153"/>
        <v/>
      </c>
      <c r="U455" s="139" t="str">
        <f t="shared" si="154"/>
        <v/>
      </c>
      <c r="V455" s="139" t="str">
        <f t="shared" si="155"/>
        <v/>
      </c>
      <c r="W455" s="139" t="str">
        <f t="shared" si="156"/>
        <v/>
      </c>
      <c r="X455" s="327"/>
    </row>
    <row r="456" spans="1:25" ht="18.75" x14ac:dyDescent="0.25">
      <c r="A456" s="151">
        <v>6</v>
      </c>
      <c r="B456" s="106" t="str">
        <f>'Funding 2019'!$K$72</f>
        <v>EGMMEPC19001</v>
      </c>
      <c r="C456" s="151"/>
      <c r="D456" s="151"/>
      <c r="E456" s="152" t="s">
        <v>478</v>
      </c>
      <c r="F456" s="166"/>
      <c r="G456" s="153"/>
      <c r="H456" s="183">
        <v>9394700</v>
      </c>
      <c r="J456" s="154">
        <f t="shared" si="176"/>
        <v>0</v>
      </c>
      <c r="K456" s="154">
        <f t="shared" si="177"/>
        <v>0</v>
      </c>
      <c r="L456" s="154">
        <f t="shared" si="178"/>
        <v>579.13327579829865</v>
      </c>
      <c r="N456" s="165" t="s">
        <v>199</v>
      </c>
      <c r="O456" s="169"/>
      <c r="P456" s="169">
        <v>43594</v>
      </c>
      <c r="Q456" s="156">
        <f t="shared" si="166"/>
        <v>43586</v>
      </c>
      <c r="R456" s="169">
        <v>43617</v>
      </c>
      <c r="S456" s="156">
        <f t="shared" si="167"/>
        <v>43617</v>
      </c>
      <c r="T456" s="140" t="str">
        <f t="shared" ca="1" si="153"/>
        <v/>
      </c>
      <c r="U456" s="139" t="str">
        <f t="shared" si="154"/>
        <v/>
      </c>
      <c r="V456" s="139" t="str">
        <f t="shared" si="155"/>
        <v/>
      </c>
      <c r="W456" s="139" t="str">
        <f t="shared" si="156"/>
        <v/>
      </c>
      <c r="X456" s="327"/>
    </row>
    <row r="457" spans="1:25" ht="18.75" x14ac:dyDescent="0.25">
      <c r="A457" s="151">
        <v>7</v>
      </c>
      <c r="B457" s="106" t="str">
        <f>'Funding 2019'!$K$72</f>
        <v>EGMMEPC19001</v>
      </c>
      <c r="C457" s="151"/>
      <c r="D457" s="151"/>
      <c r="E457" s="152" t="s">
        <v>479</v>
      </c>
      <c r="F457" s="166"/>
      <c r="G457" s="153"/>
      <c r="H457" s="183">
        <v>290880</v>
      </c>
      <c r="J457" s="154">
        <f t="shared" si="176"/>
        <v>0</v>
      </c>
      <c r="K457" s="154">
        <f t="shared" si="177"/>
        <v>0</v>
      </c>
      <c r="L457" s="154">
        <f t="shared" si="178"/>
        <v>17.931204537048451</v>
      </c>
      <c r="N457" s="165" t="s">
        <v>199</v>
      </c>
      <c r="O457" s="169"/>
      <c r="P457" s="169">
        <v>43594</v>
      </c>
      <c r="Q457" s="156">
        <f t="shared" si="166"/>
        <v>43586</v>
      </c>
      <c r="R457" s="169">
        <v>43617</v>
      </c>
      <c r="S457" s="156">
        <f t="shared" si="167"/>
        <v>43617</v>
      </c>
      <c r="T457" s="140" t="str">
        <f t="shared" ca="1" si="153"/>
        <v/>
      </c>
      <c r="U457" s="139" t="str">
        <f t="shared" ref="U457:U520" si="179">IF(A457="","",IF(AND(J457&gt;0,Q457=""), "RED",""))</f>
        <v/>
      </c>
      <c r="V457" s="139" t="str">
        <f t="shared" ref="V457:V520" si="180">IF(A457="","",IF(AND(K457&gt;0,Q457=""), "BLUE",""))</f>
        <v/>
      </c>
      <c r="W457" s="139" t="str">
        <f t="shared" ref="W457:W520" si="181">IF(A457="","",IF(AND(L457&gt;0,S457=""), "YELLOW",""))</f>
        <v/>
      </c>
      <c r="X457" s="327"/>
    </row>
    <row r="458" spans="1:25" ht="18.75" x14ac:dyDescent="0.25">
      <c r="A458" s="151">
        <v>8</v>
      </c>
      <c r="B458" s="106" t="str">
        <f>'Funding 2019'!$K$72</f>
        <v>EGMMEPC19001</v>
      </c>
      <c r="C458" s="151">
        <v>3100007353</v>
      </c>
      <c r="D458" s="151"/>
      <c r="E458" s="106" t="s">
        <v>493</v>
      </c>
      <c r="F458" s="166"/>
      <c r="G458" s="153"/>
      <c r="H458" s="287">
        <f>6018793+2453465</f>
        <v>8472258</v>
      </c>
      <c r="J458" s="154">
        <f t="shared" si="176"/>
        <v>0</v>
      </c>
      <c r="K458" s="154">
        <f t="shared" si="177"/>
        <v>0</v>
      </c>
      <c r="L458" s="154">
        <f t="shared" si="178"/>
        <v>522.26963383060047</v>
      </c>
      <c r="N458" s="152" t="s">
        <v>199</v>
      </c>
      <c r="O458" s="155">
        <v>43677</v>
      </c>
      <c r="P458" s="155">
        <v>43641</v>
      </c>
      <c r="Q458" s="156">
        <f t="shared" si="166"/>
        <v>43617</v>
      </c>
      <c r="R458" s="155">
        <v>43697</v>
      </c>
      <c r="S458" s="156">
        <f t="shared" si="167"/>
        <v>43678</v>
      </c>
      <c r="T458" s="140" t="str">
        <f t="shared" ref="T458:T521" ca="1" si="182">IF(R458="",IF(O458="",IF(P458="","",IF(P458-TODAY()&lt;=0,TODAY()-P458,"")),IF(O458-TODAY()&lt;=0,TODAY()-O458,"")),IF(SUM(F458:G458)&lt;&gt;0,IF(O458="",IF(P458="","",IF(P458-TODAY()&lt;=0,TODAY()-P458,"")),IF(O458-TODAY()&lt;=0,TODAY()-O458,"")),""))</f>
        <v/>
      </c>
      <c r="U458" s="139" t="str">
        <f t="shared" si="179"/>
        <v/>
      </c>
      <c r="V458" s="139" t="str">
        <f t="shared" si="180"/>
        <v/>
      </c>
      <c r="W458" s="139" t="str">
        <f t="shared" si="181"/>
        <v/>
      </c>
      <c r="X458" s="327"/>
    </row>
    <row r="459" spans="1:25" ht="18.75" x14ac:dyDescent="0.25">
      <c r="A459" s="151">
        <v>9</v>
      </c>
      <c r="B459" s="106" t="str">
        <f>'Funding 2019'!$K$72</f>
        <v>EGMMEPC19001</v>
      </c>
      <c r="C459" s="151">
        <v>3100007347</v>
      </c>
      <c r="D459" s="151"/>
      <c r="E459" s="152" t="s">
        <v>494</v>
      </c>
      <c r="F459" s="171">
        <v>150000</v>
      </c>
      <c r="G459" s="153"/>
      <c r="H459" s="153"/>
      <c r="J459" s="154">
        <f t="shared" si="176"/>
        <v>9.2467020096165697</v>
      </c>
      <c r="K459" s="154">
        <f t="shared" si="177"/>
        <v>0</v>
      </c>
      <c r="L459" s="154">
        <f t="shared" si="178"/>
        <v>0</v>
      </c>
      <c r="N459" s="152" t="s">
        <v>199</v>
      </c>
      <c r="O459" s="155">
        <v>43656</v>
      </c>
      <c r="P459" s="155">
        <v>43629</v>
      </c>
      <c r="Q459" s="156">
        <f t="shared" si="166"/>
        <v>43617</v>
      </c>
      <c r="R459" s="155"/>
      <c r="S459" s="156" t="str">
        <f t="shared" si="167"/>
        <v/>
      </c>
      <c r="T459" s="140">
        <f t="shared" ca="1" si="182"/>
        <v>117</v>
      </c>
      <c r="U459" s="139" t="str">
        <f t="shared" si="179"/>
        <v/>
      </c>
      <c r="V459" s="139" t="str">
        <f t="shared" si="180"/>
        <v/>
      </c>
      <c r="W459" s="139" t="str">
        <f t="shared" si="181"/>
        <v/>
      </c>
      <c r="X459" s="327"/>
    </row>
    <row r="460" spans="1:25" ht="18.75" x14ac:dyDescent="0.25">
      <c r="A460" s="151">
        <v>10</v>
      </c>
      <c r="B460" s="106" t="str">
        <f>'Funding 2019'!$K$72</f>
        <v>EGMMEPC19001</v>
      </c>
      <c r="C460" s="151">
        <v>5500011865</v>
      </c>
      <c r="D460" s="151"/>
      <c r="E460" s="152" t="s">
        <v>647</v>
      </c>
      <c r="F460" s="166"/>
      <c r="G460" s="183"/>
      <c r="H460" s="183">
        <v>2049000</v>
      </c>
      <c r="J460" s="154">
        <f t="shared" ref="J460:L465" si="183">F460/$J$2</f>
        <v>0</v>
      </c>
      <c r="K460" s="154">
        <f t="shared" si="183"/>
        <v>0</v>
      </c>
      <c r="L460" s="154">
        <f t="shared" si="183"/>
        <v>126.30994945136234</v>
      </c>
      <c r="N460" s="152" t="s">
        <v>182</v>
      </c>
      <c r="O460" s="155">
        <v>43706</v>
      </c>
      <c r="P460" s="155">
        <v>43683</v>
      </c>
      <c r="Q460" s="156">
        <f t="shared" si="166"/>
        <v>43678</v>
      </c>
      <c r="R460" s="155">
        <v>43735</v>
      </c>
      <c r="S460" s="156">
        <f t="shared" si="167"/>
        <v>43709</v>
      </c>
      <c r="T460" s="140" t="str">
        <f t="shared" ca="1" si="182"/>
        <v/>
      </c>
      <c r="U460" s="139" t="str">
        <f t="shared" si="179"/>
        <v/>
      </c>
      <c r="V460" s="139" t="str">
        <f t="shared" si="180"/>
        <v/>
      </c>
      <c r="W460" s="139" t="str">
        <f t="shared" si="181"/>
        <v/>
      </c>
      <c r="X460" s="327"/>
    </row>
    <row r="461" spans="1:25" ht="18.75" x14ac:dyDescent="0.25">
      <c r="A461" s="151">
        <v>11</v>
      </c>
      <c r="B461" s="106" t="str">
        <f>'Funding 2019'!$K$72</f>
        <v>EGMMEPC19001</v>
      </c>
      <c r="C461" s="151"/>
      <c r="D461" s="151"/>
      <c r="E461" s="152" t="s">
        <v>723</v>
      </c>
      <c r="F461" s="166"/>
      <c r="G461" s="153"/>
      <c r="H461" s="183">
        <v>94920000</v>
      </c>
      <c r="J461" s="154">
        <f t="shared" si="183"/>
        <v>0</v>
      </c>
      <c r="K461" s="154">
        <f t="shared" si="183"/>
        <v>0</v>
      </c>
      <c r="L461" s="154">
        <f t="shared" si="183"/>
        <v>5851.3130316853658</v>
      </c>
      <c r="N461" s="152"/>
      <c r="O461" s="155"/>
      <c r="P461" s="155">
        <v>43676</v>
      </c>
      <c r="Q461" s="156">
        <f t="shared" si="166"/>
        <v>43647</v>
      </c>
      <c r="R461" s="155">
        <v>43676</v>
      </c>
      <c r="S461" s="156">
        <f t="shared" si="167"/>
        <v>43647</v>
      </c>
      <c r="T461" s="140" t="str">
        <f t="shared" ca="1" si="182"/>
        <v/>
      </c>
      <c r="U461" s="139" t="str">
        <f t="shared" si="179"/>
        <v/>
      </c>
      <c r="V461" s="139" t="str">
        <f t="shared" si="180"/>
        <v/>
      </c>
      <c r="W461" s="139" t="str">
        <f t="shared" si="181"/>
        <v/>
      </c>
      <c r="X461" s="327"/>
    </row>
    <row r="462" spans="1:25" ht="18.75" x14ac:dyDescent="0.25">
      <c r="A462" s="151">
        <v>12</v>
      </c>
      <c r="B462" s="106" t="str">
        <f>'Funding 2019'!$K$72</f>
        <v>EGMMEPC19001</v>
      </c>
      <c r="D462" s="151">
        <v>121235484</v>
      </c>
      <c r="E462" s="152" t="s">
        <v>778</v>
      </c>
      <c r="F462" s="166"/>
      <c r="G462" s="153"/>
      <c r="H462" s="153">
        <v>24605000</v>
      </c>
      <c r="J462" s="154">
        <f t="shared" si="183"/>
        <v>0</v>
      </c>
      <c r="K462" s="154">
        <f t="shared" si="183"/>
        <v>0</v>
      </c>
      <c r="L462" s="154">
        <f t="shared" si="183"/>
        <v>1516.7673529774381</v>
      </c>
      <c r="N462" s="152"/>
      <c r="O462" s="155"/>
      <c r="P462" s="155">
        <v>43700</v>
      </c>
      <c r="Q462" s="156">
        <f t="shared" si="166"/>
        <v>43678</v>
      </c>
      <c r="R462" s="155">
        <v>43700</v>
      </c>
      <c r="S462" s="156">
        <f t="shared" si="167"/>
        <v>43678</v>
      </c>
      <c r="T462" s="140" t="str">
        <f t="shared" ca="1" si="182"/>
        <v/>
      </c>
      <c r="U462" s="139" t="str">
        <f t="shared" si="179"/>
        <v/>
      </c>
      <c r="V462" s="139" t="str">
        <f t="shared" si="180"/>
        <v/>
      </c>
      <c r="W462" s="139" t="str">
        <f t="shared" si="181"/>
        <v/>
      </c>
      <c r="X462" s="327"/>
    </row>
    <row r="463" spans="1:25" ht="18.75" x14ac:dyDescent="0.25">
      <c r="A463" s="151">
        <v>13</v>
      </c>
      <c r="B463" s="106" t="str">
        <f>'Funding 2019'!$K$72</f>
        <v>EGMMEPC19001</v>
      </c>
      <c r="C463" s="151">
        <v>5300000263</v>
      </c>
      <c r="D463" s="151"/>
      <c r="E463" s="152" t="s">
        <v>801</v>
      </c>
      <c r="F463" s="171"/>
      <c r="G463" s="153"/>
      <c r="H463" s="153">
        <f>13683889+10075000</f>
        <v>23758889</v>
      </c>
      <c r="J463" s="154">
        <f t="shared" si="183"/>
        <v>0</v>
      </c>
      <c r="K463" s="154">
        <f t="shared" si="183"/>
        <v>0</v>
      </c>
      <c r="L463" s="154">
        <f t="shared" si="183"/>
        <v>1464.6091110837135</v>
      </c>
      <c r="N463" s="152" t="s">
        <v>171</v>
      </c>
      <c r="O463" s="155">
        <v>43745</v>
      </c>
      <c r="P463" s="155">
        <v>43718</v>
      </c>
      <c r="Q463" s="156">
        <f t="shared" si="166"/>
        <v>43709</v>
      </c>
      <c r="R463" s="155">
        <v>43726</v>
      </c>
      <c r="S463" s="156">
        <f t="shared" si="167"/>
        <v>43709</v>
      </c>
      <c r="T463" s="140" t="str">
        <f t="shared" ca="1" si="182"/>
        <v/>
      </c>
      <c r="U463" s="139" t="str">
        <f t="shared" si="179"/>
        <v/>
      </c>
      <c r="V463" s="139" t="str">
        <f t="shared" si="180"/>
        <v/>
      </c>
      <c r="W463" s="139" t="str">
        <f t="shared" si="181"/>
        <v/>
      </c>
      <c r="X463" s="327"/>
    </row>
    <row r="464" spans="1:25" ht="18.75" x14ac:dyDescent="0.25">
      <c r="A464" s="151">
        <v>14</v>
      </c>
      <c r="B464" s="106" t="str">
        <f>'Funding 2019'!$K$72</f>
        <v>EGMMEPC19001</v>
      </c>
      <c r="C464" s="151"/>
      <c r="D464" s="151"/>
      <c r="E464" s="152"/>
      <c r="F464" s="166"/>
      <c r="G464" s="153"/>
      <c r="H464" s="153"/>
      <c r="J464" s="154">
        <f t="shared" si="183"/>
        <v>0</v>
      </c>
      <c r="K464" s="154">
        <f t="shared" si="183"/>
        <v>0</v>
      </c>
      <c r="L464" s="154">
        <f t="shared" si="183"/>
        <v>0</v>
      </c>
      <c r="N464" s="152"/>
      <c r="O464" s="155"/>
      <c r="P464" s="155"/>
      <c r="Q464" s="156" t="str">
        <f t="shared" si="166"/>
        <v/>
      </c>
      <c r="R464" s="155"/>
      <c r="S464" s="156" t="str">
        <f t="shared" si="167"/>
        <v/>
      </c>
      <c r="T464" s="140" t="str">
        <f t="shared" ca="1" si="182"/>
        <v/>
      </c>
      <c r="U464" s="139" t="str">
        <f t="shared" si="179"/>
        <v/>
      </c>
      <c r="V464" s="139" t="str">
        <f t="shared" si="180"/>
        <v/>
      </c>
      <c r="W464" s="139" t="str">
        <f t="shared" si="181"/>
        <v/>
      </c>
      <c r="X464" s="327"/>
    </row>
    <row r="465" spans="1:25" ht="18.75" x14ac:dyDescent="0.25">
      <c r="A465" s="157"/>
      <c r="B465" s="158"/>
      <c r="C465" s="157"/>
      <c r="D465" s="157"/>
      <c r="E465" s="159"/>
      <c r="F465" s="160">
        <f>SUM(F451:F464)</f>
        <v>150000</v>
      </c>
      <c r="G465" s="160">
        <f>SUM(G451:G464)</f>
        <v>0</v>
      </c>
      <c r="H465" s="160">
        <f>SUM(H451:H464)</f>
        <v>214425077</v>
      </c>
      <c r="J465" s="161">
        <f t="shared" si="183"/>
        <v>9.2467020096165697</v>
      </c>
      <c r="K465" s="161">
        <f t="shared" si="183"/>
        <v>0</v>
      </c>
      <c r="L465" s="161">
        <f t="shared" si="183"/>
        <v>13218.165269387251</v>
      </c>
      <c r="N465" s="159"/>
      <c r="O465" s="162"/>
      <c r="P465" s="162"/>
      <c r="Q465" s="156" t="str">
        <f t="shared" si="166"/>
        <v/>
      </c>
      <c r="R465" s="162"/>
      <c r="S465" s="156" t="str">
        <f t="shared" si="167"/>
        <v/>
      </c>
      <c r="T465" s="140" t="str">
        <f t="shared" ca="1" si="182"/>
        <v/>
      </c>
      <c r="U465" s="139" t="str">
        <f t="shared" si="179"/>
        <v/>
      </c>
      <c r="V465" s="139" t="str">
        <f t="shared" si="180"/>
        <v/>
      </c>
      <c r="W465" s="139" t="str">
        <f t="shared" si="181"/>
        <v/>
      </c>
      <c r="X465" s="327"/>
    </row>
    <row r="466" spans="1:25" ht="18.75" x14ac:dyDescent="0.25">
      <c r="Q466" s="156" t="str">
        <f t="shared" si="166"/>
        <v/>
      </c>
      <c r="S466" s="156" t="str">
        <f t="shared" si="167"/>
        <v/>
      </c>
      <c r="T466" s="140" t="str">
        <f t="shared" ca="1" si="182"/>
        <v/>
      </c>
      <c r="U466" s="139" t="str">
        <f t="shared" si="179"/>
        <v/>
      </c>
      <c r="V466" s="139" t="str">
        <f t="shared" si="180"/>
        <v/>
      </c>
      <c r="W466" s="139" t="str">
        <f t="shared" si="181"/>
        <v/>
      </c>
      <c r="X466" s="327"/>
    </row>
    <row r="467" spans="1:25" ht="18.75" x14ac:dyDescent="0.25">
      <c r="A467" s="163" t="str">
        <f>'Funding 2019'!L81</f>
        <v xml:space="preserve">PC - Engineering </v>
      </c>
      <c r="B467" s="113" t="str">
        <f>'Funding 2019'!L73</f>
        <v xml:space="preserve">Supporting activities (TA/TE-allocation) by MO/PCNP </v>
      </c>
      <c r="C467" s="147"/>
      <c r="D467" s="147"/>
      <c r="E467" s="148"/>
      <c r="F467" s="148"/>
      <c r="G467" s="148"/>
      <c r="H467" s="148"/>
      <c r="J467" s="149">
        <f t="shared" ref="J467:L468" si="184">F467/$J$2</f>
        <v>0</v>
      </c>
      <c r="K467" s="149">
        <f t="shared" si="184"/>
        <v>0</v>
      </c>
      <c r="L467" s="149">
        <f t="shared" si="184"/>
        <v>0</v>
      </c>
      <c r="N467" s="148"/>
      <c r="O467" s="150"/>
      <c r="P467" s="150"/>
      <c r="Q467" s="156" t="str">
        <f t="shared" si="166"/>
        <v/>
      </c>
      <c r="R467" s="150"/>
      <c r="S467" s="156" t="str">
        <f t="shared" si="167"/>
        <v/>
      </c>
      <c r="T467" s="140" t="str">
        <f t="shared" ca="1" si="182"/>
        <v/>
      </c>
      <c r="U467" s="139" t="str">
        <f t="shared" si="179"/>
        <v/>
      </c>
      <c r="V467" s="139" t="str">
        <f t="shared" si="180"/>
        <v/>
      </c>
      <c r="W467" s="139" t="str">
        <f t="shared" si="181"/>
        <v/>
      </c>
      <c r="X467" s="327"/>
    </row>
    <row r="468" spans="1:25" ht="18.75" x14ac:dyDescent="0.25">
      <c r="A468" s="151">
        <v>1</v>
      </c>
      <c r="B468" s="106" t="str">
        <f>'Funding 2019'!$K$73</f>
        <v>EGMMEPC19002</v>
      </c>
      <c r="C468" s="151">
        <v>5300000194</v>
      </c>
      <c r="D468" s="151">
        <v>4500134438</v>
      </c>
      <c r="E468" s="152" t="s">
        <v>278</v>
      </c>
      <c r="F468" s="166">
        <f>713819200*0</f>
        <v>0</v>
      </c>
      <c r="G468" s="166">
        <f>703704000*0</f>
        <v>0</v>
      </c>
      <c r="H468" s="183">
        <v>595043604</v>
      </c>
      <c r="J468" s="154">
        <f t="shared" si="184"/>
        <v>0</v>
      </c>
      <c r="K468" s="154">
        <f t="shared" si="184"/>
        <v>0</v>
      </c>
      <c r="L468" s="154">
        <f t="shared" si="184"/>
        <v>36681.27259277524</v>
      </c>
      <c r="N468" s="152" t="s">
        <v>182</v>
      </c>
      <c r="O468" s="155">
        <v>43770</v>
      </c>
      <c r="P468" s="155">
        <v>43472</v>
      </c>
      <c r="Q468" s="156">
        <f t="shared" si="166"/>
        <v>43466</v>
      </c>
      <c r="R468" s="155">
        <v>43718</v>
      </c>
      <c r="S468" s="156">
        <f t="shared" si="167"/>
        <v>43709</v>
      </c>
      <c r="T468" s="140" t="str">
        <f t="shared" ca="1" si="182"/>
        <v/>
      </c>
      <c r="U468" s="139" t="str">
        <f t="shared" si="179"/>
        <v/>
      </c>
      <c r="V468" s="139" t="str">
        <f t="shared" si="180"/>
        <v/>
      </c>
      <c r="W468" s="139" t="str">
        <f t="shared" si="181"/>
        <v/>
      </c>
      <c r="X468" s="327"/>
    </row>
    <row r="469" spans="1:25" ht="18.75" x14ac:dyDescent="0.25">
      <c r="A469" s="151">
        <v>2</v>
      </c>
      <c r="B469" s="106" t="str">
        <f>'Funding 2019'!$K$73</f>
        <v>EGMMEPC19002</v>
      </c>
      <c r="C469" s="151">
        <v>2500003534</v>
      </c>
      <c r="D469" s="151">
        <v>4500134462</v>
      </c>
      <c r="E469" s="152" t="s">
        <v>202</v>
      </c>
      <c r="F469" s="166"/>
      <c r="G469" s="166">
        <v>16650000</v>
      </c>
      <c r="H469" s="183">
        <v>26964231</v>
      </c>
      <c r="J469" s="154">
        <f t="shared" ref="J469:J484" si="185">F469/$J$2</f>
        <v>0</v>
      </c>
      <c r="K469" s="154">
        <f t="shared" ref="K469:K484" si="186">G469/$J$2</f>
        <v>1026.3839230674394</v>
      </c>
      <c r="L469" s="154">
        <f t="shared" ref="L469:L484" si="187">H469/$J$2</f>
        <v>1662.2013931697695</v>
      </c>
      <c r="N469" s="152" t="s">
        <v>182</v>
      </c>
      <c r="O469" s="155">
        <v>43620</v>
      </c>
      <c r="P469" s="155">
        <v>43488</v>
      </c>
      <c r="Q469" s="156">
        <f t="shared" si="166"/>
        <v>43466</v>
      </c>
      <c r="R469" s="155">
        <v>43525</v>
      </c>
      <c r="S469" s="156">
        <f t="shared" si="167"/>
        <v>43525</v>
      </c>
      <c r="T469" s="140">
        <f t="shared" ca="1" si="182"/>
        <v>153</v>
      </c>
      <c r="U469" s="139" t="str">
        <f t="shared" si="179"/>
        <v/>
      </c>
      <c r="V469" s="139" t="str">
        <f t="shared" si="180"/>
        <v/>
      </c>
      <c r="W469" s="139" t="str">
        <f t="shared" si="181"/>
        <v/>
      </c>
      <c r="X469" s="327"/>
      <c r="Y469" s="353" t="s">
        <v>837</v>
      </c>
    </row>
    <row r="470" spans="1:25" ht="18.75" x14ac:dyDescent="0.25">
      <c r="A470" s="151">
        <v>3</v>
      </c>
      <c r="B470" s="106" t="str">
        <f>'Funding 2019'!$K$73</f>
        <v>EGMMEPC19002</v>
      </c>
      <c r="C470" s="151">
        <v>5500011239</v>
      </c>
      <c r="D470" s="151"/>
      <c r="E470" s="152" t="s">
        <v>245</v>
      </c>
      <c r="F470" s="166">
        <f>2625000*0</f>
        <v>0</v>
      </c>
      <c r="G470" s="166"/>
      <c r="H470" s="166">
        <f>2625000+571000</f>
        <v>3196000</v>
      </c>
      <c r="J470" s="154">
        <f t="shared" si="185"/>
        <v>0</v>
      </c>
      <c r="K470" s="154">
        <f t="shared" si="186"/>
        <v>0</v>
      </c>
      <c r="L470" s="154">
        <f t="shared" si="187"/>
        <v>197.01639748489706</v>
      </c>
      <c r="N470" s="152" t="s">
        <v>182</v>
      </c>
      <c r="O470" s="155">
        <v>43508</v>
      </c>
      <c r="P470" s="155">
        <v>43494</v>
      </c>
      <c r="Q470" s="156">
        <f t="shared" ref="Q470:Q533" si="188">IF(P470="","",IF(YEAR(P470)&lt;=2018,DATE(2018,12,31),EOMONTH(P470,-1)+1))</f>
        <v>43466</v>
      </c>
      <c r="R470" s="155">
        <v>43525</v>
      </c>
      <c r="S470" s="156">
        <f t="shared" ref="S470:S533" si="189">IF(R470="","",IF(YEAR(R470)&lt;=2018,DATE(2018,12,31),EOMONTH(R470,-1)+1))</f>
        <v>43525</v>
      </c>
      <c r="T470" s="140" t="str">
        <f t="shared" ca="1" si="182"/>
        <v/>
      </c>
      <c r="U470" s="139" t="str">
        <f t="shared" si="179"/>
        <v/>
      </c>
      <c r="V470" s="139" t="str">
        <f t="shared" si="180"/>
        <v/>
      </c>
      <c r="W470" s="139" t="str">
        <f t="shared" si="181"/>
        <v/>
      </c>
      <c r="X470" s="327"/>
    </row>
    <row r="471" spans="1:25" ht="18.75" x14ac:dyDescent="0.25">
      <c r="A471" s="151">
        <v>4</v>
      </c>
      <c r="B471" s="106" t="str">
        <f>'Funding 2019'!$K$73</f>
        <v>EGMMEPC19002</v>
      </c>
      <c r="C471" s="151">
        <v>5500011240</v>
      </c>
      <c r="D471" s="151"/>
      <c r="E471" s="152" t="s">
        <v>246</v>
      </c>
      <c r="F471" s="166">
        <f>3528000*0</f>
        <v>0</v>
      </c>
      <c r="G471" s="166"/>
      <c r="H471" s="166">
        <v>3528000</v>
      </c>
      <c r="J471" s="154">
        <f t="shared" si="185"/>
        <v>0</v>
      </c>
      <c r="K471" s="154">
        <f t="shared" si="186"/>
        <v>0</v>
      </c>
      <c r="L471" s="154">
        <f t="shared" si="187"/>
        <v>217.48243126618172</v>
      </c>
      <c r="N471" s="152" t="s">
        <v>182</v>
      </c>
      <c r="O471" s="155">
        <v>43516</v>
      </c>
      <c r="P471" s="155">
        <v>43494</v>
      </c>
      <c r="Q471" s="156">
        <f t="shared" si="188"/>
        <v>43466</v>
      </c>
      <c r="R471" s="155">
        <v>43525</v>
      </c>
      <c r="S471" s="156">
        <f t="shared" si="189"/>
        <v>43525</v>
      </c>
      <c r="T471" s="140" t="str">
        <f t="shared" ca="1" si="182"/>
        <v/>
      </c>
      <c r="U471" s="139" t="str">
        <f t="shared" si="179"/>
        <v/>
      </c>
      <c r="V471" s="139" t="str">
        <f t="shared" si="180"/>
        <v/>
      </c>
      <c r="W471" s="139" t="str">
        <f t="shared" si="181"/>
        <v/>
      </c>
      <c r="X471" s="327"/>
    </row>
    <row r="472" spans="1:25" ht="18.75" x14ac:dyDescent="0.25">
      <c r="A472" s="151">
        <v>5</v>
      </c>
      <c r="B472" s="106" t="str">
        <f>'Funding 2019'!$K$73</f>
        <v>EGMMEPC19002</v>
      </c>
      <c r="C472" s="151">
        <v>5500011241</v>
      </c>
      <c r="D472" s="151"/>
      <c r="E472" s="152" t="s">
        <v>279</v>
      </c>
      <c r="F472" s="166">
        <f>12880000*0</f>
        <v>0</v>
      </c>
      <c r="G472" s="166"/>
      <c r="H472" s="166">
        <v>12880000</v>
      </c>
      <c r="J472" s="154">
        <f t="shared" si="185"/>
        <v>0</v>
      </c>
      <c r="K472" s="154">
        <f t="shared" si="186"/>
        <v>0</v>
      </c>
      <c r="L472" s="154">
        <f t="shared" si="187"/>
        <v>793.98347922574283</v>
      </c>
      <c r="N472" s="152" t="s">
        <v>182</v>
      </c>
      <c r="O472" s="155">
        <v>43516</v>
      </c>
      <c r="P472" s="155">
        <v>43494</v>
      </c>
      <c r="Q472" s="156">
        <f t="shared" si="188"/>
        <v>43466</v>
      </c>
      <c r="R472" s="155">
        <v>43525</v>
      </c>
      <c r="S472" s="156">
        <f t="shared" si="189"/>
        <v>43525</v>
      </c>
      <c r="T472" s="140" t="str">
        <f t="shared" ca="1" si="182"/>
        <v/>
      </c>
      <c r="U472" s="139" t="str">
        <f t="shared" si="179"/>
        <v/>
      </c>
      <c r="V472" s="139" t="str">
        <f t="shared" si="180"/>
        <v/>
      </c>
      <c r="W472" s="139" t="str">
        <f t="shared" si="181"/>
        <v/>
      </c>
      <c r="X472" s="327"/>
    </row>
    <row r="473" spans="1:25" ht="18.75" x14ac:dyDescent="0.25">
      <c r="A473" s="151">
        <v>6</v>
      </c>
      <c r="B473" s="106" t="str">
        <f>'Funding 2019'!$K$73</f>
        <v>EGMMEPC19002</v>
      </c>
      <c r="C473" s="151"/>
      <c r="D473" s="151">
        <v>7500000631</v>
      </c>
      <c r="E473" s="152" t="s">
        <v>339</v>
      </c>
      <c r="F473" s="166"/>
      <c r="G473" s="166">
        <f>25713500*0</f>
        <v>0</v>
      </c>
      <c r="H473" s="183">
        <f>25713500+100195450</f>
        <v>125908950</v>
      </c>
      <c r="J473" s="154">
        <f t="shared" si="185"/>
        <v>0</v>
      </c>
      <c r="K473" s="154">
        <f t="shared" si="186"/>
        <v>0</v>
      </c>
      <c r="L473" s="154">
        <f t="shared" si="187"/>
        <v>7761.6169399580813</v>
      </c>
      <c r="N473" s="152" t="s">
        <v>182</v>
      </c>
      <c r="O473" s="155">
        <v>43539</v>
      </c>
      <c r="P473" s="155">
        <v>43515</v>
      </c>
      <c r="Q473" s="156">
        <f t="shared" si="188"/>
        <v>43497</v>
      </c>
      <c r="R473" s="155">
        <v>43525</v>
      </c>
      <c r="S473" s="156">
        <f t="shared" si="189"/>
        <v>43525</v>
      </c>
      <c r="T473" s="140" t="str">
        <f t="shared" ca="1" si="182"/>
        <v/>
      </c>
      <c r="U473" s="139" t="str">
        <f t="shared" si="179"/>
        <v/>
      </c>
      <c r="V473" s="139" t="str">
        <f t="shared" si="180"/>
        <v/>
      </c>
      <c r="W473" s="139" t="str">
        <f t="shared" si="181"/>
        <v/>
      </c>
      <c r="X473" s="327"/>
    </row>
    <row r="474" spans="1:25" ht="18.75" x14ac:dyDescent="0.25">
      <c r="A474" s="151">
        <v>8</v>
      </c>
      <c r="B474" s="106" t="str">
        <f>'Funding 2019'!$K$73</f>
        <v>EGMMEPC19002</v>
      </c>
      <c r="C474" s="151">
        <v>2500003571</v>
      </c>
      <c r="D474" s="151">
        <v>4500134747</v>
      </c>
      <c r="E474" s="152" t="s">
        <v>407</v>
      </c>
      <c r="F474" s="166"/>
      <c r="G474" s="166">
        <v>8498300</v>
      </c>
      <c r="H474" s="183">
        <v>54700000</v>
      </c>
      <c r="J474" s="154">
        <f t="shared" si="185"/>
        <v>0</v>
      </c>
      <c r="K474" s="154">
        <f t="shared" si="186"/>
        <v>523.87498458882999</v>
      </c>
      <c r="L474" s="154">
        <f t="shared" si="187"/>
        <v>3371.9639995068424</v>
      </c>
      <c r="N474" s="152" t="s">
        <v>182</v>
      </c>
      <c r="O474" s="155">
        <v>43614</v>
      </c>
      <c r="P474" s="155">
        <v>43565</v>
      </c>
      <c r="Q474" s="156">
        <f t="shared" si="188"/>
        <v>43556</v>
      </c>
      <c r="R474" s="155">
        <v>43617</v>
      </c>
      <c r="S474" s="156">
        <f t="shared" si="189"/>
        <v>43617</v>
      </c>
      <c r="T474" s="140">
        <f t="shared" ca="1" si="182"/>
        <v>159</v>
      </c>
      <c r="U474" s="139" t="str">
        <f t="shared" si="179"/>
        <v/>
      </c>
      <c r="V474" s="139" t="str">
        <f t="shared" si="180"/>
        <v/>
      </c>
      <c r="W474" s="139" t="str">
        <f t="shared" si="181"/>
        <v/>
      </c>
      <c r="X474" s="327"/>
      <c r="Y474" s="353" t="s">
        <v>837</v>
      </c>
    </row>
    <row r="475" spans="1:25" ht="18.75" x14ac:dyDescent="0.25">
      <c r="A475" s="151">
        <v>9</v>
      </c>
      <c r="B475" s="106" t="str">
        <f>'Funding 2019'!$K$73</f>
        <v>EGMMEPC19002</v>
      </c>
      <c r="C475" s="151"/>
      <c r="D475" s="151" t="s">
        <v>460</v>
      </c>
      <c r="E475" s="152" t="s">
        <v>461</v>
      </c>
      <c r="F475" s="166"/>
      <c r="G475" s="166"/>
      <c r="H475" s="183">
        <v>3708000</v>
      </c>
      <c r="J475" s="154">
        <f t="shared" si="185"/>
        <v>0</v>
      </c>
      <c r="K475" s="154">
        <f t="shared" si="186"/>
        <v>0</v>
      </c>
      <c r="L475" s="154">
        <f t="shared" si="187"/>
        <v>228.5784736777216</v>
      </c>
      <c r="N475" s="152" t="s">
        <v>199</v>
      </c>
      <c r="O475" s="155">
        <v>43584</v>
      </c>
      <c r="P475" s="155">
        <v>43584</v>
      </c>
      <c r="Q475" s="156">
        <f t="shared" si="188"/>
        <v>43556</v>
      </c>
      <c r="R475" s="155">
        <v>43586</v>
      </c>
      <c r="S475" s="156">
        <f t="shared" si="189"/>
        <v>43586</v>
      </c>
      <c r="T475" s="140" t="str">
        <f t="shared" ca="1" si="182"/>
        <v/>
      </c>
      <c r="U475" s="139" t="str">
        <f t="shared" si="179"/>
        <v/>
      </c>
      <c r="V475" s="139" t="str">
        <f t="shared" si="180"/>
        <v/>
      </c>
      <c r="W475" s="139" t="str">
        <f t="shared" si="181"/>
        <v/>
      </c>
      <c r="X475" s="327"/>
    </row>
    <row r="476" spans="1:25" ht="18.75" x14ac:dyDescent="0.25">
      <c r="A476" s="151">
        <v>11</v>
      </c>
      <c r="B476" s="106" t="str">
        <f>'Funding 2019'!$K$73</f>
        <v>EGMMEPC19002</v>
      </c>
      <c r="C476" s="151">
        <v>5300000253</v>
      </c>
      <c r="D476" s="151">
        <v>4500135063</v>
      </c>
      <c r="E476" s="152" t="s">
        <v>592</v>
      </c>
      <c r="F476" s="166"/>
      <c r="G476" s="166"/>
      <c r="H476" s="166">
        <v>664190000</v>
      </c>
      <c r="J476" s="154">
        <f t="shared" si="185"/>
        <v>0</v>
      </c>
      <c r="K476" s="154">
        <f t="shared" si="186"/>
        <v>0</v>
      </c>
      <c r="L476" s="154">
        <f t="shared" si="187"/>
        <v>40943.780051781534</v>
      </c>
      <c r="N476" s="152" t="s">
        <v>182</v>
      </c>
      <c r="O476" s="155">
        <v>43799</v>
      </c>
      <c r="P476" s="155">
        <v>43656</v>
      </c>
      <c r="Q476" s="156">
        <f t="shared" si="188"/>
        <v>43647</v>
      </c>
      <c r="R476" s="155">
        <v>43761</v>
      </c>
      <c r="S476" s="156">
        <f t="shared" si="189"/>
        <v>43739</v>
      </c>
      <c r="T476" s="140" t="str">
        <f t="shared" ca="1" si="182"/>
        <v/>
      </c>
      <c r="U476" s="139" t="str">
        <f t="shared" si="179"/>
        <v/>
      </c>
      <c r="V476" s="139" t="str">
        <f t="shared" si="180"/>
        <v/>
      </c>
      <c r="W476" s="139" t="str">
        <f t="shared" si="181"/>
        <v/>
      </c>
      <c r="X476" s="327"/>
    </row>
    <row r="477" spans="1:25" ht="18.75" x14ac:dyDescent="0.25">
      <c r="A477" s="151">
        <v>12</v>
      </c>
      <c r="B477" s="106" t="str">
        <f>'Funding 2019'!$K$73</f>
        <v>EGMMEPC19002</v>
      </c>
      <c r="C477" s="151">
        <v>4400000974</v>
      </c>
      <c r="D477" s="151">
        <v>7500000930</v>
      </c>
      <c r="E477" s="152" t="s">
        <v>691</v>
      </c>
      <c r="F477" s="166"/>
      <c r="G477" s="166"/>
      <c r="H477" s="183">
        <v>800000</v>
      </c>
      <c r="J477" s="154">
        <f t="shared" si="185"/>
        <v>0</v>
      </c>
      <c r="K477" s="154">
        <f t="shared" si="186"/>
        <v>0</v>
      </c>
      <c r="L477" s="154">
        <f t="shared" si="187"/>
        <v>49.315744051288377</v>
      </c>
      <c r="N477" s="152" t="s">
        <v>182</v>
      </c>
      <c r="O477" s="155">
        <v>43707</v>
      </c>
      <c r="P477" s="155">
        <v>43685</v>
      </c>
      <c r="Q477" s="156">
        <f t="shared" si="188"/>
        <v>43678</v>
      </c>
      <c r="R477" s="155">
        <v>43705</v>
      </c>
      <c r="S477" s="156">
        <f t="shared" si="189"/>
        <v>43678</v>
      </c>
      <c r="T477" s="140" t="str">
        <f t="shared" ca="1" si="182"/>
        <v/>
      </c>
      <c r="U477" s="139" t="str">
        <f t="shared" si="179"/>
        <v/>
      </c>
      <c r="V477" s="139" t="str">
        <f t="shared" si="180"/>
        <v/>
      </c>
      <c r="W477" s="139" t="str">
        <f t="shared" si="181"/>
        <v/>
      </c>
      <c r="X477" s="327"/>
    </row>
    <row r="478" spans="1:25" ht="18.75" x14ac:dyDescent="0.25">
      <c r="A478" s="151">
        <v>13</v>
      </c>
      <c r="B478" s="106" t="str">
        <f>'Funding 2019'!$K$73</f>
        <v>EGMMEPC19002</v>
      </c>
      <c r="C478" s="151">
        <v>5500012007</v>
      </c>
      <c r="D478" s="151"/>
      <c r="E478" s="152" t="s">
        <v>845</v>
      </c>
      <c r="F478" s="153">
        <v>14050000</v>
      </c>
      <c r="G478" s="166"/>
      <c r="H478" s="166"/>
      <c r="J478" s="154">
        <f t="shared" si="185"/>
        <v>866.10775490075207</v>
      </c>
      <c r="K478" s="154">
        <f t="shared" si="186"/>
        <v>0</v>
      </c>
      <c r="L478" s="154">
        <f t="shared" si="187"/>
        <v>0</v>
      </c>
      <c r="N478" s="152" t="s">
        <v>177</v>
      </c>
      <c r="O478" s="155">
        <v>43755</v>
      </c>
      <c r="P478" s="155">
        <v>43726</v>
      </c>
      <c r="Q478" s="156">
        <f t="shared" si="188"/>
        <v>43709</v>
      </c>
      <c r="R478" s="155"/>
      <c r="S478" s="156" t="str">
        <f t="shared" si="189"/>
        <v/>
      </c>
      <c r="T478" s="140">
        <f t="shared" ca="1" si="182"/>
        <v>18</v>
      </c>
      <c r="U478" s="139" t="str">
        <f t="shared" si="179"/>
        <v/>
      </c>
      <c r="V478" s="139" t="str">
        <f t="shared" si="180"/>
        <v/>
      </c>
      <c r="W478" s="139" t="str">
        <f t="shared" si="181"/>
        <v/>
      </c>
      <c r="X478" s="327"/>
    </row>
    <row r="479" spans="1:25" ht="18.75" x14ac:dyDescent="0.25">
      <c r="A479" s="151">
        <v>14</v>
      </c>
      <c r="B479" s="106" t="str">
        <f>'Funding 2019'!$K$73</f>
        <v>EGMMEPC19002</v>
      </c>
      <c r="C479" s="151">
        <v>2100011819</v>
      </c>
      <c r="D479" s="151">
        <v>4500135380</v>
      </c>
      <c r="E479" s="152" t="s">
        <v>871</v>
      </c>
      <c r="F479" s="153"/>
      <c r="G479" s="166">
        <v>13500000</v>
      </c>
      <c r="H479" s="183">
        <v>18900000</v>
      </c>
      <c r="J479" s="154">
        <f t="shared" si="185"/>
        <v>0</v>
      </c>
      <c r="K479" s="154">
        <f t="shared" si="186"/>
        <v>832.20318086549128</v>
      </c>
      <c r="L479" s="154">
        <f t="shared" si="187"/>
        <v>1165.0844532116878</v>
      </c>
      <c r="N479" s="152" t="s">
        <v>320</v>
      </c>
      <c r="O479" s="155">
        <v>43759</v>
      </c>
      <c r="P479" s="155">
        <v>43733</v>
      </c>
      <c r="Q479" s="156">
        <f t="shared" si="188"/>
        <v>43709</v>
      </c>
      <c r="R479" s="155">
        <v>43749</v>
      </c>
      <c r="S479" s="156">
        <f t="shared" si="189"/>
        <v>43739</v>
      </c>
      <c r="T479" s="140">
        <f t="shared" ca="1" si="182"/>
        <v>14</v>
      </c>
      <c r="U479" s="139" t="str">
        <f t="shared" si="179"/>
        <v/>
      </c>
      <c r="V479" s="139" t="str">
        <f t="shared" si="180"/>
        <v/>
      </c>
      <c r="W479" s="139" t="str">
        <f t="shared" si="181"/>
        <v/>
      </c>
      <c r="X479" s="327"/>
    </row>
    <row r="480" spans="1:25" ht="18.75" x14ac:dyDescent="0.25">
      <c r="A480" s="151">
        <v>15</v>
      </c>
      <c r="B480" s="106" t="str">
        <f>'Funding 2019'!$K$73</f>
        <v>EGMMEPC19002</v>
      </c>
      <c r="C480" s="151">
        <v>5300000268</v>
      </c>
      <c r="D480" s="426">
        <v>4500135442</v>
      </c>
      <c r="E480" s="152" t="s">
        <v>929</v>
      </c>
      <c r="F480" s="153"/>
      <c r="G480" s="153">
        <v>184127200</v>
      </c>
      <c r="H480" s="166"/>
      <c r="J480" s="154">
        <f t="shared" si="185"/>
        <v>0</v>
      </c>
      <c r="K480" s="154">
        <f t="shared" si="186"/>
        <v>11350.462335100481</v>
      </c>
      <c r="L480" s="154">
        <f t="shared" si="187"/>
        <v>0</v>
      </c>
      <c r="N480" s="152" t="s">
        <v>244</v>
      </c>
      <c r="O480" s="155">
        <v>43773</v>
      </c>
      <c r="P480" s="155">
        <v>43759</v>
      </c>
      <c r="Q480" s="156">
        <f t="shared" si="188"/>
        <v>43739</v>
      </c>
      <c r="R480" s="155"/>
      <c r="S480" s="156" t="str">
        <f t="shared" si="189"/>
        <v/>
      </c>
      <c r="T480" s="140">
        <f t="shared" ca="1" si="182"/>
        <v>0</v>
      </c>
      <c r="U480" s="139" t="str">
        <f t="shared" si="179"/>
        <v/>
      </c>
      <c r="V480" s="139" t="str">
        <f t="shared" si="180"/>
        <v/>
      </c>
      <c r="W480" s="139" t="str">
        <f t="shared" si="181"/>
        <v/>
      </c>
      <c r="X480" s="327"/>
    </row>
    <row r="481" spans="1:25" ht="18.75" x14ac:dyDescent="0.25">
      <c r="A481" s="151">
        <v>16</v>
      </c>
      <c r="B481" s="106" t="str">
        <f>'Funding 2019'!$K$73</f>
        <v>EGMMEPC19002</v>
      </c>
      <c r="C481" s="151"/>
      <c r="D481" s="151"/>
      <c r="E481" s="152"/>
      <c r="F481" s="153"/>
      <c r="G481" s="153"/>
      <c r="H481" s="153"/>
      <c r="J481" s="154">
        <f t="shared" si="185"/>
        <v>0</v>
      </c>
      <c r="K481" s="154">
        <f t="shared" si="186"/>
        <v>0</v>
      </c>
      <c r="L481" s="154">
        <f t="shared" si="187"/>
        <v>0</v>
      </c>
      <c r="N481" s="152"/>
      <c r="O481" s="155"/>
      <c r="P481" s="155"/>
      <c r="Q481" s="156" t="str">
        <f t="shared" si="188"/>
        <v/>
      </c>
      <c r="R481" s="155"/>
      <c r="S481" s="156" t="str">
        <f t="shared" si="189"/>
        <v/>
      </c>
      <c r="T481" s="140" t="str">
        <f t="shared" ca="1" si="182"/>
        <v/>
      </c>
      <c r="U481" s="139" t="str">
        <f t="shared" si="179"/>
        <v/>
      </c>
      <c r="V481" s="139" t="str">
        <f t="shared" si="180"/>
        <v/>
      </c>
      <c r="W481" s="139" t="str">
        <f t="shared" si="181"/>
        <v/>
      </c>
      <c r="X481" s="327"/>
    </row>
    <row r="482" spans="1:25" ht="18.75" x14ac:dyDescent="0.25">
      <c r="A482" s="151">
        <v>17</v>
      </c>
      <c r="B482" s="106" t="str">
        <f>'Funding 2019'!$K$73</f>
        <v>EGMMEPC19002</v>
      </c>
      <c r="C482" s="151"/>
      <c r="D482" s="151"/>
      <c r="E482" s="152"/>
      <c r="F482" s="153"/>
      <c r="G482" s="153"/>
      <c r="H482" s="153"/>
      <c r="J482" s="154">
        <f t="shared" si="185"/>
        <v>0</v>
      </c>
      <c r="K482" s="154">
        <f t="shared" si="186"/>
        <v>0</v>
      </c>
      <c r="L482" s="154">
        <f t="shared" si="187"/>
        <v>0</v>
      </c>
      <c r="N482" s="152"/>
      <c r="O482" s="155"/>
      <c r="P482" s="155"/>
      <c r="Q482" s="156" t="str">
        <f t="shared" si="188"/>
        <v/>
      </c>
      <c r="R482" s="155"/>
      <c r="S482" s="156" t="str">
        <f t="shared" si="189"/>
        <v/>
      </c>
      <c r="T482" s="140" t="str">
        <f t="shared" ca="1" si="182"/>
        <v/>
      </c>
      <c r="U482" s="139" t="str">
        <f t="shared" si="179"/>
        <v/>
      </c>
      <c r="V482" s="139" t="str">
        <f t="shared" si="180"/>
        <v/>
      </c>
      <c r="W482" s="139" t="str">
        <f t="shared" si="181"/>
        <v/>
      </c>
      <c r="X482" s="327"/>
    </row>
    <row r="483" spans="1:25" ht="18.75" x14ac:dyDescent="0.25">
      <c r="A483" s="151">
        <v>18</v>
      </c>
      <c r="B483" s="106" t="str">
        <f>'Funding 2019'!$K$73</f>
        <v>EGMMEPC19002</v>
      </c>
      <c r="C483" s="151"/>
      <c r="D483" s="151"/>
      <c r="E483" s="152"/>
      <c r="F483" s="153"/>
      <c r="G483" s="153"/>
      <c r="H483" s="153"/>
      <c r="J483" s="154">
        <f t="shared" si="185"/>
        <v>0</v>
      </c>
      <c r="K483" s="154">
        <f t="shared" si="186"/>
        <v>0</v>
      </c>
      <c r="L483" s="154">
        <f t="shared" si="187"/>
        <v>0</v>
      </c>
      <c r="N483" s="152"/>
      <c r="O483" s="155"/>
      <c r="P483" s="155"/>
      <c r="Q483" s="156" t="str">
        <f t="shared" si="188"/>
        <v/>
      </c>
      <c r="R483" s="155"/>
      <c r="S483" s="156" t="str">
        <f t="shared" si="189"/>
        <v/>
      </c>
      <c r="T483" s="140" t="str">
        <f t="shared" ca="1" si="182"/>
        <v/>
      </c>
      <c r="U483" s="139" t="str">
        <f t="shared" si="179"/>
        <v/>
      </c>
      <c r="V483" s="139" t="str">
        <f t="shared" si="180"/>
        <v/>
      </c>
      <c r="W483" s="139" t="str">
        <f t="shared" si="181"/>
        <v/>
      </c>
      <c r="X483" s="327"/>
    </row>
    <row r="484" spans="1:25" ht="18.75" x14ac:dyDescent="0.25">
      <c r="A484" s="151">
        <v>19</v>
      </c>
      <c r="B484" s="106" t="str">
        <f>'Funding 2019'!$K$73</f>
        <v>EGMMEPC19002</v>
      </c>
      <c r="C484" s="151"/>
      <c r="D484" s="151"/>
      <c r="E484" s="152"/>
      <c r="F484" s="153"/>
      <c r="G484" s="153"/>
      <c r="H484" s="153"/>
      <c r="J484" s="154">
        <f t="shared" si="185"/>
        <v>0</v>
      </c>
      <c r="K484" s="154">
        <f t="shared" si="186"/>
        <v>0</v>
      </c>
      <c r="L484" s="154">
        <f t="shared" si="187"/>
        <v>0</v>
      </c>
      <c r="N484" s="152"/>
      <c r="O484" s="155"/>
      <c r="P484" s="155"/>
      <c r="Q484" s="156" t="str">
        <f t="shared" si="188"/>
        <v/>
      </c>
      <c r="R484" s="155"/>
      <c r="S484" s="156" t="str">
        <f t="shared" si="189"/>
        <v/>
      </c>
      <c r="T484" s="140" t="str">
        <f t="shared" ca="1" si="182"/>
        <v/>
      </c>
      <c r="U484" s="139" t="str">
        <f t="shared" si="179"/>
        <v/>
      </c>
      <c r="V484" s="139" t="str">
        <f t="shared" si="180"/>
        <v/>
      </c>
      <c r="W484" s="139" t="str">
        <f t="shared" si="181"/>
        <v/>
      </c>
      <c r="X484" s="327"/>
    </row>
    <row r="485" spans="1:25" ht="18.75" x14ac:dyDescent="0.25">
      <c r="A485" s="157"/>
      <c r="B485" s="158"/>
      <c r="C485" s="157"/>
      <c r="D485" s="157"/>
      <c r="E485" s="159"/>
      <c r="F485" s="160">
        <f>SUM(F467:F484)</f>
        <v>14050000</v>
      </c>
      <c r="G485" s="160">
        <f>SUM(G467:G484)</f>
        <v>222775500</v>
      </c>
      <c r="H485" s="160">
        <f>SUM(H467:H484)</f>
        <v>1509818785</v>
      </c>
      <c r="J485" s="161">
        <f>F485/$J$2</f>
        <v>866.10775490075207</v>
      </c>
      <c r="K485" s="161">
        <f>G485/$J$2</f>
        <v>13732.924423622242</v>
      </c>
      <c r="L485" s="161">
        <f>H485/$J$2</f>
        <v>93072.295956108981</v>
      </c>
      <c r="N485" s="159"/>
      <c r="O485" s="162"/>
      <c r="P485" s="162"/>
      <c r="Q485" s="156" t="str">
        <f t="shared" si="188"/>
        <v/>
      </c>
      <c r="R485" s="162"/>
      <c r="S485" s="156" t="str">
        <f t="shared" si="189"/>
        <v/>
      </c>
      <c r="T485" s="140" t="str">
        <f t="shared" ca="1" si="182"/>
        <v/>
      </c>
      <c r="U485" s="139" t="str">
        <f t="shared" si="179"/>
        <v/>
      </c>
      <c r="V485" s="139" t="str">
        <f t="shared" si="180"/>
        <v/>
      </c>
      <c r="W485" s="139" t="str">
        <f t="shared" si="181"/>
        <v/>
      </c>
      <c r="X485" s="327"/>
    </row>
    <row r="486" spans="1:25" ht="18.75" x14ac:dyDescent="0.25">
      <c r="Q486" s="156" t="str">
        <f t="shared" si="188"/>
        <v/>
      </c>
      <c r="S486" s="156" t="str">
        <f t="shared" si="189"/>
        <v/>
      </c>
      <c r="T486" s="140" t="str">
        <f t="shared" ca="1" si="182"/>
        <v/>
      </c>
      <c r="U486" s="139" t="str">
        <f t="shared" si="179"/>
        <v/>
      </c>
      <c r="V486" s="139" t="str">
        <f t="shared" si="180"/>
        <v/>
      </c>
      <c r="W486" s="139" t="str">
        <f t="shared" si="181"/>
        <v/>
      </c>
      <c r="X486" s="327"/>
    </row>
    <row r="487" spans="1:25" ht="18.75" x14ac:dyDescent="0.25">
      <c r="A487" s="163" t="str">
        <f>'Funding 2019'!L81</f>
        <v xml:space="preserve">PC - Engineering </v>
      </c>
      <c r="B487" s="113" t="str">
        <f>'Funding 2019'!L76</f>
        <v>Green Belt / Black Belt Qualification and Training Program</v>
      </c>
      <c r="C487" s="147"/>
      <c r="D487" s="147"/>
      <c r="E487" s="148"/>
      <c r="F487" s="148"/>
      <c r="G487" s="148"/>
      <c r="H487" s="148"/>
      <c r="J487" s="149">
        <f t="shared" ref="J487:L492" si="190">F487/$J$2</f>
        <v>0</v>
      </c>
      <c r="K487" s="149">
        <f t="shared" si="190"/>
        <v>0</v>
      </c>
      <c r="L487" s="149">
        <f t="shared" si="190"/>
        <v>0</v>
      </c>
      <c r="N487" s="148"/>
      <c r="O487" s="150"/>
      <c r="P487" s="150"/>
      <c r="Q487" s="156" t="str">
        <f t="shared" si="188"/>
        <v/>
      </c>
      <c r="R487" s="150"/>
      <c r="S487" s="156" t="str">
        <f t="shared" si="189"/>
        <v/>
      </c>
      <c r="T487" s="140" t="str">
        <f t="shared" ca="1" si="182"/>
        <v/>
      </c>
      <c r="U487" s="139" t="str">
        <f t="shared" si="179"/>
        <v/>
      </c>
      <c r="V487" s="139" t="str">
        <f t="shared" si="180"/>
        <v/>
      </c>
      <c r="W487" s="139" t="str">
        <f t="shared" si="181"/>
        <v/>
      </c>
      <c r="X487" s="327"/>
    </row>
    <row r="488" spans="1:25" ht="18.75" x14ac:dyDescent="0.25">
      <c r="A488" s="151">
        <v>1</v>
      </c>
      <c r="B488" s="106" t="str">
        <f>'Funding 2019'!$K$76</f>
        <v>EGMMENG19001</v>
      </c>
      <c r="C488" s="151"/>
      <c r="D488" s="151"/>
      <c r="E488" s="152"/>
      <c r="F488" s="153"/>
      <c r="G488" s="153"/>
      <c r="H488" s="153"/>
      <c r="J488" s="154">
        <f t="shared" si="190"/>
        <v>0</v>
      </c>
      <c r="K488" s="154">
        <f t="shared" si="190"/>
        <v>0</v>
      </c>
      <c r="L488" s="154">
        <f t="shared" si="190"/>
        <v>0</v>
      </c>
      <c r="N488" s="152"/>
      <c r="O488" s="155"/>
      <c r="P488" s="155"/>
      <c r="Q488" s="156" t="str">
        <f t="shared" si="188"/>
        <v/>
      </c>
      <c r="R488" s="155"/>
      <c r="S488" s="156" t="str">
        <f t="shared" si="189"/>
        <v/>
      </c>
      <c r="T488" s="140" t="str">
        <f t="shared" ca="1" si="182"/>
        <v/>
      </c>
      <c r="U488" s="139" t="str">
        <f t="shared" si="179"/>
        <v/>
      </c>
      <c r="V488" s="139" t="str">
        <f t="shared" si="180"/>
        <v/>
      </c>
      <c r="W488" s="139" t="str">
        <f t="shared" si="181"/>
        <v/>
      </c>
      <c r="X488" s="327"/>
    </row>
    <row r="489" spans="1:25" ht="18.75" x14ac:dyDescent="0.25">
      <c r="A489" s="151">
        <v>2</v>
      </c>
      <c r="B489" s="106" t="str">
        <f>'Funding 2019'!$K$76</f>
        <v>EGMMENG19001</v>
      </c>
      <c r="C489" s="151"/>
      <c r="D489" s="151"/>
      <c r="E489" s="152"/>
      <c r="F489" s="153"/>
      <c r="G489" s="153"/>
      <c r="H489" s="153"/>
      <c r="J489" s="154">
        <f t="shared" si="190"/>
        <v>0</v>
      </c>
      <c r="K489" s="154">
        <f t="shared" si="190"/>
        <v>0</v>
      </c>
      <c r="L489" s="154">
        <f t="shared" si="190"/>
        <v>0</v>
      </c>
      <c r="N489" s="152"/>
      <c r="O489" s="155"/>
      <c r="P489" s="155"/>
      <c r="Q489" s="156" t="str">
        <f t="shared" si="188"/>
        <v/>
      </c>
      <c r="R489" s="155"/>
      <c r="S489" s="156" t="str">
        <f t="shared" si="189"/>
        <v/>
      </c>
      <c r="T489" s="140" t="str">
        <f t="shared" ca="1" si="182"/>
        <v/>
      </c>
      <c r="U489" s="139" t="str">
        <f t="shared" si="179"/>
        <v/>
      </c>
      <c r="V489" s="139" t="str">
        <f t="shared" si="180"/>
        <v/>
      </c>
      <c r="W489" s="139" t="str">
        <f t="shared" si="181"/>
        <v/>
      </c>
      <c r="X489" s="327"/>
    </row>
    <row r="490" spans="1:25" ht="18.75" x14ac:dyDescent="0.25">
      <c r="A490" s="151">
        <v>3</v>
      </c>
      <c r="B490" s="106" t="str">
        <f>'Funding 2019'!$K$76</f>
        <v>EGMMENG19001</v>
      </c>
      <c r="C490" s="151"/>
      <c r="D490" s="151"/>
      <c r="E490" s="152"/>
      <c r="F490" s="153"/>
      <c r="G490" s="153"/>
      <c r="H490" s="153"/>
      <c r="J490" s="154">
        <f t="shared" si="190"/>
        <v>0</v>
      </c>
      <c r="K490" s="154">
        <f t="shared" si="190"/>
        <v>0</v>
      </c>
      <c r="L490" s="154">
        <f t="shared" si="190"/>
        <v>0</v>
      </c>
      <c r="N490" s="152"/>
      <c r="O490" s="155"/>
      <c r="P490" s="155"/>
      <c r="Q490" s="156" t="str">
        <f t="shared" si="188"/>
        <v/>
      </c>
      <c r="R490" s="155"/>
      <c r="S490" s="156" t="str">
        <f t="shared" si="189"/>
        <v/>
      </c>
      <c r="T490" s="140" t="str">
        <f t="shared" ca="1" si="182"/>
        <v/>
      </c>
      <c r="U490" s="139" t="str">
        <f t="shared" si="179"/>
        <v/>
      </c>
      <c r="V490" s="139" t="str">
        <f t="shared" si="180"/>
        <v/>
      </c>
      <c r="W490" s="139" t="str">
        <f t="shared" si="181"/>
        <v/>
      </c>
      <c r="X490" s="327"/>
    </row>
    <row r="491" spans="1:25" ht="18.75" x14ac:dyDescent="0.25">
      <c r="A491" s="151">
        <v>4</v>
      </c>
      <c r="B491" s="106" t="str">
        <f>'Funding 2019'!$K$76</f>
        <v>EGMMENG19001</v>
      </c>
      <c r="C491" s="151"/>
      <c r="D491" s="151"/>
      <c r="E491" s="152"/>
      <c r="F491" s="153"/>
      <c r="G491" s="153"/>
      <c r="H491" s="153"/>
      <c r="J491" s="154">
        <f t="shared" si="190"/>
        <v>0</v>
      </c>
      <c r="K491" s="154">
        <f t="shared" si="190"/>
        <v>0</v>
      </c>
      <c r="L491" s="154">
        <f t="shared" si="190"/>
        <v>0</v>
      </c>
      <c r="N491" s="152"/>
      <c r="O491" s="155"/>
      <c r="P491" s="155"/>
      <c r="Q491" s="156" t="str">
        <f t="shared" si="188"/>
        <v/>
      </c>
      <c r="R491" s="155"/>
      <c r="S491" s="156" t="str">
        <f t="shared" si="189"/>
        <v/>
      </c>
      <c r="T491" s="140" t="str">
        <f t="shared" ca="1" si="182"/>
        <v/>
      </c>
      <c r="U491" s="139" t="str">
        <f t="shared" si="179"/>
        <v/>
      </c>
      <c r="V491" s="139" t="str">
        <f t="shared" si="180"/>
        <v/>
      </c>
      <c r="W491" s="139" t="str">
        <f t="shared" si="181"/>
        <v/>
      </c>
      <c r="X491" s="327"/>
    </row>
    <row r="492" spans="1:25" ht="18.75" x14ac:dyDescent="0.25">
      <c r="A492" s="157"/>
      <c r="B492" s="158"/>
      <c r="C492" s="157"/>
      <c r="D492" s="157"/>
      <c r="E492" s="159"/>
      <c r="F492" s="160">
        <f>SUM(F487:F491)</f>
        <v>0</v>
      </c>
      <c r="G492" s="160">
        <f>SUM(G487:G491)</f>
        <v>0</v>
      </c>
      <c r="H492" s="160">
        <f>SUM(H487:H491)</f>
        <v>0</v>
      </c>
      <c r="J492" s="161">
        <f t="shared" si="190"/>
        <v>0</v>
      </c>
      <c r="K492" s="161">
        <f t="shared" si="190"/>
        <v>0</v>
      </c>
      <c r="L492" s="161">
        <f t="shared" si="190"/>
        <v>0</v>
      </c>
      <c r="N492" s="159"/>
      <c r="O492" s="162"/>
      <c r="P492" s="162"/>
      <c r="Q492" s="156" t="str">
        <f t="shared" si="188"/>
        <v/>
      </c>
      <c r="R492" s="162"/>
      <c r="S492" s="156" t="str">
        <f t="shared" si="189"/>
        <v/>
      </c>
      <c r="T492" s="140" t="str">
        <f t="shared" ca="1" si="182"/>
        <v/>
      </c>
      <c r="U492" s="139" t="str">
        <f t="shared" si="179"/>
        <v/>
      </c>
      <c r="V492" s="139" t="str">
        <f t="shared" si="180"/>
        <v/>
      </c>
      <c r="W492" s="139" t="str">
        <f t="shared" si="181"/>
        <v/>
      </c>
      <c r="X492" s="327"/>
    </row>
    <row r="493" spans="1:25" ht="18.75" x14ac:dyDescent="0.25">
      <c r="Q493" s="156" t="str">
        <f t="shared" si="188"/>
        <v/>
      </c>
      <c r="S493" s="156" t="str">
        <f t="shared" si="189"/>
        <v/>
      </c>
      <c r="T493" s="140" t="str">
        <f t="shared" ca="1" si="182"/>
        <v/>
      </c>
      <c r="U493" s="139" t="str">
        <f t="shared" si="179"/>
        <v/>
      </c>
      <c r="V493" s="139" t="str">
        <f t="shared" si="180"/>
        <v/>
      </c>
      <c r="W493" s="139" t="str">
        <f t="shared" si="181"/>
        <v/>
      </c>
      <c r="X493" s="327"/>
    </row>
    <row r="494" spans="1:25" ht="18.75" x14ac:dyDescent="0.25">
      <c r="A494" s="163" t="str">
        <f>'Funding 2019'!L81</f>
        <v xml:space="preserve">PC - Engineering </v>
      </c>
      <c r="B494" s="113" t="str">
        <f>'Funding 2019'!L77</f>
        <v>One Time Cost for Preparation CKD Scheme</v>
      </c>
      <c r="C494" s="147"/>
      <c r="D494" s="147"/>
      <c r="E494" s="148"/>
      <c r="F494" s="148"/>
      <c r="G494" s="148"/>
      <c r="H494" s="148"/>
      <c r="J494" s="149">
        <f t="shared" ref="J494:J499" si="191">F494/$J$2</f>
        <v>0</v>
      </c>
      <c r="K494" s="149">
        <f t="shared" ref="K494:K499" si="192">G494/$J$2</f>
        <v>0</v>
      </c>
      <c r="L494" s="149">
        <f t="shared" ref="L494:L499" si="193">H494/$J$2</f>
        <v>0</v>
      </c>
      <c r="N494" s="148"/>
      <c r="O494" s="150"/>
      <c r="P494" s="150"/>
      <c r="Q494" s="156" t="str">
        <f t="shared" si="188"/>
        <v/>
      </c>
      <c r="R494" s="150"/>
      <c r="S494" s="156" t="str">
        <f t="shared" si="189"/>
        <v/>
      </c>
      <c r="T494" s="140" t="str">
        <f t="shared" ca="1" si="182"/>
        <v/>
      </c>
      <c r="U494" s="139" t="str">
        <f t="shared" si="179"/>
        <v/>
      </c>
      <c r="V494" s="139" t="str">
        <f t="shared" si="180"/>
        <v/>
      </c>
      <c r="W494" s="139" t="str">
        <f t="shared" si="181"/>
        <v/>
      </c>
      <c r="X494" s="327"/>
    </row>
    <row r="495" spans="1:25" ht="18.75" x14ac:dyDescent="0.25">
      <c r="A495" s="151">
        <v>1</v>
      </c>
      <c r="B495" s="106" t="str">
        <f>'Funding 2019'!$K$77</f>
        <v>EGMMENG19002</v>
      </c>
      <c r="C495" s="151">
        <v>2500003548</v>
      </c>
      <c r="D495" s="151">
        <v>4500134577</v>
      </c>
      <c r="E495" s="152" t="s">
        <v>348</v>
      </c>
      <c r="F495" s="153">
        <f>640000000*0</f>
        <v>0</v>
      </c>
      <c r="G495" s="153">
        <v>588800000</v>
      </c>
      <c r="H495" s="153"/>
      <c r="J495" s="154">
        <f t="shared" si="191"/>
        <v>0</v>
      </c>
      <c r="K495" s="154">
        <f t="shared" si="192"/>
        <v>36296.387621748247</v>
      </c>
      <c r="L495" s="154">
        <f t="shared" si="193"/>
        <v>0</v>
      </c>
      <c r="N495" s="152" t="s">
        <v>349</v>
      </c>
      <c r="O495" s="155">
        <v>43709</v>
      </c>
      <c r="P495" s="155">
        <v>43521</v>
      </c>
      <c r="Q495" s="156">
        <f t="shared" si="188"/>
        <v>43497</v>
      </c>
      <c r="R495" s="155"/>
      <c r="S495" s="156" t="str">
        <f t="shared" si="189"/>
        <v/>
      </c>
      <c r="T495" s="140">
        <f t="shared" ca="1" si="182"/>
        <v>64</v>
      </c>
      <c r="U495" s="139" t="str">
        <f t="shared" si="179"/>
        <v/>
      </c>
      <c r="V495" s="139" t="str">
        <f t="shared" si="180"/>
        <v/>
      </c>
      <c r="W495" s="139" t="str">
        <f t="shared" si="181"/>
        <v/>
      </c>
      <c r="X495" s="327"/>
      <c r="Y495" s="139" t="s">
        <v>731</v>
      </c>
    </row>
    <row r="496" spans="1:25" ht="18.75" x14ac:dyDescent="0.25">
      <c r="A496" s="151">
        <v>2</v>
      </c>
      <c r="B496" s="106" t="str">
        <f>'Funding 2019'!$K$77</f>
        <v>EGMMENG19002</v>
      </c>
      <c r="C496" s="151">
        <v>2500003625</v>
      </c>
      <c r="D496" s="151">
        <v>4500135060</v>
      </c>
      <c r="E496" s="152" t="s">
        <v>580</v>
      </c>
      <c r="F496" s="153">
        <f>138000000*0</f>
        <v>0</v>
      </c>
      <c r="G496" s="153">
        <v>138000000</v>
      </c>
      <c r="H496" s="153"/>
      <c r="J496" s="154">
        <f t="shared" ref="J496:L498" si="194">F496/$J$2</f>
        <v>0</v>
      </c>
      <c r="K496" s="154">
        <f t="shared" si="194"/>
        <v>8506.9658488472451</v>
      </c>
      <c r="L496" s="154">
        <f t="shared" si="194"/>
        <v>0</v>
      </c>
      <c r="N496" s="152" t="s">
        <v>581</v>
      </c>
      <c r="O496" s="155">
        <v>43770</v>
      </c>
      <c r="P496" s="155">
        <v>43656</v>
      </c>
      <c r="Q496" s="156">
        <f t="shared" si="188"/>
        <v>43647</v>
      </c>
      <c r="R496" s="155"/>
      <c r="S496" s="156" t="str">
        <f t="shared" si="189"/>
        <v/>
      </c>
      <c r="T496" s="140">
        <f t="shared" ca="1" si="182"/>
        <v>3</v>
      </c>
      <c r="U496" s="139" t="str">
        <f t="shared" si="179"/>
        <v/>
      </c>
      <c r="V496" s="139" t="str">
        <f t="shared" si="180"/>
        <v/>
      </c>
      <c r="W496" s="139" t="str">
        <f t="shared" si="181"/>
        <v/>
      </c>
      <c r="X496" s="327"/>
    </row>
    <row r="497" spans="1:24" ht="18.75" x14ac:dyDescent="0.25">
      <c r="A497" s="151">
        <v>3</v>
      </c>
      <c r="B497" s="106" t="str">
        <f>'Funding 2019'!$K$77</f>
        <v>EGMMENG19002</v>
      </c>
      <c r="C497" s="151"/>
      <c r="D497" s="151"/>
      <c r="E497" s="152"/>
      <c r="F497" s="153"/>
      <c r="G497" s="153"/>
      <c r="H497" s="153"/>
      <c r="J497" s="154">
        <f t="shared" si="194"/>
        <v>0</v>
      </c>
      <c r="K497" s="154">
        <f t="shared" si="194"/>
        <v>0</v>
      </c>
      <c r="L497" s="154">
        <f t="shared" si="194"/>
        <v>0</v>
      </c>
      <c r="N497" s="152"/>
      <c r="O497" s="155"/>
      <c r="P497" s="155"/>
      <c r="Q497" s="156" t="str">
        <f t="shared" si="188"/>
        <v/>
      </c>
      <c r="R497" s="155"/>
      <c r="S497" s="156" t="str">
        <f t="shared" si="189"/>
        <v/>
      </c>
      <c r="T497" s="140" t="str">
        <f t="shared" ca="1" si="182"/>
        <v/>
      </c>
      <c r="U497" s="139" t="str">
        <f t="shared" si="179"/>
        <v/>
      </c>
      <c r="V497" s="139" t="str">
        <f t="shared" si="180"/>
        <v/>
      </c>
      <c r="W497" s="139" t="str">
        <f t="shared" si="181"/>
        <v/>
      </c>
      <c r="X497" s="327"/>
    </row>
    <row r="498" spans="1:24" ht="18.75" x14ac:dyDescent="0.25">
      <c r="A498" s="151">
        <v>4</v>
      </c>
      <c r="B498" s="106" t="str">
        <f>'Funding 2019'!$K$77</f>
        <v>EGMMENG19002</v>
      </c>
      <c r="C498" s="151"/>
      <c r="D498" s="151"/>
      <c r="E498" s="152"/>
      <c r="F498" s="153"/>
      <c r="G498" s="153"/>
      <c r="H498" s="153"/>
      <c r="J498" s="154">
        <f t="shared" si="194"/>
        <v>0</v>
      </c>
      <c r="K498" s="154">
        <f t="shared" si="194"/>
        <v>0</v>
      </c>
      <c r="L498" s="154">
        <f t="shared" si="194"/>
        <v>0</v>
      </c>
      <c r="N498" s="152"/>
      <c r="O498" s="155"/>
      <c r="P498" s="155"/>
      <c r="Q498" s="156" t="str">
        <f t="shared" si="188"/>
        <v/>
      </c>
      <c r="R498" s="155"/>
      <c r="S498" s="156" t="str">
        <f t="shared" si="189"/>
        <v/>
      </c>
      <c r="T498" s="140" t="str">
        <f t="shared" ca="1" si="182"/>
        <v/>
      </c>
      <c r="U498" s="139" t="str">
        <f t="shared" si="179"/>
        <v/>
      </c>
      <c r="V498" s="139" t="str">
        <f t="shared" si="180"/>
        <v/>
      </c>
      <c r="W498" s="139" t="str">
        <f t="shared" si="181"/>
        <v/>
      </c>
      <c r="X498" s="327"/>
    </row>
    <row r="499" spans="1:24" ht="18.75" x14ac:dyDescent="0.25">
      <c r="A499" s="157"/>
      <c r="B499" s="158"/>
      <c r="C499" s="157"/>
      <c r="D499" s="157"/>
      <c r="E499" s="159"/>
      <c r="F499" s="160">
        <f>SUM(F494:F498)</f>
        <v>0</v>
      </c>
      <c r="G499" s="160">
        <f>SUM(G494:G498)</f>
        <v>726800000</v>
      </c>
      <c r="H499" s="160">
        <f>SUM(H494:H498)</f>
        <v>0</v>
      </c>
      <c r="J499" s="161">
        <f t="shared" si="191"/>
        <v>0</v>
      </c>
      <c r="K499" s="161">
        <f t="shared" si="192"/>
        <v>44803.353470595488</v>
      </c>
      <c r="L499" s="161">
        <f t="shared" si="193"/>
        <v>0</v>
      </c>
      <c r="N499" s="159"/>
      <c r="O499" s="162"/>
      <c r="P499" s="162"/>
      <c r="Q499" s="156" t="str">
        <f t="shared" si="188"/>
        <v/>
      </c>
      <c r="R499" s="162"/>
      <c r="S499" s="156" t="str">
        <f t="shared" si="189"/>
        <v/>
      </c>
      <c r="T499" s="140" t="str">
        <f t="shared" ca="1" si="182"/>
        <v/>
      </c>
      <c r="U499" s="139" t="str">
        <f t="shared" si="179"/>
        <v/>
      </c>
      <c r="V499" s="139" t="str">
        <f t="shared" si="180"/>
        <v/>
      </c>
      <c r="W499" s="139" t="str">
        <f t="shared" si="181"/>
        <v/>
      </c>
      <c r="X499" s="327"/>
    </row>
    <row r="500" spans="1:24" ht="18.75" x14ac:dyDescent="0.25">
      <c r="Q500" s="156" t="str">
        <f t="shared" si="188"/>
        <v/>
      </c>
      <c r="S500" s="156" t="str">
        <f t="shared" si="189"/>
        <v/>
      </c>
      <c r="T500" s="140" t="str">
        <f t="shared" ca="1" si="182"/>
        <v/>
      </c>
      <c r="U500" s="139" t="str">
        <f t="shared" si="179"/>
        <v/>
      </c>
      <c r="V500" s="139" t="str">
        <f t="shared" si="180"/>
        <v/>
      </c>
      <c r="W500" s="139" t="str">
        <f t="shared" si="181"/>
        <v/>
      </c>
      <c r="X500" s="327"/>
    </row>
    <row r="501" spans="1:24" ht="18.75" x14ac:dyDescent="0.25">
      <c r="A501" s="163" t="str">
        <f>'Funding 2019'!L81</f>
        <v xml:space="preserve">PC - Engineering </v>
      </c>
      <c r="B501" s="113" t="str">
        <f>'Funding 2019'!L78</f>
        <v>Statutory - Legatrix Application</v>
      </c>
      <c r="C501" s="147"/>
      <c r="D501" s="147"/>
      <c r="E501" s="148"/>
      <c r="F501" s="148"/>
      <c r="G501" s="148"/>
      <c r="H501" s="148"/>
      <c r="J501" s="149">
        <f t="shared" ref="J501:L508" si="195">F501/$J$2</f>
        <v>0</v>
      </c>
      <c r="K501" s="149">
        <f t="shared" si="195"/>
        <v>0</v>
      </c>
      <c r="L501" s="149">
        <f t="shared" si="195"/>
        <v>0</v>
      </c>
      <c r="N501" s="148"/>
      <c r="O501" s="150"/>
      <c r="P501" s="150"/>
      <c r="Q501" s="156" t="str">
        <f t="shared" si="188"/>
        <v/>
      </c>
      <c r="R501" s="150"/>
      <c r="S501" s="156" t="str">
        <f t="shared" si="189"/>
        <v/>
      </c>
      <c r="T501" s="140" t="str">
        <f t="shared" ca="1" si="182"/>
        <v/>
      </c>
      <c r="U501" s="139" t="str">
        <f t="shared" si="179"/>
        <v/>
      </c>
      <c r="V501" s="139" t="str">
        <f t="shared" si="180"/>
        <v/>
      </c>
      <c r="W501" s="139" t="str">
        <f t="shared" si="181"/>
        <v/>
      </c>
      <c r="X501" s="327"/>
    </row>
    <row r="502" spans="1:24" ht="18.75" x14ac:dyDescent="0.25">
      <c r="A502" s="151">
        <v>1</v>
      </c>
      <c r="B502" s="106" t="str">
        <f>'Funding 2019'!$K$78</f>
        <v>CGMMENG19001</v>
      </c>
      <c r="C502" s="151">
        <v>2500003561</v>
      </c>
      <c r="D502" s="151">
        <v>4500134662</v>
      </c>
      <c r="E502" s="152" t="s">
        <v>317</v>
      </c>
      <c r="F502" s="153">
        <f>331500000*0</f>
        <v>0</v>
      </c>
      <c r="G502" s="153">
        <v>349013500</v>
      </c>
      <c r="H502" s="153"/>
      <c r="J502" s="154">
        <f t="shared" si="195"/>
        <v>0</v>
      </c>
      <c r="K502" s="154">
        <f t="shared" si="195"/>
        <v>21514.825545555417</v>
      </c>
      <c r="L502" s="154">
        <f t="shared" si="195"/>
        <v>0</v>
      </c>
      <c r="N502" s="152" t="s">
        <v>318</v>
      </c>
      <c r="O502" s="155">
        <v>43799</v>
      </c>
      <c r="P502" s="155">
        <v>43514</v>
      </c>
      <c r="Q502" s="156">
        <f t="shared" si="188"/>
        <v>43497</v>
      </c>
      <c r="R502" s="155"/>
      <c r="S502" s="156" t="str">
        <f t="shared" si="189"/>
        <v/>
      </c>
      <c r="T502" s="140" t="str">
        <f t="shared" ca="1" si="182"/>
        <v/>
      </c>
      <c r="U502" s="139" t="str">
        <f t="shared" si="179"/>
        <v/>
      </c>
      <c r="V502" s="139" t="str">
        <f t="shared" si="180"/>
        <v/>
      </c>
      <c r="W502" s="139" t="str">
        <f t="shared" si="181"/>
        <v/>
      </c>
      <c r="X502" s="327"/>
    </row>
    <row r="503" spans="1:24" ht="18.75" x14ac:dyDescent="0.25">
      <c r="A503" s="151">
        <v>2</v>
      </c>
      <c r="B503" s="106" t="str">
        <f>'Funding 2019'!$K$78</f>
        <v>CGMMENG19001</v>
      </c>
      <c r="C503" s="151" t="s">
        <v>673</v>
      </c>
      <c r="D503" s="151"/>
      <c r="E503" s="152" t="s">
        <v>811</v>
      </c>
      <c r="F503" s="153"/>
      <c r="G503" s="153"/>
      <c r="H503" s="153"/>
      <c r="J503" s="154">
        <f t="shared" si="195"/>
        <v>0</v>
      </c>
      <c r="K503" s="154">
        <f t="shared" si="195"/>
        <v>0</v>
      </c>
      <c r="L503" s="154">
        <f t="shared" si="195"/>
        <v>0</v>
      </c>
      <c r="N503" s="152"/>
      <c r="O503" s="155"/>
      <c r="P503" s="155"/>
      <c r="Q503" s="156" t="str">
        <f t="shared" si="188"/>
        <v/>
      </c>
      <c r="R503" s="155"/>
      <c r="S503" s="156" t="str">
        <f t="shared" si="189"/>
        <v/>
      </c>
      <c r="T503" s="140" t="str">
        <f t="shared" ca="1" si="182"/>
        <v/>
      </c>
      <c r="U503" s="139" t="str">
        <f t="shared" si="179"/>
        <v/>
      </c>
      <c r="V503" s="139" t="str">
        <f t="shared" si="180"/>
        <v/>
      </c>
      <c r="W503" s="139" t="str">
        <f t="shared" si="181"/>
        <v/>
      </c>
      <c r="X503" s="327"/>
    </row>
    <row r="504" spans="1:24" ht="18.75" x14ac:dyDescent="0.25">
      <c r="A504" s="151">
        <v>3</v>
      </c>
      <c r="B504" s="106" t="str">
        <f>'Funding 2019'!$K$78</f>
        <v>CGMMENG19001</v>
      </c>
      <c r="C504" s="151" t="s">
        <v>673</v>
      </c>
      <c r="D504" s="151"/>
      <c r="E504" s="152" t="s">
        <v>707</v>
      </c>
      <c r="F504" s="153"/>
      <c r="G504" s="153"/>
      <c r="H504" s="153"/>
      <c r="J504" s="154">
        <f t="shared" si="195"/>
        <v>0</v>
      </c>
      <c r="K504" s="154">
        <f t="shared" si="195"/>
        <v>0</v>
      </c>
      <c r="L504" s="154">
        <f t="shared" si="195"/>
        <v>0</v>
      </c>
      <c r="N504" s="152"/>
      <c r="O504" s="155"/>
      <c r="P504" s="155"/>
      <c r="Q504" s="156" t="str">
        <f t="shared" si="188"/>
        <v/>
      </c>
      <c r="R504" s="155"/>
      <c r="S504" s="156" t="str">
        <f t="shared" si="189"/>
        <v/>
      </c>
      <c r="T504" s="140" t="str">
        <f t="shared" ca="1" si="182"/>
        <v/>
      </c>
      <c r="U504" s="139" t="str">
        <f t="shared" si="179"/>
        <v/>
      </c>
      <c r="V504" s="139" t="str">
        <f t="shared" si="180"/>
        <v/>
      </c>
      <c r="W504" s="139" t="str">
        <f t="shared" si="181"/>
        <v/>
      </c>
      <c r="X504" s="327"/>
    </row>
    <row r="505" spans="1:24" ht="18.75" x14ac:dyDescent="0.25">
      <c r="A505" s="151">
        <v>4</v>
      </c>
      <c r="B505" s="106" t="str">
        <f>'Funding 2019'!$K$78</f>
        <v>CGMMENG19001</v>
      </c>
      <c r="C505" s="151" t="s">
        <v>673</v>
      </c>
      <c r="D505" s="151"/>
      <c r="E505" s="152" t="s">
        <v>708</v>
      </c>
      <c r="F505" s="153"/>
      <c r="G505" s="153"/>
      <c r="H505" s="153"/>
      <c r="J505" s="154">
        <f t="shared" si="195"/>
        <v>0</v>
      </c>
      <c r="K505" s="154">
        <f t="shared" si="195"/>
        <v>0</v>
      </c>
      <c r="L505" s="154">
        <f t="shared" si="195"/>
        <v>0</v>
      </c>
      <c r="N505" s="152"/>
      <c r="O505" s="155"/>
      <c r="P505" s="155"/>
      <c r="Q505" s="156" t="str">
        <f t="shared" si="188"/>
        <v/>
      </c>
      <c r="R505" s="155"/>
      <c r="S505" s="156" t="str">
        <f t="shared" si="189"/>
        <v/>
      </c>
      <c r="T505" s="140" t="str">
        <f t="shared" ca="1" si="182"/>
        <v/>
      </c>
      <c r="U505" s="139" t="str">
        <f t="shared" si="179"/>
        <v/>
      </c>
      <c r="V505" s="139" t="str">
        <f t="shared" si="180"/>
        <v/>
      </c>
      <c r="W505" s="139" t="str">
        <f t="shared" si="181"/>
        <v/>
      </c>
      <c r="X505" s="327"/>
    </row>
    <row r="506" spans="1:24" ht="18.75" x14ac:dyDescent="0.25">
      <c r="A506" s="151">
        <v>5</v>
      </c>
      <c r="B506" s="106" t="str">
        <f>'Funding 2019'!$K$78</f>
        <v>CGMMENG19001</v>
      </c>
      <c r="C506" s="151" t="s">
        <v>673</v>
      </c>
      <c r="D506" s="151"/>
      <c r="E506" s="152"/>
      <c r="F506" s="153"/>
      <c r="G506" s="153"/>
      <c r="H506" s="153"/>
      <c r="J506" s="154">
        <f t="shared" si="195"/>
        <v>0</v>
      </c>
      <c r="K506" s="154">
        <f t="shared" si="195"/>
        <v>0</v>
      </c>
      <c r="L506" s="154">
        <f t="shared" si="195"/>
        <v>0</v>
      </c>
      <c r="N506" s="152"/>
      <c r="O506" s="155"/>
      <c r="P506" s="155"/>
      <c r="Q506" s="156" t="str">
        <f t="shared" si="188"/>
        <v/>
      </c>
      <c r="R506" s="155"/>
      <c r="S506" s="156" t="str">
        <f t="shared" si="189"/>
        <v/>
      </c>
      <c r="T506" s="140" t="str">
        <f t="shared" ca="1" si="182"/>
        <v/>
      </c>
      <c r="U506" s="139" t="str">
        <f t="shared" si="179"/>
        <v/>
      </c>
      <c r="V506" s="139" t="str">
        <f t="shared" si="180"/>
        <v/>
      </c>
      <c r="W506" s="139" t="str">
        <f t="shared" si="181"/>
        <v/>
      </c>
      <c r="X506" s="327"/>
    </row>
    <row r="507" spans="1:24" ht="18.75" x14ac:dyDescent="0.25">
      <c r="A507" s="151">
        <v>6</v>
      </c>
      <c r="B507" s="106" t="str">
        <f>'Funding 2019'!$K$78</f>
        <v>CGMMENG19001</v>
      </c>
      <c r="C507" s="151"/>
      <c r="D507" s="151"/>
      <c r="E507" s="152"/>
      <c r="F507" s="153"/>
      <c r="G507" s="153"/>
      <c r="H507" s="153"/>
      <c r="J507" s="154">
        <f t="shared" si="195"/>
        <v>0</v>
      </c>
      <c r="K507" s="154">
        <f t="shared" si="195"/>
        <v>0</v>
      </c>
      <c r="L507" s="154">
        <f t="shared" si="195"/>
        <v>0</v>
      </c>
      <c r="N507" s="152"/>
      <c r="O507" s="155"/>
      <c r="P507" s="155"/>
      <c r="Q507" s="156" t="str">
        <f t="shared" si="188"/>
        <v/>
      </c>
      <c r="R507" s="155"/>
      <c r="S507" s="156" t="str">
        <f t="shared" si="189"/>
        <v/>
      </c>
      <c r="T507" s="140" t="str">
        <f t="shared" ca="1" si="182"/>
        <v/>
      </c>
      <c r="U507" s="139" t="str">
        <f t="shared" si="179"/>
        <v/>
      </c>
      <c r="V507" s="139" t="str">
        <f t="shared" si="180"/>
        <v/>
      </c>
      <c r="W507" s="139" t="str">
        <f t="shared" si="181"/>
        <v/>
      </c>
      <c r="X507" s="327"/>
    </row>
    <row r="508" spans="1:24" ht="18.75" x14ac:dyDescent="0.25">
      <c r="A508" s="157"/>
      <c r="B508" s="158"/>
      <c r="C508" s="157"/>
      <c r="D508" s="157"/>
      <c r="E508" s="159"/>
      <c r="F508" s="160">
        <f>SUM(F501:F507)</f>
        <v>0</v>
      </c>
      <c r="G508" s="160">
        <f>SUM(G501:G507)</f>
        <v>349013500</v>
      </c>
      <c r="H508" s="160">
        <f>SUM(H501:H507)</f>
        <v>0</v>
      </c>
      <c r="J508" s="161">
        <f t="shared" si="195"/>
        <v>0</v>
      </c>
      <c r="K508" s="161">
        <f t="shared" si="195"/>
        <v>21514.825545555417</v>
      </c>
      <c r="L508" s="161">
        <f t="shared" si="195"/>
        <v>0</v>
      </c>
      <c r="N508" s="159"/>
      <c r="O508" s="162"/>
      <c r="P508" s="162"/>
      <c r="Q508" s="156" t="str">
        <f t="shared" si="188"/>
        <v/>
      </c>
      <c r="R508" s="162"/>
      <c r="S508" s="156" t="str">
        <f t="shared" si="189"/>
        <v/>
      </c>
      <c r="T508" s="140" t="str">
        <f t="shared" ca="1" si="182"/>
        <v/>
      </c>
      <c r="U508" s="139" t="str">
        <f t="shared" si="179"/>
        <v/>
      </c>
      <c r="V508" s="139" t="str">
        <f t="shared" si="180"/>
        <v/>
      </c>
      <c r="W508" s="139" t="str">
        <f t="shared" si="181"/>
        <v/>
      </c>
      <c r="X508" s="327"/>
    </row>
    <row r="509" spans="1:24" ht="18.75" x14ac:dyDescent="0.25">
      <c r="Q509" s="156" t="str">
        <f t="shared" si="188"/>
        <v/>
      </c>
      <c r="S509" s="156" t="str">
        <f t="shared" si="189"/>
        <v/>
      </c>
      <c r="T509" s="140" t="str">
        <f t="shared" ca="1" si="182"/>
        <v/>
      </c>
      <c r="U509" s="139" t="str">
        <f t="shared" si="179"/>
        <v/>
      </c>
      <c r="V509" s="139" t="str">
        <f t="shared" si="180"/>
        <v/>
      </c>
      <c r="W509" s="139" t="str">
        <f t="shared" si="181"/>
        <v/>
      </c>
      <c r="X509" s="327"/>
    </row>
    <row r="510" spans="1:24" ht="18.75" x14ac:dyDescent="0.25">
      <c r="A510" s="163" t="str">
        <f>'Funding 2019'!L81</f>
        <v xml:space="preserve">PC - Engineering </v>
      </c>
      <c r="B510" s="113" t="str">
        <f>'Funding 2019'!L79</f>
        <v>Best Practice &amp; MPS Activities</v>
      </c>
      <c r="C510" s="147"/>
      <c r="D510" s="147"/>
      <c r="E510" s="148"/>
      <c r="F510" s="148"/>
      <c r="G510" s="148"/>
      <c r="H510" s="148"/>
      <c r="J510" s="149">
        <f t="shared" ref="J510:L511" si="196">F510/$J$2</f>
        <v>0</v>
      </c>
      <c r="K510" s="149">
        <f t="shared" si="196"/>
        <v>0</v>
      </c>
      <c r="L510" s="149">
        <f t="shared" si="196"/>
        <v>0</v>
      </c>
      <c r="N510" s="148"/>
      <c r="O510" s="150"/>
      <c r="P510" s="150"/>
      <c r="Q510" s="156" t="str">
        <f t="shared" si="188"/>
        <v/>
      </c>
      <c r="R510" s="150"/>
      <c r="S510" s="156" t="str">
        <f t="shared" si="189"/>
        <v/>
      </c>
      <c r="T510" s="140" t="str">
        <f t="shared" ca="1" si="182"/>
        <v/>
      </c>
      <c r="U510" s="139" t="str">
        <f t="shared" si="179"/>
        <v/>
      </c>
      <c r="V510" s="139" t="str">
        <f t="shared" si="180"/>
        <v/>
      </c>
      <c r="W510" s="139" t="str">
        <f t="shared" si="181"/>
        <v/>
      </c>
      <c r="X510" s="327"/>
    </row>
    <row r="511" spans="1:24" ht="18.75" x14ac:dyDescent="0.25">
      <c r="A511" s="151">
        <v>1</v>
      </c>
      <c r="B511" s="106" t="str">
        <f>'Funding 2019'!$K$79</f>
        <v>CGMMENG19002</v>
      </c>
      <c r="C511" s="151">
        <v>2100011576</v>
      </c>
      <c r="D511" s="151">
        <v>4500134598</v>
      </c>
      <c r="E511" s="152" t="s">
        <v>335</v>
      </c>
      <c r="F511" s="153">
        <f>49680000*0</f>
        <v>0</v>
      </c>
      <c r="G511" s="166">
        <f>44712000*0</f>
        <v>0</v>
      </c>
      <c r="H511" s="287">
        <v>44712000</v>
      </c>
      <c r="J511" s="154">
        <f t="shared" si="196"/>
        <v>0</v>
      </c>
      <c r="K511" s="154">
        <f t="shared" si="196"/>
        <v>0</v>
      </c>
      <c r="L511" s="154">
        <f t="shared" si="196"/>
        <v>2756.2569350265071</v>
      </c>
      <c r="N511" s="152" t="s">
        <v>182</v>
      </c>
      <c r="O511" s="155">
        <v>43539</v>
      </c>
      <c r="P511" s="155">
        <v>43517</v>
      </c>
      <c r="Q511" s="156">
        <f t="shared" si="188"/>
        <v>43497</v>
      </c>
      <c r="R511" s="155">
        <v>43525</v>
      </c>
      <c r="S511" s="156">
        <f t="shared" si="189"/>
        <v>43525</v>
      </c>
      <c r="T511" s="140" t="str">
        <f t="shared" ca="1" si="182"/>
        <v/>
      </c>
      <c r="U511" s="139" t="str">
        <f t="shared" si="179"/>
        <v/>
      </c>
      <c r="V511" s="139" t="str">
        <f t="shared" si="180"/>
        <v/>
      </c>
      <c r="W511" s="139" t="str">
        <f t="shared" si="181"/>
        <v/>
      </c>
      <c r="X511" s="327"/>
    </row>
    <row r="512" spans="1:24" ht="18.75" x14ac:dyDescent="0.25">
      <c r="A512" s="151">
        <v>2</v>
      </c>
      <c r="B512" s="106" t="str">
        <f>'Funding 2019'!$K$79</f>
        <v>CGMMENG19002</v>
      </c>
      <c r="C512" s="151">
        <v>2100011631</v>
      </c>
      <c r="D512" s="151">
        <v>4500134769</v>
      </c>
      <c r="E512" s="152" t="s">
        <v>399</v>
      </c>
      <c r="F512" s="153">
        <f>45230000*0</f>
        <v>0</v>
      </c>
      <c r="G512" s="166">
        <f>43174000*0</f>
        <v>0</v>
      </c>
      <c r="H512" s="287">
        <v>43174000</v>
      </c>
      <c r="J512" s="154">
        <f t="shared" ref="J512:J520" si="197">F512/$J$2</f>
        <v>0</v>
      </c>
      <c r="K512" s="154">
        <f t="shared" ref="K512:K520" si="198">G512/$J$2</f>
        <v>0</v>
      </c>
      <c r="L512" s="154">
        <f t="shared" ref="L512:L520" si="199">H512/$J$2</f>
        <v>2661.4474170879053</v>
      </c>
      <c r="N512" s="152" t="s">
        <v>182</v>
      </c>
      <c r="O512" s="155">
        <v>43600</v>
      </c>
      <c r="P512" s="155">
        <v>43577</v>
      </c>
      <c r="Q512" s="156">
        <f t="shared" si="188"/>
        <v>43556</v>
      </c>
      <c r="R512" s="155">
        <v>43665</v>
      </c>
      <c r="S512" s="156">
        <f t="shared" si="189"/>
        <v>43647</v>
      </c>
      <c r="T512" s="140" t="str">
        <f t="shared" ca="1" si="182"/>
        <v/>
      </c>
      <c r="U512" s="139" t="str">
        <f t="shared" si="179"/>
        <v/>
      </c>
      <c r="V512" s="139" t="str">
        <f t="shared" si="180"/>
        <v/>
      </c>
      <c r="W512" s="139" t="str">
        <f t="shared" si="181"/>
        <v/>
      </c>
      <c r="X512" s="327"/>
    </row>
    <row r="513" spans="1:24" ht="18.75" x14ac:dyDescent="0.25">
      <c r="A513" s="151">
        <v>3</v>
      </c>
      <c r="B513" s="106" t="str">
        <f>'Funding 2019'!$K$79</f>
        <v>CGMMENG19002</v>
      </c>
      <c r="C513" s="151">
        <v>2100011652</v>
      </c>
      <c r="D513" s="151">
        <v>4500134881</v>
      </c>
      <c r="E513" s="152" t="s">
        <v>445</v>
      </c>
      <c r="F513" s="153">
        <f>140750000*0</f>
        <v>0</v>
      </c>
      <c r="G513" s="287">
        <f>131999998*0</f>
        <v>0</v>
      </c>
      <c r="H513" s="287">
        <v>129859090</v>
      </c>
      <c r="J513" s="154">
        <f t="shared" si="197"/>
        <v>0</v>
      </c>
      <c r="K513" s="154">
        <f t="shared" si="198"/>
        <v>0</v>
      </c>
      <c r="L513" s="154">
        <f t="shared" si="199"/>
        <v>8005.1220564665273</v>
      </c>
      <c r="N513" s="152" t="s">
        <v>182</v>
      </c>
      <c r="O513" s="155">
        <v>43713</v>
      </c>
      <c r="P513" s="155">
        <v>43591</v>
      </c>
      <c r="Q513" s="156">
        <f t="shared" si="188"/>
        <v>43586</v>
      </c>
      <c r="R513" s="155">
        <v>43727</v>
      </c>
      <c r="S513" s="156">
        <f t="shared" si="189"/>
        <v>43709</v>
      </c>
      <c r="T513" s="140" t="str">
        <f t="shared" ca="1" si="182"/>
        <v/>
      </c>
      <c r="U513" s="139" t="str">
        <f t="shared" si="179"/>
        <v/>
      </c>
      <c r="V513" s="139" t="str">
        <f t="shared" si="180"/>
        <v/>
      </c>
      <c r="W513" s="139" t="str">
        <f t="shared" si="181"/>
        <v/>
      </c>
      <c r="X513" s="327"/>
    </row>
    <row r="514" spans="1:24" ht="18.75" x14ac:dyDescent="0.25">
      <c r="A514" s="151">
        <v>4</v>
      </c>
      <c r="B514" s="106" t="str">
        <f>'Funding 2019'!$K$79</f>
        <v>CGMMENG19002</v>
      </c>
      <c r="C514" s="151">
        <v>2100011654</v>
      </c>
      <c r="D514" s="151">
        <v>4500134857</v>
      </c>
      <c r="E514" s="152" t="s">
        <v>446</v>
      </c>
      <c r="F514" s="153">
        <f>99920000*0</f>
        <v>0</v>
      </c>
      <c r="G514" s="166">
        <f>94920000*0</f>
        <v>0</v>
      </c>
      <c r="H514" s="166">
        <v>94920000</v>
      </c>
      <c r="J514" s="154">
        <f t="shared" si="197"/>
        <v>0</v>
      </c>
      <c r="K514" s="154">
        <f t="shared" si="198"/>
        <v>0</v>
      </c>
      <c r="L514" s="154">
        <f t="shared" si="199"/>
        <v>5851.3130316853658</v>
      </c>
      <c r="N514" s="152" t="s">
        <v>182</v>
      </c>
      <c r="O514" s="155">
        <v>43621</v>
      </c>
      <c r="P514" s="155">
        <v>43593</v>
      </c>
      <c r="Q514" s="156">
        <f t="shared" si="188"/>
        <v>43586</v>
      </c>
      <c r="R514" s="155">
        <v>43647</v>
      </c>
      <c r="S514" s="156">
        <f t="shared" si="189"/>
        <v>43647</v>
      </c>
      <c r="T514" s="140" t="str">
        <f t="shared" ca="1" si="182"/>
        <v/>
      </c>
      <c r="U514" s="139" t="str">
        <f t="shared" si="179"/>
        <v/>
      </c>
      <c r="V514" s="139" t="str">
        <f t="shared" si="180"/>
        <v/>
      </c>
      <c r="W514" s="139" t="str">
        <f t="shared" si="181"/>
        <v/>
      </c>
      <c r="X514" s="327"/>
    </row>
    <row r="515" spans="1:24" ht="18.75" x14ac:dyDescent="0.25">
      <c r="A515" s="151">
        <v>5</v>
      </c>
      <c r="B515" s="106" t="str">
        <f>'Funding 2019'!$K$79</f>
        <v>CGMMENG19002</v>
      </c>
      <c r="C515" s="151">
        <v>2100011663</v>
      </c>
      <c r="D515" s="151">
        <v>4500134899</v>
      </c>
      <c r="E515" s="152" t="s">
        <v>469</v>
      </c>
      <c r="F515" s="153"/>
      <c r="G515" s="166">
        <f>24605000*0</f>
        <v>0</v>
      </c>
      <c r="H515" s="287">
        <f>24605000-24605000</f>
        <v>0</v>
      </c>
      <c r="J515" s="154">
        <f t="shared" si="197"/>
        <v>0</v>
      </c>
      <c r="K515" s="154">
        <f t="shared" si="198"/>
        <v>0</v>
      </c>
      <c r="L515" s="154">
        <f t="shared" si="199"/>
        <v>0</v>
      </c>
      <c r="N515" s="152" t="s">
        <v>182</v>
      </c>
      <c r="O515" s="155">
        <v>43636</v>
      </c>
      <c r="P515" s="155">
        <v>43608</v>
      </c>
      <c r="Q515" s="156">
        <f t="shared" si="188"/>
        <v>43586</v>
      </c>
      <c r="R515" s="155">
        <v>43647</v>
      </c>
      <c r="S515" s="156">
        <f t="shared" si="189"/>
        <v>43647</v>
      </c>
      <c r="T515" s="140" t="str">
        <f t="shared" ca="1" si="182"/>
        <v/>
      </c>
      <c r="U515" s="139" t="str">
        <f t="shared" si="179"/>
        <v/>
      </c>
      <c r="V515" s="139" t="str">
        <f t="shared" si="180"/>
        <v/>
      </c>
      <c r="W515" s="139" t="str">
        <f t="shared" si="181"/>
        <v/>
      </c>
      <c r="X515" s="327"/>
    </row>
    <row r="516" spans="1:24" ht="18.75" x14ac:dyDescent="0.25">
      <c r="A516" s="151">
        <v>6</v>
      </c>
      <c r="B516" s="106" t="str">
        <f>'Funding 2019'!$K$79</f>
        <v>CGMMENG19002</v>
      </c>
      <c r="C516" s="151">
        <v>2100011715</v>
      </c>
      <c r="D516" s="151">
        <v>4500135200</v>
      </c>
      <c r="E516" s="152" t="s">
        <v>576</v>
      </c>
      <c r="F516" s="153">
        <f>100591450*0</f>
        <v>0</v>
      </c>
      <c r="G516" s="287">
        <f>100591450*0</f>
        <v>0</v>
      </c>
      <c r="H516" s="287">
        <f>100591450-100591450-94920000</f>
        <v>-94920000</v>
      </c>
      <c r="J516" s="154">
        <f t="shared" si="197"/>
        <v>0</v>
      </c>
      <c r="K516" s="154">
        <f t="shared" si="198"/>
        <v>0</v>
      </c>
      <c r="L516" s="154">
        <f t="shared" si="199"/>
        <v>-5851.3130316853658</v>
      </c>
      <c r="N516" s="152" t="s">
        <v>182</v>
      </c>
      <c r="O516" s="155">
        <v>43713</v>
      </c>
      <c r="P516" s="155">
        <v>43658</v>
      </c>
      <c r="Q516" s="156">
        <f t="shared" si="188"/>
        <v>43647</v>
      </c>
      <c r="R516" s="155">
        <v>43717</v>
      </c>
      <c r="S516" s="156">
        <f t="shared" si="189"/>
        <v>43709</v>
      </c>
      <c r="T516" s="140" t="str">
        <f t="shared" ca="1" si="182"/>
        <v/>
      </c>
      <c r="U516" s="139" t="str">
        <f t="shared" si="179"/>
        <v/>
      </c>
      <c r="V516" s="139" t="str">
        <f t="shared" si="180"/>
        <v/>
      </c>
      <c r="W516" s="139" t="str">
        <f t="shared" si="181"/>
        <v/>
      </c>
      <c r="X516" s="327"/>
    </row>
    <row r="517" spans="1:24" ht="18.75" x14ac:dyDescent="0.25">
      <c r="A517" s="151">
        <v>7</v>
      </c>
      <c r="B517" s="106" t="str">
        <f>'Funding 2019'!$K$79</f>
        <v>CGMMENG19002</v>
      </c>
      <c r="C517" s="151">
        <v>2100011749</v>
      </c>
      <c r="D517" s="151">
        <v>4500135177</v>
      </c>
      <c r="E517" s="152" t="s">
        <v>625</v>
      </c>
      <c r="F517" s="153">
        <f>322662600*0</f>
        <v>0</v>
      </c>
      <c r="G517" s="287"/>
      <c r="H517" s="287">
        <v>281841156</v>
      </c>
      <c r="J517" s="154">
        <f t="shared" si="197"/>
        <v>0</v>
      </c>
      <c r="K517" s="154">
        <f t="shared" si="198"/>
        <v>0</v>
      </c>
      <c r="L517" s="154">
        <f t="shared" si="199"/>
        <v>17374.007890519049</v>
      </c>
      <c r="N517" s="152" t="s">
        <v>182</v>
      </c>
      <c r="O517" s="155">
        <v>43739</v>
      </c>
      <c r="P517" s="155">
        <v>43672</v>
      </c>
      <c r="Q517" s="156">
        <f t="shared" si="188"/>
        <v>43647</v>
      </c>
      <c r="R517" s="155">
        <v>43706</v>
      </c>
      <c r="S517" s="156">
        <f t="shared" si="189"/>
        <v>43678</v>
      </c>
      <c r="T517" s="140" t="str">
        <f t="shared" ca="1" si="182"/>
        <v/>
      </c>
      <c r="U517" s="139" t="str">
        <f t="shared" si="179"/>
        <v/>
      </c>
      <c r="V517" s="139" t="str">
        <f t="shared" si="180"/>
        <v/>
      </c>
      <c r="W517" s="139" t="str">
        <f t="shared" si="181"/>
        <v/>
      </c>
      <c r="X517" s="327"/>
    </row>
    <row r="518" spans="1:24" ht="18.75" x14ac:dyDescent="0.25">
      <c r="A518" s="151">
        <v>8</v>
      </c>
      <c r="B518" s="106" t="str">
        <f>'Funding 2019'!$K$79</f>
        <v>CGMMENG19002</v>
      </c>
      <c r="C518" s="151"/>
      <c r="D518" s="151"/>
      <c r="E518" s="152"/>
      <c r="F518" s="153"/>
      <c r="G518" s="153"/>
      <c r="H518" s="153"/>
      <c r="J518" s="154">
        <f t="shared" si="197"/>
        <v>0</v>
      </c>
      <c r="K518" s="154">
        <f t="shared" si="198"/>
        <v>0</v>
      </c>
      <c r="L518" s="154">
        <f t="shared" si="199"/>
        <v>0</v>
      </c>
      <c r="N518" s="152"/>
      <c r="O518" s="155"/>
      <c r="P518" s="155"/>
      <c r="Q518" s="156" t="str">
        <f t="shared" si="188"/>
        <v/>
      </c>
      <c r="R518" s="155"/>
      <c r="S518" s="156" t="str">
        <f t="shared" si="189"/>
        <v/>
      </c>
      <c r="T518" s="140" t="str">
        <f t="shared" ca="1" si="182"/>
        <v/>
      </c>
      <c r="U518" s="139" t="str">
        <f t="shared" si="179"/>
        <v/>
      </c>
      <c r="V518" s="139" t="str">
        <f t="shared" si="180"/>
        <v/>
      </c>
      <c r="W518" s="139" t="str">
        <f t="shared" si="181"/>
        <v/>
      </c>
      <c r="X518" s="327"/>
    </row>
    <row r="519" spans="1:24" ht="18.75" x14ac:dyDescent="0.25">
      <c r="A519" s="151">
        <v>9</v>
      </c>
      <c r="B519" s="106" t="str">
        <f>'Funding 2019'!$K$79</f>
        <v>CGMMENG19002</v>
      </c>
      <c r="C519" s="151"/>
      <c r="D519" s="151"/>
      <c r="E519" s="152"/>
      <c r="F519" s="153"/>
      <c r="G519" s="153"/>
      <c r="H519" s="153"/>
      <c r="J519" s="154">
        <f t="shared" si="197"/>
        <v>0</v>
      </c>
      <c r="K519" s="154">
        <f t="shared" si="198"/>
        <v>0</v>
      </c>
      <c r="L519" s="154">
        <f t="shared" si="199"/>
        <v>0</v>
      </c>
      <c r="N519" s="152"/>
      <c r="O519" s="155"/>
      <c r="P519" s="155"/>
      <c r="Q519" s="156" t="str">
        <f t="shared" si="188"/>
        <v/>
      </c>
      <c r="R519" s="155"/>
      <c r="S519" s="156" t="str">
        <f t="shared" si="189"/>
        <v/>
      </c>
      <c r="T519" s="140" t="str">
        <f t="shared" ca="1" si="182"/>
        <v/>
      </c>
      <c r="U519" s="139" t="str">
        <f t="shared" si="179"/>
        <v/>
      </c>
      <c r="V519" s="139" t="str">
        <f t="shared" si="180"/>
        <v/>
      </c>
      <c r="W519" s="139" t="str">
        <f t="shared" si="181"/>
        <v/>
      </c>
      <c r="X519" s="327"/>
    </row>
    <row r="520" spans="1:24" ht="18.75" x14ac:dyDescent="0.25">
      <c r="A520" s="151">
        <v>10</v>
      </c>
      <c r="B520" s="106" t="str">
        <f>'Funding 2019'!$K$79</f>
        <v>CGMMENG19002</v>
      </c>
      <c r="C520" s="151"/>
      <c r="D520" s="151"/>
      <c r="E520" s="152"/>
      <c r="F520" s="153"/>
      <c r="G520" s="153"/>
      <c r="H520" s="153"/>
      <c r="J520" s="154">
        <f t="shared" si="197"/>
        <v>0</v>
      </c>
      <c r="K520" s="154">
        <f t="shared" si="198"/>
        <v>0</v>
      </c>
      <c r="L520" s="154">
        <f t="shared" si="199"/>
        <v>0</v>
      </c>
      <c r="N520" s="152"/>
      <c r="O520" s="155"/>
      <c r="P520" s="155"/>
      <c r="Q520" s="156" t="str">
        <f t="shared" si="188"/>
        <v/>
      </c>
      <c r="R520" s="155"/>
      <c r="S520" s="156" t="str">
        <f t="shared" si="189"/>
        <v/>
      </c>
      <c r="T520" s="140" t="str">
        <f t="shared" ca="1" si="182"/>
        <v/>
      </c>
      <c r="U520" s="139" t="str">
        <f t="shared" si="179"/>
        <v/>
      </c>
      <c r="V520" s="139" t="str">
        <f t="shared" si="180"/>
        <v/>
      </c>
      <c r="W520" s="139" t="str">
        <f t="shared" si="181"/>
        <v/>
      </c>
      <c r="X520" s="327"/>
    </row>
    <row r="521" spans="1:24" ht="18.75" x14ac:dyDescent="0.25">
      <c r="A521" s="157"/>
      <c r="B521" s="158"/>
      <c r="C521" s="157"/>
      <c r="D521" s="157"/>
      <c r="E521" s="159"/>
      <c r="F521" s="160">
        <f>SUM(F510:F520)</f>
        <v>0</v>
      </c>
      <c r="G521" s="160">
        <f>SUM(G510:G520)</f>
        <v>0</v>
      </c>
      <c r="H521" s="160">
        <f>SUM(H510:H520)</f>
        <v>499586246</v>
      </c>
      <c r="J521" s="161">
        <f>F521/$J$2</f>
        <v>0</v>
      </c>
      <c r="K521" s="161">
        <f>G521/$J$2</f>
        <v>0</v>
      </c>
      <c r="L521" s="161">
        <f>H521/$J$2</f>
        <v>30796.834299099988</v>
      </c>
      <c r="N521" s="159"/>
      <c r="O521" s="162"/>
      <c r="P521" s="162"/>
      <c r="Q521" s="156" t="str">
        <f t="shared" si="188"/>
        <v/>
      </c>
      <c r="R521" s="162"/>
      <c r="S521" s="156" t="str">
        <f t="shared" si="189"/>
        <v/>
      </c>
      <c r="T521" s="140" t="str">
        <f t="shared" ca="1" si="182"/>
        <v/>
      </c>
      <c r="U521" s="139" t="str">
        <f t="shared" ref="U521:U589" si="200">IF(A521="","",IF(AND(J521&gt;0,Q521=""), "RED",""))</f>
        <v/>
      </c>
      <c r="V521" s="139" t="str">
        <f t="shared" ref="V521:V589" si="201">IF(A521="","",IF(AND(K521&gt;0,Q521=""), "BLUE",""))</f>
        <v/>
      </c>
      <c r="W521" s="139" t="str">
        <f t="shared" ref="W521:W589" si="202">IF(A521="","",IF(AND(L521&gt;0,S521=""), "YELLOW",""))</f>
        <v/>
      </c>
      <c r="X521" s="327"/>
    </row>
    <row r="522" spans="1:24" ht="18.75" x14ac:dyDescent="0.25">
      <c r="Q522" s="156" t="str">
        <f t="shared" si="188"/>
        <v/>
      </c>
      <c r="S522" s="156" t="str">
        <f t="shared" si="189"/>
        <v/>
      </c>
      <c r="T522" s="140" t="str">
        <f t="shared" ref="T522:T526" ca="1" si="203">IF(R522="",IF(O522="",IF(P522="","",IF(P522-TODAY()&lt;=0,TODAY()-P522,"")),IF(O522-TODAY()&lt;=0,TODAY()-O522,"")),IF(SUM(F522:G522)&lt;&gt;0,IF(O522="",IF(P522="","",IF(P522-TODAY()&lt;=0,TODAY()-P522,"")),IF(O522-TODAY()&lt;=0,TODAY()-O522,"")),""))</f>
        <v/>
      </c>
      <c r="U522" s="139" t="str">
        <f t="shared" si="200"/>
        <v/>
      </c>
      <c r="V522" s="139" t="str">
        <f t="shared" si="201"/>
        <v/>
      </c>
      <c r="W522" s="139" t="str">
        <f t="shared" si="202"/>
        <v/>
      </c>
      <c r="X522" s="327"/>
    </row>
    <row r="523" spans="1:24" ht="18.75" x14ac:dyDescent="0.25">
      <c r="A523" s="163" t="str">
        <f>'Funding 2019'!L94</f>
        <v>Standard Tools, Equipment Contingency</v>
      </c>
      <c r="B523" s="113" t="str">
        <f>'Funding 2019'!L80</f>
        <v>Road concrete ramp on factory entrance gate</v>
      </c>
      <c r="C523" s="147"/>
      <c r="D523" s="147"/>
      <c r="E523" s="148"/>
      <c r="F523" s="148"/>
      <c r="G523" s="148"/>
      <c r="H523" s="148"/>
      <c r="J523" s="149">
        <f t="shared" ref="J523:J524" si="204">F523/$J$2</f>
        <v>0</v>
      </c>
      <c r="K523" s="149">
        <f t="shared" ref="K523:K524" si="205">G523/$J$2</f>
        <v>0</v>
      </c>
      <c r="L523" s="149">
        <f t="shared" ref="L523:L524" si="206">H523/$J$2</f>
        <v>0</v>
      </c>
      <c r="N523" s="148"/>
      <c r="O523" s="150"/>
      <c r="P523" s="150"/>
      <c r="Q523" s="156" t="str">
        <f t="shared" si="188"/>
        <v/>
      </c>
      <c r="R523" s="150"/>
      <c r="S523" s="156" t="str">
        <f t="shared" si="189"/>
        <v/>
      </c>
      <c r="T523" s="140" t="str">
        <f t="shared" ca="1" si="203"/>
        <v/>
      </c>
      <c r="U523" s="139" t="str">
        <f t="shared" si="200"/>
        <v/>
      </c>
      <c r="V523" s="139" t="str">
        <f t="shared" si="201"/>
        <v/>
      </c>
      <c r="W523" s="139" t="str">
        <f t="shared" si="202"/>
        <v/>
      </c>
      <c r="X523" s="327"/>
    </row>
    <row r="524" spans="1:24" ht="18.75" x14ac:dyDescent="0.25">
      <c r="A524" s="151">
        <v>1</v>
      </c>
      <c r="B524" s="106" t="str">
        <f>'Funding 2019'!$K$80</f>
        <v>CGMMENG19003</v>
      </c>
      <c r="C524" s="151">
        <v>2100011832</v>
      </c>
      <c r="D524" s="151"/>
      <c r="E524" s="152" t="s">
        <v>932</v>
      </c>
      <c r="F524" s="153">
        <v>810000000</v>
      </c>
      <c r="G524" s="166"/>
      <c r="H524" s="287"/>
      <c r="J524" s="154">
        <f t="shared" si="204"/>
        <v>49932.190851929481</v>
      </c>
      <c r="K524" s="154">
        <f t="shared" si="205"/>
        <v>0</v>
      </c>
      <c r="L524" s="154">
        <f t="shared" si="206"/>
        <v>0</v>
      </c>
      <c r="N524" s="152" t="s">
        <v>177</v>
      </c>
      <c r="O524" s="155">
        <v>43799</v>
      </c>
      <c r="P524" s="155">
        <v>43735</v>
      </c>
      <c r="Q524" s="156">
        <f t="shared" si="188"/>
        <v>43709</v>
      </c>
      <c r="R524" s="155"/>
      <c r="S524" s="156" t="str">
        <f t="shared" si="189"/>
        <v/>
      </c>
      <c r="T524" s="140" t="str">
        <f t="shared" ca="1" si="203"/>
        <v/>
      </c>
      <c r="U524" s="139" t="str">
        <f t="shared" si="200"/>
        <v/>
      </c>
      <c r="V524" s="139" t="str">
        <f t="shared" si="201"/>
        <v/>
      </c>
      <c r="W524" s="139" t="str">
        <f t="shared" si="202"/>
        <v/>
      </c>
      <c r="X524" s="327"/>
    </row>
    <row r="525" spans="1:24" ht="18.75" x14ac:dyDescent="0.25">
      <c r="A525" s="151">
        <v>2</v>
      </c>
      <c r="B525" s="106" t="str">
        <f>'Funding 2019'!$K$80</f>
        <v>CGMMENG19003</v>
      </c>
      <c r="C525" s="151"/>
      <c r="D525" s="151"/>
      <c r="E525" s="152"/>
      <c r="F525" s="153"/>
      <c r="G525" s="166"/>
      <c r="H525" s="287"/>
      <c r="J525" s="154">
        <f t="shared" ref="J525" si="207">F525/$J$2</f>
        <v>0</v>
      </c>
      <c r="K525" s="154">
        <f t="shared" ref="K525" si="208">G525/$J$2</f>
        <v>0</v>
      </c>
      <c r="L525" s="154">
        <f t="shared" ref="L525" si="209">H525/$J$2</f>
        <v>0</v>
      </c>
      <c r="N525" s="152"/>
      <c r="O525" s="155"/>
      <c r="P525" s="155"/>
      <c r="Q525" s="156" t="str">
        <f t="shared" si="188"/>
        <v/>
      </c>
      <c r="R525" s="155"/>
      <c r="S525" s="156" t="str">
        <f t="shared" si="189"/>
        <v/>
      </c>
      <c r="T525" s="140" t="str">
        <f t="shared" ca="1" si="203"/>
        <v/>
      </c>
      <c r="U525" s="139" t="str">
        <f t="shared" si="200"/>
        <v/>
      </c>
      <c r="V525" s="139" t="str">
        <f t="shared" si="201"/>
        <v/>
      </c>
      <c r="W525" s="139" t="str">
        <f t="shared" si="202"/>
        <v/>
      </c>
      <c r="X525" s="327"/>
    </row>
    <row r="526" spans="1:24" ht="18.75" x14ac:dyDescent="0.25">
      <c r="A526" s="157"/>
      <c r="B526" s="158"/>
      <c r="C526" s="157"/>
      <c r="D526" s="157"/>
      <c r="E526" s="159"/>
      <c r="F526" s="160">
        <f>SUM(F523:F525)</f>
        <v>810000000</v>
      </c>
      <c r="G526" s="160">
        <f>SUM(G523:G525)</f>
        <v>0</v>
      </c>
      <c r="H526" s="160">
        <f>SUM(H523:H525)</f>
        <v>0</v>
      </c>
      <c r="J526" s="161">
        <f>F526/$J$2</f>
        <v>49932.190851929481</v>
      </c>
      <c r="K526" s="161">
        <f>G526/$J$2</f>
        <v>0</v>
      </c>
      <c r="L526" s="161">
        <f>H526/$J$2</f>
        <v>0</v>
      </c>
      <c r="N526" s="159"/>
      <c r="O526" s="162"/>
      <c r="P526" s="162"/>
      <c r="Q526" s="156" t="str">
        <f t="shared" si="188"/>
        <v/>
      </c>
      <c r="R526" s="162"/>
      <c r="S526" s="156" t="str">
        <f t="shared" si="189"/>
        <v/>
      </c>
      <c r="T526" s="140" t="str">
        <f t="shared" ca="1" si="203"/>
        <v/>
      </c>
      <c r="U526" s="139" t="str">
        <f t="shared" ref="U526" si="210">IF(A526="","",IF(AND(J526&gt;0,Q526=""), "RED",""))</f>
        <v/>
      </c>
      <c r="V526" s="139" t="str">
        <f t="shared" ref="V526" si="211">IF(A526="","",IF(AND(K526&gt;0,Q526=""), "BLUE",""))</f>
        <v/>
      </c>
      <c r="W526" s="139" t="str">
        <f t="shared" ref="W526" si="212">IF(A526="","",IF(AND(L526&gt;0,S526=""), "YELLOW",""))</f>
        <v/>
      </c>
      <c r="X526" s="327"/>
    </row>
    <row r="527" spans="1:24" ht="18.75" x14ac:dyDescent="0.25">
      <c r="Q527" s="156" t="str">
        <f t="shared" si="188"/>
        <v/>
      </c>
      <c r="S527" s="156" t="str">
        <f t="shared" si="189"/>
        <v/>
      </c>
      <c r="T527" s="140" t="str">
        <f t="shared" ref="T527:T590" ca="1" si="213">IF(R527="",IF(O527="",IF(P527="","",IF(P527-TODAY()&lt;=0,TODAY()-P527,"")),IF(O527-TODAY()&lt;=0,TODAY()-O527,"")),IF(SUM(F527:G527)&lt;&gt;0,IF(O527="",IF(P527="","",IF(P527-TODAY()&lt;=0,TODAY()-P527,"")),IF(O527-TODAY()&lt;=0,TODAY()-O527,"")),""))</f>
        <v/>
      </c>
      <c r="U527" s="139" t="str">
        <f t="shared" si="200"/>
        <v/>
      </c>
      <c r="V527" s="139" t="str">
        <f t="shared" si="201"/>
        <v/>
      </c>
      <c r="W527" s="139" t="str">
        <f t="shared" si="202"/>
        <v/>
      </c>
      <c r="X527" s="327"/>
    </row>
    <row r="528" spans="1:24" ht="18.75" x14ac:dyDescent="0.25">
      <c r="A528" s="163" t="str">
        <f>'Funding 2019'!L119</f>
        <v>One Time Cost Related to Product</v>
      </c>
      <c r="B528" s="113" t="str">
        <f>'Funding 2019'!L101</f>
        <v>W213 - Alteration</v>
      </c>
      <c r="C528" s="147"/>
      <c r="D528" s="147"/>
      <c r="E528" s="148"/>
      <c r="F528" s="148"/>
      <c r="G528" s="148"/>
      <c r="H528" s="148"/>
      <c r="J528" s="149">
        <f t="shared" ref="J528:L535" si="214">F528/$J$2</f>
        <v>0</v>
      </c>
      <c r="K528" s="149">
        <f t="shared" si="214"/>
        <v>0</v>
      </c>
      <c r="L528" s="149">
        <f t="shared" si="214"/>
        <v>0</v>
      </c>
      <c r="N528" s="148"/>
      <c r="O528" s="150"/>
      <c r="P528" s="150"/>
      <c r="Q528" s="156" t="str">
        <f t="shared" si="188"/>
        <v/>
      </c>
      <c r="R528" s="150"/>
      <c r="S528" s="156" t="str">
        <f t="shared" si="189"/>
        <v/>
      </c>
      <c r="T528" s="140" t="str">
        <f t="shared" ca="1" si="213"/>
        <v/>
      </c>
      <c r="U528" s="139" t="str">
        <f t="shared" si="200"/>
        <v/>
      </c>
      <c r="V528" s="139" t="str">
        <f t="shared" si="201"/>
        <v/>
      </c>
      <c r="W528" s="139" t="str">
        <f t="shared" si="202"/>
        <v/>
      </c>
      <c r="X528" s="327"/>
    </row>
    <row r="529" spans="1:25" ht="18.75" x14ac:dyDescent="0.25">
      <c r="A529" s="151">
        <v>1</v>
      </c>
      <c r="B529" s="106" t="str">
        <f>'Funding 2019'!$K$101</f>
        <v>EGMM0019W213</v>
      </c>
      <c r="C529" s="151">
        <v>6100000713</v>
      </c>
      <c r="D529" s="151">
        <v>330119803</v>
      </c>
      <c r="E529" s="152" t="s">
        <v>280</v>
      </c>
      <c r="F529" s="153"/>
      <c r="G529" s="166">
        <f>11478643*0</f>
        <v>0</v>
      </c>
      <c r="H529" s="183">
        <v>17291741</v>
      </c>
      <c r="J529" s="154">
        <f t="shared" si="214"/>
        <v>0</v>
      </c>
      <c r="K529" s="154">
        <f t="shared" si="214"/>
        <v>0</v>
      </c>
      <c r="L529" s="154">
        <f t="shared" si="214"/>
        <v>1065.9438416964615</v>
      </c>
      <c r="N529" s="152" t="s">
        <v>194</v>
      </c>
      <c r="O529" s="155">
        <v>43577</v>
      </c>
      <c r="P529" s="155">
        <v>43483</v>
      </c>
      <c r="Q529" s="156">
        <f t="shared" si="188"/>
        <v>43466</v>
      </c>
      <c r="R529" s="155">
        <v>43586</v>
      </c>
      <c r="S529" s="156">
        <f t="shared" si="189"/>
        <v>43586</v>
      </c>
      <c r="T529" s="140" t="str">
        <f t="shared" ca="1" si="213"/>
        <v/>
      </c>
      <c r="U529" s="139" t="str">
        <f t="shared" si="200"/>
        <v/>
      </c>
      <c r="V529" s="139" t="str">
        <f t="shared" si="201"/>
        <v/>
      </c>
      <c r="W529" s="139" t="str">
        <f t="shared" si="202"/>
        <v/>
      </c>
      <c r="X529" s="327"/>
    </row>
    <row r="530" spans="1:25" ht="18.75" x14ac:dyDescent="0.25">
      <c r="A530" s="151">
        <v>2</v>
      </c>
      <c r="B530" s="106" t="str">
        <f>'Funding 2019'!$K$101</f>
        <v>EGMM0019W213</v>
      </c>
      <c r="C530" s="151">
        <v>2100011694</v>
      </c>
      <c r="D530" s="151">
        <v>4500135017</v>
      </c>
      <c r="E530" s="152" t="s">
        <v>495</v>
      </c>
      <c r="F530" s="153">
        <f>16500000*0</f>
        <v>0</v>
      </c>
      <c r="G530" s="166">
        <f>14850000*0</f>
        <v>0</v>
      </c>
      <c r="H530" s="183">
        <f>14850000+3144390</f>
        <v>17994390</v>
      </c>
      <c r="J530" s="154">
        <f t="shared" si="214"/>
        <v>0</v>
      </c>
      <c r="K530" s="154">
        <f t="shared" si="214"/>
        <v>0</v>
      </c>
      <c r="L530" s="154">
        <f t="shared" si="214"/>
        <v>1109.2584144988286</v>
      </c>
      <c r="N530" s="152" t="s">
        <v>165</v>
      </c>
      <c r="O530" s="155">
        <v>43735</v>
      </c>
      <c r="P530" s="155">
        <v>43643</v>
      </c>
      <c r="Q530" s="156">
        <f t="shared" si="188"/>
        <v>43617</v>
      </c>
      <c r="R530" s="155">
        <v>43686</v>
      </c>
      <c r="S530" s="156">
        <f t="shared" si="189"/>
        <v>43678</v>
      </c>
      <c r="T530" s="140" t="str">
        <f t="shared" ca="1" si="213"/>
        <v/>
      </c>
      <c r="U530" s="139" t="str">
        <f t="shared" si="200"/>
        <v/>
      </c>
      <c r="V530" s="139" t="str">
        <f t="shared" si="201"/>
        <v/>
      </c>
      <c r="W530" s="139" t="str">
        <f t="shared" si="202"/>
        <v/>
      </c>
      <c r="X530" s="327"/>
    </row>
    <row r="531" spans="1:25" ht="18.75" x14ac:dyDescent="0.25">
      <c r="A531" s="151">
        <v>3</v>
      </c>
      <c r="B531" s="106" t="str">
        <f>'Funding 2019'!$K$101</f>
        <v>EGMM0019W213</v>
      </c>
      <c r="C531" s="151">
        <v>6100000778</v>
      </c>
      <c r="D531" s="288" t="s">
        <v>751</v>
      </c>
      <c r="E531" s="152" t="s">
        <v>573</v>
      </c>
      <c r="F531" s="153">
        <f>29409603*0</f>
        <v>0</v>
      </c>
      <c r="G531" s="153">
        <f>24971674*0</f>
        <v>0</v>
      </c>
      <c r="H531" s="183">
        <v>29080794</v>
      </c>
      <c r="J531" s="154">
        <f t="shared" si="214"/>
        <v>0</v>
      </c>
      <c r="K531" s="154">
        <f t="shared" si="214"/>
        <v>0</v>
      </c>
      <c r="L531" s="154">
        <f t="shared" si="214"/>
        <v>1792.6762421403032</v>
      </c>
      <c r="N531" s="152" t="s">
        <v>575</v>
      </c>
      <c r="O531" s="155">
        <v>43726</v>
      </c>
      <c r="P531" s="155">
        <v>43658</v>
      </c>
      <c r="Q531" s="156">
        <f t="shared" si="188"/>
        <v>43647</v>
      </c>
      <c r="R531" s="155">
        <v>43712</v>
      </c>
      <c r="S531" s="156">
        <f t="shared" si="189"/>
        <v>43709</v>
      </c>
      <c r="T531" s="140" t="str">
        <f t="shared" ca="1" si="213"/>
        <v/>
      </c>
      <c r="U531" s="139" t="str">
        <f t="shared" si="200"/>
        <v/>
      </c>
      <c r="V531" s="139" t="str">
        <f t="shared" si="201"/>
        <v/>
      </c>
      <c r="W531" s="139" t="str">
        <f t="shared" si="202"/>
        <v/>
      </c>
      <c r="X531" s="327"/>
    </row>
    <row r="532" spans="1:25" ht="18.75" x14ac:dyDescent="0.25">
      <c r="A532" s="151">
        <v>4</v>
      </c>
      <c r="B532" s="106" t="str">
        <f>'Funding 2019'!$K$101</f>
        <v>EGMM0019W213</v>
      </c>
      <c r="C532" s="151">
        <v>6100000780</v>
      </c>
      <c r="D532" s="288" t="s">
        <v>724</v>
      </c>
      <c r="E532" s="152" t="s">
        <v>615</v>
      </c>
      <c r="F532" s="153">
        <f>18356476*0</f>
        <v>0</v>
      </c>
      <c r="G532" s="153">
        <f>11111110*0</f>
        <v>0</v>
      </c>
      <c r="H532" s="183">
        <v>15593780</v>
      </c>
      <c r="J532" s="154">
        <f t="shared" si="214"/>
        <v>0</v>
      </c>
      <c r="K532" s="154">
        <f t="shared" si="214"/>
        <v>0</v>
      </c>
      <c r="L532" s="154">
        <f t="shared" si="214"/>
        <v>961.27357909012449</v>
      </c>
      <c r="N532" s="152" t="s">
        <v>595</v>
      </c>
      <c r="O532" s="155">
        <v>43729</v>
      </c>
      <c r="P532" s="155">
        <v>43665</v>
      </c>
      <c r="Q532" s="156">
        <f t="shared" si="188"/>
        <v>43647</v>
      </c>
      <c r="R532" s="155">
        <v>43699</v>
      </c>
      <c r="S532" s="156">
        <f t="shared" si="189"/>
        <v>43678</v>
      </c>
      <c r="T532" s="140" t="str">
        <f t="shared" ca="1" si="213"/>
        <v/>
      </c>
      <c r="U532" s="139" t="str">
        <f t="shared" si="200"/>
        <v/>
      </c>
      <c r="V532" s="139" t="str">
        <f t="shared" si="201"/>
        <v/>
      </c>
      <c r="W532" s="139" t="str">
        <f t="shared" si="202"/>
        <v/>
      </c>
      <c r="X532" s="327"/>
    </row>
    <row r="533" spans="1:25" ht="18.75" x14ac:dyDescent="0.25">
      <c r="A533" s="151">
        <v>5</v>
      </c>
      <c r="B533" s="106" t="str">
        <f>'Funding 2019'!$K$101</f>
        <v>EGMM0019W213</v>
      </c>
      <c r="C533" s="151">
        <v>5500011880</v>
      </c>
      <c r="D533" s="151"/>
      <c r="E533" s="152" t="s">
        <v>697</v>
      </c>
      <c r="F533" s="153">
        <v>1107000</v>
      </c>
      <c r="G533" s="153"/>
      <c r="H533" s="153"/>
      <c r="J533" s="154">
        <f t="shared" si="214"/>
        <v>68.240660830970285</v>
      </c>
      <c r="K533" s="154">
        <f t="shared" si="214"/>
        <v>0</v>
      </c>
      <c r="L533" s="154">
        <f t="shared" si="214"/>
        <v>0</v>
      </c>
      <c r="N533" s="152" t="s">
        <v>243</v>
      </c>
      <c r="O533" s="155">
        <v>43769</v>
      </c>
      <c r="P533" s="155">
        <v>43686</v>
      </c>
      <c r="Q533" s="156">
        <f t="shared" si="188"/>
        <v>43678</v>
      </c>
      <c r="R533" s="155"/>
      <c r="S533" s="156" t="str">
        <f t="shared" si="189"/>
        <v/>
      </c>
      <c r="T533" s="140">
        <f t="shared" ca="1" si="213"/>
        <v>4</v>
      </c>
      <c r="U533" s="139" t="str">
        <f t="shared" si="200"/>
        <v/>
      </c>
      <c r="V533" s="139" t="str">
        <f t="shared" si="201"/>
        <v/>
      </c>
      <c r="W533" s="139" t="str">
        <f t="shared" si="202"/>
        <v/>
      </c>
      <c r="X533" s="327"/>
    </row>
    <row r="534" spans="1:25" ht="18.75" x14ac:dyDescent="0.25">
      <c r="A534" s="151">
        <v>6</v>
      </c>
      <c r="B534" s="106" t="str">
        <f>'Funding 2019'!$K$101</f>
        <v>EGMM0019W213</v>
      </c>
      <c r="C534" s="151"/>
      <c r="D534" s="151"/>
      <c r="E534" s="152"/>
      <c r="F534" s="166"/>
      <c r="G534" s="166"/>
      <c r="H534" s="166"/>
      <c r="J534" s="154">
        <f t="shared" si="214"/>
        <v>0</v>
      </c>
      <c r="K534" s="154">
        <f t="shared" si="214"/>
        <v>0</v>
      </c>
      <c r="L534" s="154">
        <f t="shared" si="214"/>
        <v>0</v>
      </c>
      <c r="N534" s="165"/>
      <c r="O534" s="169"/>
      <c r="P534" s="169"/>
      <c r="Q534" s="156" t="str">
        <f t="shared" ref="Q534:Q597" si="215">IF(P534="","",IF(YEAR(P534)&lt;=2018,DATE(2018,12,31),EOMONTH(P534,-1)+1))</f>
        <v/>
      </c>
      <c r="R534" s="169"/>
      <c r="S534" s="156" t="str">
        <f t="shared" ref="S534:S597" si="216">IF(R534="","",IF(YEAR(R534)&lt;=2018,DATE(2018,12,31),EOMONTH(R534,-1)+1))</f>
        <v/>
      </c>
      <c r="T534" s="140" t="str">
        <f t="shared" ca="1" si="213"/>
        <v/>
      </c>
      <c r="U534" s="139" t="str">
        <f t="shared" si="200"/>
        <v/>
      </c>
      <c r="V534" s="139" t="str">
        <f t="shared" si="201"/>
        <v/>
      </c>
      <c r="W534" s="139" t="str">
        <f t="shared" si="202"/>
        <v/>
      </c>
      <c r="X534" s="327"/>
    </row>
    <row r="535" spans="1:25" ht="18.75" x14ac:dyDescent="0.25">
      <c r="A535" s="157"/>
      <c r="B535" s="158"/>
      <c r="C535" s="157"/>
      <c r="D535" s="157"/>
      <c r="E535" s="159"/>
      <c r="F535" s="160">
        <f>SUM(F528:F534)</f>
        <v>1107000</v>
      </c>
      <c r="G535" s="160">
        <f>SUM(G528:G534)</f>
        <v>0</v>
      </c>
      <c r="H535" s="160">
        <f>SUM(H528:H534)</f>
        <v>79960705</v>
      </c>
      <c r="J535" s="161">
        <f t="shared" si="214"/>
        <v>68.240660830970285</v>
      </c>
      <c r="K535" s="161">
        <f t="shared" si="214"/>
        <v>0</v>
      </c>
      <c r="L535" s="161">
        <f t="shared" si="214"/>
        <v>4929.1520774257178</v>
      </c>
      <c r="N535" s="159"/>
      <c r="O535" s="162"/>
      <c r="P535" s="162"/>
      <c r="Q535" s="156" t="str">
        <f t="shared" si="215"/>
        <v/>
      </c>
      <c r="R535" s="162"/>
      <c r="S535" s="156" t="str">
        <f t="shared" si="216"/>
        <v/>
      </c>
      <c r="T535" s="140" t="str">
        <f t="shared" ca="1" si="213"/>
        <v/>
      </c>
      <c r="U535" s="139" t="str">
        <f t="shared" si="200"/>
        <v/>
      </c>
      <c r="V535" s="139" t="str">
        <f t="shared" si="201"/>
        <v/>
      </c>
      <c r="W535" s="139" t="str">
        <f t="shared" si="202"/>
        <v/>
      </c>
      <c r="X535" s="327"/>
    </row>
    <row r="536" spans="1:25" ht="18.75" x14ac:dyDescent="0.25">
      <c r="Q536" s="156" t="str">
        <f t="shared" si="215"/>
        <v/>
      </c>
      <c r="S536" s="156" t="str">
        <f t="shared" si="216"/>
        <v/>
      </c>
      <c r="T536" s="140" t="str">
        <f t="shared" ca="1" si="213"/>
        <v/>
      </c>
      <c r="U536" s="139" t="str">
        <f t="shared" si="200"/>
        <v/>
      </c>
      <c r="V536" s="139" t="str">
        <f t="shared" si="201"/>
        <v/>
      </c>
      <c r="W536" s="139" t="str">
        <f t="shared" si="202"/>
        <v/>
      </c>
      <c r="X536" s="327"/>
    </row>
    <row r="537" spans="1:25" ht="18.75" x14ac:dyDescent="0.25">
      <c r="A537" s="163" t="str">
        <f>'Funding 2019'!L119</f>
        <v>One Time Cost Related to Product</v>
      </c>
      <c r="B537" s="113" t="str">
        <f>'Funding 2019'!L102</f>
        <v>V222 - Alteration</v>
      </c>
      <c r="C537" s="147"/>
      <c r="D537" s="147"/>
      <c r="E537" s="148"/>
      <c r="F537" s="148"/>
      <c r="G537" s="148"/>
      <c r="H537" s="148"/>
      <c r="J537" s="149">
        <f t="shared" ref="J537:J542" si="217">F537/$J$2</f>
        <v>0</v>
      </c>
      <c r="K537" s="149">
        <f t="shared" ref="K537:K542" si="218">G537/$J$2</f>
        <v>0</v>
      </c>
      <c r="L537" s="149">
        <f t="shared" ref="L537:L542" si="219">H537/$J$2</f>
        <v>0</v>
      </c>
      <c r="N537" s="148"/>
      <c r="O537" s="150"/>
      <c r="P537" s="150"/>
      <c r="Q537" s="156" t="str">
        <f t="shared" si="215"/>
        <v/>
      </c>
      <c r="R537" s="150"/>
      <c r="S537" s="156" t="str">
        <f t="shared" si="216"/>
        <v/>
      </c>
      <c r="T537" s="140" t="str">
        <f t="shared" ca="1" si="213"/>
        <v/>
      </c>
      <c r="U537" s="139" t="str">
        <f t="shared" si="200"/>
        <v/>
      </c>
      <c r="V537" s="139" t="str">
        <f t="shared" si="201"/>
        <v/>
      </c>
      <c r="W537" s="139" t="str">
        <f t="shared" si="202"/>
        <v/>
      </c>
      <c r="X537" s="327"/>
    </row>
    <row r="538" spans="1:25" ht="18.75" x14ac:dyDescent="0.25">
      <c r="A538" s="151">
        <v>1</v>
      </c>
      <c r="B538" s="106" t="str">
        <f>'Funding 2019'!$K$102</f>
        <v>EGMM0019V222</v>
      </c>
      <c r="C538" s="151">
        <v>2100011746</v>
      </c>
      <c r="D538" s="151">
        <v>4500135145</v>
      </c>
      <c r="E538" s="152" t="s">
        <v>622</v>
      </c>
      <c r="F538" s="153">
        <f>34898780*0</f>
        <v>0</v>
      </c>
      <c r="G538" s="153"/>
      <c r="H538" s="153">
        <v>33078780</v>
      </c>
      <c r="J538" s="154">
        <f t="shared" si="217"/>
        <v>0</v>
      </c>
      <c r="K538" s="154">
        <f t="shared" si="218"/>
        <v>0</v>
      </c>
      <c r="L538" s="154">
        <f t="shared" si="219"/>
        <v>2039.1308100110959</v>
      </c>
      <c r="N538" s="152" t="s">
        <v>595</v>
      </c>
      <c r="O538" s="155">
        <v>43738</v>
      </c>
      <c r="P538" s="155">
        <v>43671</v>
      </c>
      <c r="Q538" s="156">
        <f t="shared" si="215"/>
        <v>43647</v>
      </c>
      <c r="R538" s="155">
        <v>43676</v>
      </c>
      <c r="S538" s="156">
        <f t="shared" si="216"/>
        <v>43647</v>
      </c>
      <c r="T538" s="140" t="str">
        <f t="shared" ca="1" si="213"/>
        <v/>
      </c>
      <c r="U538" s="139" t="str">
        <f t="shared" si="200"/>
        <v/>
      </c>
      <c r="V538" s="139" t="str">
        <f t="shared" si="201"/>
        <v/>
      </c>
      <c r="W538" s="139" t="str">
        <f t="shared" si="202"/>
        <v/>
      </c>
      <c r="X538" s="327"/>
    </row>
    <row r="539" spans="1:25" ht="18.75" x14ac:dyDescent="0.25">
      <c r="A539" s="151">
        <v>2</v>
      </c>
      <c r="B539" s="106" t="str">
        <f>'Funding 2019'!$K$102</f>
        <v>EGMM0019V222</v>
      </c>
      <c r="C539" s="151">
        <v>2100011691</v>
      </c>
      <c r="D539" s="151">
        <v>4500134998</v>
      </c>
      <c r="E539" s="152" t="s">
        <v>491</v>
      </c>
      <c r="F539" s="153">
        <v>0</v>
      </c>
      <c r="G539" s="153">
        <f>28110000*0</f>
        <v>0</v>
      </c>
      <c r="H539" s="153">
        <v>37610000</v>
      </c>
      <c r="J539" s="154">
        <f t="shared" ref="J539:L541" si="220">F539/$J$2</f>
        <v>0</v>
      </c>
      <c r="K539" s="154">
        <f t="shared" si="220"/>
        <v>0</v>
      </c>
      <c r="L539" s="154">
        <f t="shared" si="220"/>
        <v>2318.4564172111945</v>
      </c>
      <c r="N539" s="152" t="s">
        <v>198</v>
      </c>
      <c r="O539" s="155">
        <v>43677</v>
      </c>
      <c r="P539" s="155">
        <v>43636</v>
      </c>
      <c r="Q539" s="156">
        <f t="shared" si="215"/>
        <v>43617</v>
      </c>
      <c r="R539" s="155">
        <v>43676</v>
      </c>
      <c r="S539" s="156">
        <f t="shared" si="216"/>
        <v>43647</v>
      </c>
      <c r="T539" s="140" t="str">
        <f t="shared" ca="1" si="213"/>
        <v/>
      </c>
      <c r="U539" s="139" t="str">
        <f t="shared" si="200"/>
        <v/>
      </c>
      <c r="V539" s="139" t="str">
        <f t="shared" si="201"/>
        <v/>
      </c>
      <c r="W539" s="139" t="str">
        <f t="shared" si="202"/>
        <v/>
      </c>
      <c r="X539" s="327"/>
    </row>
    <row r="540" spans="1:25" ht="18.75" x14ac:dyDescent="0.25">
      <c r="A540" s="151">
        <v>3</v>
      </c>
      <c r="B540" s="331" t="str">
        <f>'Funding 2019'!$K$102</f>
        <v>EGMM0019V222</v>
      </c>
      <c r="C540" s="283">
        <v>6100000766</v>
      </c>
      <c r="D540" s="283"/>
      <c r="E540" s="284" t="s">
        <v>661</v>
      </c>
      <c r="F540" s="285">
        <v>14362054</v>
      </c>
      <c r="G540" s="285"/>
      <c r="H540" s="285"/>
      <c r="I540" s="329"/>
      <c r="J540" s="330">
        <f t="shared" si="220"/>
        <v>885.34422389347799</v>
      </c>
      <c r="K540" s="330">
        <f t="shared" si="220"/>
        <v>0</v>
      </c>
      <c r="L540" s="330">
        <f t="shared" si="220"/>
        <v>0</v>
      </c>
      <c r="M540" s="329"/>
      <c r="N540" s="284"/>
      <c r="O540" s="318">
        <v>43705</v>
      </c>
      <c r="P540" s="318">
        <v>43614</v>
      </c>
      <c r="Q540" s="156">
        <f t="shared" si="215"/>
        <v>43586</v>
      </c>
      <c r="R540" s="318"/>
      <c r="S540" s="156" t="str">
        <f t="shared" si="216"/>
        <v/>
      </c>
      <c r="T540" s="140">
        <f t="shared" ca="1" si="213"/>
        <v>68</v>
      </c>
      <c r="U540" s="139" t="str">
        <f t="shared" si="200"/>
        <v/>
      </c>
      <c r="V540" s="139" t="str">
        <f t="shared" si="201"/>
        <v/>
      </c>
      <c r="W540" s="139" t="str">
        <f t="shared" si="202"/>
        <v/>
      </c>
      <c r="X540" s="327"/>
      <c r="Y540" s="139" t="s">
        <v>882</v>
      </c>
    </row>
    <row r="541" spans="1:25" ht="18.75" x14ac:dyDescent="0.25">
      <c r="A541" s="151">
        <v>4</v>
      </c>
      <c r="B541" s="106" t="str">
        <f>'Funding 2019'!$K$102</f>
        <v>EGMM0019V222</v>
      </c>
      <c r="C541" s="151">
        <v>5500012002</v>
      </c>
      <c r="D541" s="151"/>
      <c r="E541" s="152" t="s">
        <v>851</v>
      </c>
      <c r="F541" s="153">
        <v>11200000</v>
      </c>
      <c r="G541" s="153"/>
      <c r="H541" s="153"/>
      <c r="J541" s="154">
        <f t="shared" si="220"/>
        <v>690.42041671803725</v>
      </c>
      <c r="K541" s="154">
        <f t="shared" si="220"/>
        <v>0</v>
      </c>
      <c r="L541" s="154">
        <f t="shared" si="220"/>
        <v>0</v>
      </c>
      <c r="N541" s="152" t="s">
        <v>201</v>
      </c>
      <c r="O541" s="155">
        <v>43757</v>
      </c>
      <c r="P541" s="155">
        <v>43725</v>
      </c>
      <c r="Q541" s="156">
        <f t="shared" si="215"/>
        <v>43709</v>
      </c>
      <c r="R541" s="155"/>
      <c r="S541" s="156" t="str">
        <f t="shared" si="216"/>
        <v/>
      </c>
      <c r="T541" s="140">
        <f t="shared" ca="1" si="213"/>
        <v>16</v>
      </c>
      <c r="U541" s="139" t="str">
        <f t="shared" si="200"/>
        <v/>
      </c>
      <c r="V541" s="139" t="str">
        <f t="shared" si="201"/>
        <v/>
      </c>
      <c r="W541" s="139" t="str">
        <f t="shared" si="202"/>
        <v/>
      </c>
      <c r="X541" s="327"/>
    </row>
    <row r="542" spans="1:25" ht="18.75" x14ac:dyDescent="0.25">
      <c r="A542" s="157"/>
      <c r="B542" s="158"/>
      <c r="C542" s="157"/>
      <c r="D542" s="157"/>
      <c r="E542" s="159"/>
      <c r="F542" s="160">
        <f>SUM(F537:F541)</f>
        <v>25562054</v>
      </c>
      <c r="G542" s="160">
        <f>SUM(G537:G541)</f>
        <v>0</v>
      </c>
      <c r="H542" s="160">
        <f>SUM(H537:H541)</f>
        <v>70688780</v>
      </c>
      <c r="J542" s="161">
        <f t="shared" si="217"/>
        <v>1575.7646406115152</v>
      </c>
      <c r="K542" s="161">
        <f t="shared" si="218"/>
        <v>0</v>
      </c>
      <c r="L542" s="161">
        <f t="shared" si="219"/>
        <v>4357.5872272222905</v>
      </c>
      <c r="N542" s="159"/>
      <c r="O542" s="162"/>
      <c r="P542" s="162"/>
      <c r="Q542" s="156" t="str">
        <f t="shared" si="215"/>
        <v/>
      </c>
      <c r="R542" s="162"/>
      <c r="S542" s="156" t="str">
        <f t="shared" si="216"/>
        <v/>
      </c>
      <c r="T542" s="140" t="str">
        <f t="shared" ca="1" si="213"/>
        <v/>
      </c>
      <c r="U542" s="139" t="str">
        <f t="shared" si="200"/>
        <v/>
      </c>
      <c r="V542" s="139" t="str">
        <f t="shared" si="201"/>
        <v/>
      </c>
      <c r="W542" s="139" t="str">
        <f t="shared" si="202"/>
        <v/>
      </c>
      <c r="X542" s="327"/>
    </row>
    <row r="543" spans="1:25" ht="18.75" x14ac:dyDescent="0.25">
      <c r="Q543" s="156" t="str">
        <f t="shared" si="215"/>
        <v/>
      </c>
      <c r="S543" s="156" t="str">
        <f t="shared" si="216"/>
        <v/>
      </c>
      <c r="T543" s="140" t="str">
        <f t="shared" ca="1" si="213"/>
        <v/>
      </c>
      <c r="U543" s="139" t="str">
        <f t="shared" si="200"/>
        <v/>
      </c>
      <c r="V543" s="139" t="str">
        <f t="shared" si="201"/>
        <v/>
      </c>
      <c r="W543" s="139" t="str">
        <f t="shared" si="202"/>
        <v/>
      </c>
      <c r="X543" s="327"/>
    </row>
    <row r="544" spans="1:25" ht="18.75" x14ac:dyDescent="0.25">
      <c r="A544" s="163" t="str">
        <f>'Funding 2019'!L119</f>
        <v>One Time Cost Related to Product</v>
      </c>
      <c r="B544" s="113" t="str">
        <f>'Funding 2019'!L103</f>
        <v>W205 - Alteration</v>
      </c>
      <c r="C544" s="147"/>
      <c r="D544" s="147"/>
      <c r="E544" s="148"/>
      <c r="F544" s="148"/>
      <c r="G544" s="148"/>
      <c r="H544" s="148"/>
      <c r="J544" s="149">
        <f t="shared" ref="J544:L545" si="221">F544/$J$2</f>
        <v>0</v>
      </c>
      <c r="K544" s="149">
        <f t="shared" si="221"/>
        <v>0</v>
      </c>
      <c r="L544" s="149">
        <f t="shared" si="221"/>
        <v>0</v>
      </c>
      <c r="N544" s="148"/>
      <c r="O544" s="150"/>
      <c r="P544" s="150"/>
      <c r="Q544" s="156" t="str">
        <f t="shared" si="215"/>
        <v/>
      </c>
      <c r="R544" s="150"/>
      <c r="S544" s="156" t="str">
        <f t="shared" si="216"/>
        <v/>
      </c>
      <c r="T544" s="140" t="str">
        <f t="shared" ca="1" si="213"/>
        <v/>
      </c>
      <c r="U544" s="139" t="str">
        <f t="shared" si="200"/>
        <v/>
      </c>
      <c r="V544" s="139" t="str">
        <f t="shared" si="201"/>
        <v/>
      </c>
      <c r="W544" s="139" t="str">
        <f t="shared" si="202"/>
        <v/>
      </c>
      <c r="X544" s="327"/>
    </row>
    <row r="545" spans="1:25" ht="18.75" x14ac:dyDescent="0.25">
      <c r="A545" s="151">
        <v>1</v>
      </c>
      <c r="B545" s="106" t="str">
        <f>'Funding 2019'!$K$103</f>
        <v>EGMM0019W205</v>
      </c>
      <c r="C545" s="151">
        <v>5500011429</v>
      </c>
      <c r="D545" s="151"/>
      <c r="E545" s="152" t="s">
        <v>423</v>
      </c>
      <c r="F545" s="166">
        <f>2118000*0</f>
        <v>0</v>
      </c>
      <c r="G545" s="166"/>
      <c r="H545" s="294">
        <f>10956000+9121972</f>
        <v>20077972</v>
      </c>
      <c r="J545" s="154">
        <f t="shared" si="221"/>
        <v>0</v>
      </c>
      <c r="K545" s="154">
        <f t="shared" si="221"/>
        <v>0</v>
      </c>
      <c r="L545" s="154">
        <f t="shared" si="221"/>
        <v>1237.7001602761682</v>
      </c>
      <c r="N545" s="152" t="s">
        <v>194</v>
      </c>
      <c r="O545" s="155">
        <v>43605</v>
      </c>
      <c r="P545" s="155">
        <v>43549</v>
      </c>
      <c r="Q545" s="156">
        <f t="shared" si="215"/>
        <v>43525</v>
      </c>
      <c r="R545" s="155">
        <v>43617</v>
      </c>
      <c r="S545" s="156">
        <f t="shared" si="216"/>
        <v>43617</v>
      </c>
      <c r="T545" s="140" t="str">
        <f t="shared" ca="1" si="213"/>
        <v/>
      </c>
      <c r="U545" s="139" t="str">
        <f t="shared" si="200"/>
        <v/>
      </c>
      <c r="V545" s="139" t="str">
        <f t="shared" si="201"/>
        <v/>
      </c>
      <c r="W545" s="139" t="str">
        <f t="shared" si="202"/>
        <v/>
      </c>
      <c r="X545" s="327"/>
    </row>
    <row r="546" spans="1:25" ht="18.75" x14ac:dyDescent="0.25">
      <c r="A546" s="151">
        <v>2</v>
      </c>
      <c r="B546" s="106" t="str">
        <f>'Funding 2019'!$K$103</f>
        <v>EGMM0019W205</v>
      </c>
      <c r="C546" s="151">
        <v>5500011511</v>
      </c>
      <c r="D546" s="151"/>
      <c r="E546" s="152" t="s">
        <v>424</v>
      </c>
      <c r="F546" s="166">
        <f>8838000*0</f>
        <v>0</v>
      </c>
      <c r="G546" s="166"/>
      <c r="H546" s="153"/>
      <c r="J546" s="154">
        <f t="shared" ref="J546:J559" si="222">F546/$J$2</f>
        <v>0</v>
      </c>
      <c r="K546" s="154">
        <f t="shared" ref="K546:K559" si="223">G546/$J$2</f>
        <v>0</v>
      </c>
      <c r="L546" s="154">
        <f t="shared" ref="L546:L559" si="224">H546/$J$2</f>
        <v>0</v>
      </c>
      <c r="N546" s="152" t="s">
        <v>390</v>
      </c>
      <c r="O546" s="155"/>
      <c r="P546" s="155"/>
      <c r="Q546" s="156" t="str">
        <f t="shared" si="215"/>
        <v/>
      </c>
      <c r="R546" s="155"/>
      <c r="S546" s="156" t="str">
        <f t="shared" si="216"/>
        <v/>
      </c>
      <c r="T546" s="140" t="str">
        <f t="shared" ca="1" si="213"/>
        <v/>
      </c>
      <c r="U546" s="139" t="str">
        <f t="shared" si="200"/>
        <v/>
      </c>
      <c r="V546" s="139" t="str">
        <f t="shared" si="201"/>
        <v/>
      </c>
      <c r="W546" s="139" t="str">
        <f t="shared" si="202"/>
        <v/>
      </c>
      <c r="X546" s="327"/>
    </row>
    <row r="547" spans="1:25" ht="18.75" x14ac:dyDescent="0.25">
      <c r="A547" s="151">
        <v>3</v>
      </c>
      <c r="B547" s="106" t="str">
        <f>'Funding 2019'!$K$103</f>
        <v>EGMM0019W205</v>
      </c>
      <c r="C547" s="151">
        <v>6100000752</v>
      </c>
      <c r="D547" s="151" t="s">
        <v>425</v>
      </c>
      <c r="E547" s="152" t="s">
        <v>426</v>
      </c>
      <c r="F547" s="166"/>
      <c r="G547" s="166">
        <f>2418624*0</f>
        <v>0</v>
      </c>
      <c r="H547" s="294">
        <v>6386472</v>
      </c>
      <c r="J547" s="154">
        <f t="shared" si="222"/>
        <v>0</v>
      </c>
      <c r="K547" s="154">
        <f t="shared" si="223"/>
        <v>0</v>
      </c>
      <c r="L547" s="154">
        <f t="shared" si="224"/>
        <v>393.69202317839972</v>
      </c>
      <c r="N547" s="152" t="s">
        <v>167</v>
      </c>
      <c r="O547" s="155">
        <v>43614</v>
      </c>
      <c r="P547" s="155">
        <v>43577</v>
      </c>
      <c r="Q547" s="156">
        <f t="shared" si="215"/>
        <v>43556</v>
      </c>
      <c r="R547" s="155">
        <v>43647</v>
      </c>
      <c r="S547" s="156">
        <f t="shared" si="216"/>
        <v>43647</v>
      </c>
      <c r="T547" s="140" t="str">
        <f t="shared" ca="1" si="213"/>
        <v/>
      </c>
      <c r="U547" s="139" t="str">
        <f t="shared" si="200"/>
        <v/>
      </c>
      <c r="V547" s="139" t="str">
        <f t="shared" si="201"/>
        <v/>
      </c>
      <c r="W547" s="139" t="str">
        <f t="shared" si="202"/>
        <v/>
      </c>
      <c r="X547" s="327"/>
    </row>
    <row r="548" spans="1:25" ht="18.75" x14ac:dyDescent="0.25">
      <c r="A548" s="151">
        <v>4</v>
      </c>
      <c r="B548" s="331" t="str">
        <f>'Funding 2019'!$K$103</f>
        <v>EGMM0019W205</v>
      </c>
      <c r="C548" s="283">
        <v>6100000767</v>
      </c>
      <c r="D548" s="283" t="s">
        <v>593</v>
      </c>
      <c r="E548" s="284" t="s">
        <v>496</v>
      </c>
      <c r="F548" s="280">
        <v>12310539</v>
      </c>
      <c r="G548" s="280"/>
      <c r="H548" s="401">
        <v>11230740</v>
      </c>
      <c r="J548" s="154">
        <f t="shared" si="222"/>
        <v>758.87923807175446</v>
      </c>
      <c r="K548" s="154">
        <f t="shared" si="223"/>
        <v>0</v>
      </c>
      <c r="L548" s="154">
        <f t="shared" si="224"/>
        <v>692.31537418320795</v>
      </c>
      <c r="N548" s="152" t="s">
        <v>497</v>
      </c>
      <c r="O548" s="155">
        <v>43705</v>
      </c>
      <c r="P548" s="155">
        <v>43614</v>
      </c>
      <c r="Q548" s="156">
        <f t="shared" si="215"/>
        <v>43586</v>
      </c>
      <c r="R548" s="155">
        <v>43647</v>
      </c>
      <c r="S548" s="156">
        <f t="shared" si="216"/>
        <v>43647</v>
      </c>
      <c r="T548" s="140">
        <f t="shared" ca="1" si="213"/>
        <v>68</v>
      </c>
      <c r="U548" s="139" t="str">
        <f t="shared" si="200"/>
        <v/>
      </c>
      <c r="V548" s="139" t="str">
        <f t="shared" si="201"/>
        <v/>
      </c>
      <c r="W548" s="139" t="str">
        <f t="shared" si="202"/>
        <v/>
      </c>
      <c r="X548" s="327"/>
      <c r="Y548" s="139" t="s">
        <v>882</v>
      </c>
    </row>
    <row r="549" spans="1:25" ht="18.75" x14ac:dyDescent="0.25">
      <c r="A549" s="151">
        <v>5</v>
      </c>
      <c r="B549" s="106" t="str">
        <f>'Funding 2019'!$K$103</f>
        <v>EGMM0019W205</v>
      </c>
      <c r="C549" s="151">
        <v>2100011745</v>
      </c>
      <c r="D549" s="151">
        <v>4500135139</v>
      </c>
      <c r="E549" s="152" t="s">
        <v>621</v>
      </c>
      <c r="F549" s="166">
        <f>45087990*0</f>
        <v>0</v>
      </c>
      <c r="G549" s="166"/>
      <c r="H549" s="294">
        <v>45087990</v>
      </c>
      <c r="J549" s="154">
        <f t="shared" si="222"/>
        <v>0</v>
      </c>
      <c r="K549" s="154">
        <f t="shared" si="223"/>
        <v>0</v>
      </c>
      <c r="L549" s="154">
        <f t="shared" si="224"/>
        <v>2779.4347182838119</v>
      </c>
      <c r="N549" s="152" t="s">
        <v>165</v>
      </c>
      <c r="O549" s="155">
        <v>43738</v>
      </c>
      <c r="P549" s="155">
        <v>43671</v>
      </c>
      <c r="Q549" s="156">
        <f t="shared" si="215"/>
        <v>43647</v>
      </c>
      <c r="R549" s="155">
        <v>43686</v>
      </c>
      <c r="S549" s="156">
        <f t="shared" si="216"/>
        <v>43678</v>
      </c>
      <c r="T549" s="140" t="str">
        <f t="shared" ca="1" si="213"/>
        <v/>
      </c>
      <c r="U549" s="139" t="str">
        <f t="shared" si="200"/>
        <v/>
      </c>
      <c r="V549" s="139" t="str">
        <f t="shared" si="201"/>
        <v/>
      </c>
      <c r="W549" s="139" t="str">
        <f t="shared" si="202"/>
        <v/>
      </c>
      <c r="X549" s="327"/>
    </row>
    <row r="550" spans="1:25" ht="18.75" x14ac:dyDescent="0.25">
      <c r="A550" s="151">
        <v>6</v>
      </c>
      <c r="B550" s="106" t="str">
        <f>'Funding 2019'!$K$103</f>
        <v>EGMM0019W205</v>
      </c>
      <c r="C550" s="151"/>
      <c r="D550" s="151" t="s">
        <v>628</v>
      </c>
      <c r="E550" s="152" t="s">
        <v>629</v>
      </c>
      <c r="F550" s="166"/>
      <c r="G550" s="166"/>
      <c r="H550" s="294">
        <v>7987616</v>
      </c>
      <c r="J550" s="154">
        <f t="shared" si="222"/>
        <v>0</v>
      </c>
      <c r="K550" s="154">
        <f t="shared" si="223"/>
        <v>0</v>
      </c>
      <c r="L550" s="154">
        <f t="shared" si="224"/>
        <v>492.3940327949698</v>
      </c>
      <c r="N550" s="152" t="s">
        <v>199</v>
      </c>
      <c r="O550" s="155">
        <v>43672</v>
      </c>
      <c r="P550" s="155">
        <v>43672</v>
      </c>
      <c r="Q550" s="156">
        <f t="shared" si="215"/>
        <v>43647</v>
      </c>
      <c r="R550" s="155">
        <v>43672</v>
      </c>
      <c r="S550" s="156">
        <f t="shared" si="216"/>
        <v>43647</v>
      </c>
      <c r="T550" s="140" t="str">
        <f t="shared" ca="1" si="213"/>
        <v/>
      </c>
      <c r="U550" s="139" t="str">
        <f t="shared" si="200"/>
        <v/>
      </c>
      <c r="V550" s="139" t="str">
        <f t="shared" si="201"/>
        <v/>
      </c>
      <c r="W550" s="139" t="str">
        <f t="shared" si="202"/>
        <v/>
      </c>
      <c r="X550" s="327"/>
    </row>
    <row r="551" spans="1:25" ht="18.75" x14ac:dyDescent="0.25">
      <c r="A551" s="151">
        <v>7</v>
      </c>
      <c r="B551" s="106" t="str">
        <f>'Funding 2019'!$K$103</f>
        <v>EGMM0019W205</v>
      </c>
      <c r="C551" s="151"/>
      <c r="D551" s="151"/>
      <c r="E551" s="152"/>
      <c r="F551" s="166"/>
      <c r="G551" s="166"/>
      <c r="H551" s="153"/>
      <c r="J551" s="154">
        <f t="shared" si="222"/>
        <v>0</v>
      </c>
      <c r="K551" s="154">
        <f t="shared" si="223"/>
        <v>0</v>
      </c>
      <c r="L551" s="154">
        <f t="shared" si="224"/>
        <v>0</v>
      </c>
      <c r="N551" s="152"/>
      <c r="O551" s="155"/>
      <c r="P551" s="155"/>
      <c r="Q551" s="156" t="str">
        <f t="shared" si="215"/>
        <v/>
      </c>
      <c r="R551" s="155"/>
      <c r="S551" s="156" t="str">
        <f t="shared" si="216"/>
        <v/>
      </c>
      <c r="T551" s="140" t="str">
        <f t="shared" ca="1" si="213"/>
        <v/>
      </c>
      <c r="U551" s="139" t="str">
        <f t="shared" si="200"/>
        <v/>
      </c>
      <c r="V551" s="139" t="str">
        <f t="shared" si="201"/>
        <v/>
      </c>
      <c r="W551" s="139" t="str">
        <f t="shared" si="202"/>
        <v/>
      </c>
      <c r="X551" s="327"/>
    </row>
    <row r="552" spans="1:25" ht="18.75" x14ac:dyDescent="0.25">
      <c r="A552" s="151">
        <v>8</v>
      </c>
      <c r="B552" s="106" t="str">
        <f>'Funding 2019'!$K$103</f>
        <v>EGMM0019W205</v>
      </c>
      <c r="C552" s="151"/>
      <c r="D552" s="151"/>
      <c r="E552" s="152"/>
      <c r="F552" s="153"/>
      <c r="G552" s="153"/>
      <c r="H552" s="153"/>
      <c r="J552" s="154">
        <f t="shared" si="222"/>
        <v>0</v>
      </c>
      <c r="K552" s="154">
        <f t="shared" si="223"/>
        <v>0</v>
      </c>
      <c r="L552" s="154">
        <f t="shared" si="224"/>
        <v>0</v>
      </c>
      <c r="N552" s="152"/>
      <c r="O552" s="155"/>
      <c r="P552" s="155"/>
      <c r="Q552" s="156" t="str">
        <f t="shared" si="215"/>
        <v/>
      </c>
      <c r="R552" s="155"/>
      <c r="S552" s="156" t="str">
        <f t="shared" si="216"/>
        <v/>
      </c>
      <c r="T552" s="140" t="str">
        <f t="shared" ca="1" si="213"/>
        <v/>
      </c>
      <c r="U552" s="139" t="str">
        <f t="shared" si="200"/>
        <v/>
      </c>
      <c r="V552" s="139" t="str">
        <f t="shared" si="201"/>
        <v/>
      </c>
      <c r="W552" s="139" t="str">
        <f t="shared" si="202"/>
        <v/>
      </c>
      <c r="X552" s="327"/>
    </row>
    <row r="553" spans="1:25" ht="18.75" x14ac:dyDescent="0.25">
      <c r="A553" s="151">
        <v>9</v>
      </c>
      <c r="B553" s="106" t="str">
        <f>'Funding 2019'!$K$103</f>
        <v>EGMM0019W205</v>
      </c>
      <c r="C553" s="151"/>
      <c r="D553" s="151"/>
      <c r="E553" s="152"/>
      <c r="F553" s="153"/>
      <c r="G553" s="153"/>
      <c r="H553" s="153"/>
      <c r="J553" s="154">
        <f t="shared" si="222"/>
        <v>0</v>
      </c>
      <c r="K553" s="154">
        <f t="shared" si="223"/>
        <v>0</v>
      </c>
      <c r="L553" s="154">
        <f t="shared" si="224"/>
        <v>0</v>
      </c>
      <c r="N553" s="152"/>
      <c r="O553" s="155"/>
      <c r="P553" s="155"/>
      <c r="Q553" s="156" t="str">
        <f t="shared" si="215"/>
        <v/>
      </c>
      <c r="R553" s="155"/>
      <c r="S553" s="156" t="str">
        <f t="shared" si="216"/>
        <v/>
      </c>
      <c r="T553" s="140" t="str">
        <f t="shared" ca="1" si="213"/>
        <v/>
      </c>
      <c r="U553" s="139" t="str">
        <f t="shared" si="200"/>
        <v/>
      </c>
      <c r="V553" s="139" t="str">
        <f t="shared" si="201"/>
        <v/>
      </c>
      <c r="W553" s="139" t="str">
        <f t="shared" si="202"/>
        <v/>
      </c>
      <c r="X553" s="327"/>
    </row>
    <row r="554" spans="1:25" ht="18.75" x14ac:dyDescent="0.25">
      <c r="A554" s="151">
        <v>10</v>
      </c>
      <c r="B554" s="106" t="str">
        <f>'Funding 2019'!$K$103</f>
        <v>EGMM0019W205</v>
      </c>
      <c r="C554" s="151"/>
      <c r="D554" s="151"/>
      <c r="E554" s="152"/>
      <c r="F554" s="153"/>
      <c r="G554" s="153"/>
      <c r="H554" s="153"/>
      <c r="J554" s="154">
        <f t="shared" si="222"/>
        <v>0</v>
      </c>
      <c r="K554" s="154">
        <f t="shared" si="223"/>
        <v>0</v>
      </c>
      <c r="L554" s="154">
        <f t="shared" si="224"/>
        <v>0</v>
      </c>
      <c r="N554" s="152"/>
      <c r="O554" s="155"/>
      <c r="P554" s="155"/>
      <c r="Q554" s="156" t="str">
        <f t="shared" si="215"/>
        <v/>
      </c>
      <c r="R554" s="155"/>
      <c r="S554" s="156" t="str">
        <f t="shared" si="216"/>
        <v/>
      </c>
      <c r="T554" s="140" t="str">
        <f t="shared" ca="1" si="213"/>
        <v/>
      </c>
      <c r="U554" s="139" t="str">
        <f t="shared" si="200"/>
        <v/>
      </c>
      <c r="V554" s="139" t="str">
        <f t="shared" si="201"/>
        <v/>
      </c>
      <c r="W554" s="139" t="str">
        <f t="shared" si="202"/>
        <v/>
      </c>
      <c r="X554" s="327"/>
    </row>
    <row r="555" spans="1:25" ht="18.75" x14ac:dyDescent="0.25">
      <c r="A555" s="151">
        <v>11</v>
      </c>
      <c r="B555" s="106" t="str">
        <f>'Funding 2019'!$K$103</f>
        <v>EGMM0019W205</v>
      </c>
      <c r="C555" s="151"/>
      <c r="D555" s="151"/>
      <c r="E555" s="152"/>
      <c r="F555" s="153"/>
      <c r="G555" s="153"/>
      <c r="H555" s="153"/>
      <c r="J555" s="154">
        <f t="shared" si="222"/>
        <v>0</v>
      </c>
      <c r="K555" s="154">
        <f t="shared" si="223"/>
        <v>0</v>
      </c>
      <c r="L555" s="154">
        <f t="shared" si="224"/>
        <v>0</v>
      </c>
      <c r="N555" s="152"/>
      <c r="O555" s="155"/>
      <c r="P555" s="155"/>
      <c r="Q555" s="156" t="str">
        <f t="shared" si="215"/>
        <v/>
      </c>
      <c r="R555" s="155"/>
      <c r="S555" s="156" t="str">
        <f t="shared" si="216"/>
        <v/>
      </c>
      <c r="T555" s="140" t="str">
        <f t="shared" ca="1" si="213"/>
        <v/>
      </c>
      <c r="U555" s="139" t="str">
        <f t="shared" si="200"/>
        <v/>
      </c>
      <c r="V555" s="139" t="str">
        <f t="shared" si="201"/>
        <v/>
      </c>
      <c r="W555" s="139" t="str">
        <f t="shared" si="202"/>
        <v/>
      </c>
      <c r="X555" s="327"/>
    </row>
    <row r="556" spans="1:25" ht="18.75" x14ac:dyDescent="0.25">
      <c r="A556" s="151">
        <v>12</v>
      </c>
      <c r="B556" s="106" t="str">
        <f>'Funding 2019'!$K$103</f>
        <v>EGMM0019W205</v>
      </c>
      <c r="C556" s="151"/>
      <c r="D556" s="151"/>
      <c r="E556" s="152"/>
      <c r="F556" s="153"/>
      <c r="G556" s="153"/>
      <c r="H556" s="153"/>
      <c r="J556" s="154">
        <f t="shared" si="222"/>
        <v>0</v>
      </c>
      <c r="K556" s="154">
        <f t="shared" si="223"/>
        <v>0</v>
      </c>
      <c r="L556" s="154">
        <f t="shared" si="224"/>
        <v>0</v>
      </c>
      <c r="N556" s="152"/>
      <c r="O556" s="155"/>
      <c r="P556" s="155"/>
      <c r="Q556" s="156" t="str">
        <f t="shared" si="215"/>
        <v/>
      </c>
      <c r="R556" s="155"/>
      <c r="S556" s="156" t="str">
        <f t="shared" si="216"/>
        <v/>
      </c>
      <c r="T556" s="140" t="str">
        <f t="shared" ca="1" si="213"/>
        <v/>
      </c>
      <c r="U556" s="139" t="str">
        <f t="shared" si="200"/>
        <v/>
      </c>
      <c r="V556" s="139" t="str">
        <f t="shared" si="201"/>
        <v/>
      </c>
      <c r="W556" s="139" t="str">
        <f t="shared" si="202"/>
        <v/>
      </c>
      <c r="X556" s="327"/>
    </row>
    <row r="557" spans="1:25" ht="18.75" x14ac:dyDescent="0.25">
      <c r="A557" s="151">
        <v>13</v>
      </c>
      <c r="B557" s="106" t="str">
        <f>'Funding 2019'!$K$103</f>
        <v>EGMM0019W205</v>
      </c>
      <c r="C557" s="151"/>
      <c r="D557" s="151"/>
      <c r="E557" s="152"/>
      <c r="F557" s="153"/>
      <c r="G557" s="153"/>
      <c r="H557" s="153"/>
      <c r="J557" s="154">
        <f t="shared" si="222"/>
        <v>0</v>
      </c>
      <c r="K557" s="154">
        <f t="shared" si="223"/>
        <v>0</v>
      </c>
      <c r="L557" s="154">
        <f t="shared" si="224"/>
        <v>0</v>
      </c>
      <c r="N557" s="152"/>
      <c r="O557" s="155"/>
      <c r="P557" s="155"/>
      <c r="Q557" s="156" t="str">
        <f t="shared" si="215"/>
        <v/>
      </c>
      <c r="R557" s="155"/>
      <c r="S557" s="156" t="str">
        <f t="shared" si="216"/>
        <v/>
      </c>
      <c r="T557" s="140" t="str">
        <f t="shared" ca="1" si="213"/>
        <v/>
      </c>
      <c r="U557" s="139" t="str">
        <f t="shared" si="200"/>
        <v/>
      </c>
      <c r="V557" s="139" t="str">
        <f t="shared" si="201"/>
        <v/>
      </c>
      <c r="W557" s="139" t="str">
        <f t="shared" si="202"/>
        <v/>
      </c>
      <c r="X557" s="327"/>
    </row>
    <row r="558" spans="1:25" ht="18.75" x14ac:dyDescent="0.25">
      <c r="A558" s="151">
        <v>14</v>
      </c>
      <c r="B558" s="106" t="str">
        <f>'Funding 2019'!$K$103</f>
        <v>EGMM0019W205</v>
      </c>
      <c r="C558" s="151"/>
      <c r="D558" s="151"/>
      <c r="E558" s="152"/>
      <c r="F558" s="153"/>
      <c r="G558" s="153"/>
      <c r="H558" s="153"/>
      <c r="J558" s="154">
        <f t="shared" si="222"/>
        <v>0</v>
      </c>
      <c r="K558" s="154">
        <f t="shared" si="223"/>
        <v>0</v>
      </c>
      <c r="L558" s="154">
        <f t="shared" si="224"/>
        <v>0</v>
      </c>
      <c r="N558" s="152"/>
      <c r="O558" s="155"/>
      <c r="P558" s="155"/>
      <c r="Q558" s="156" t="str">
        <f t="shared" si="215"/>
        <v/>
      </c>
      <c r="R558" s="155"/>
      <c r="S558" s="156" t="str">
        <f t="shared" si="216"/>
        <v/>
      </c>
      <c r="T558" s="140" t="str">
        <f t="shared" ca="1" si="213"/>
        <v/>
      </c>
      <c r="U558" s="139" t="str">
        <f t="shared" si="200"/>
        <v/>
      </c>
      <c r="V558" s="139" t="str">
        <f t="shared" si="201"/>
        <v/>
      </c>
      <c r="W558" s="139" t="str">
        <f t="shared" si="202"/>
        <v/>
      </c>
      <c r="X558" s="327"/>
    </row>
    <row r="559" spans="1:25" ht="18.75" x14ac:dyDescent="0.25">
      <c r="A559" s="151">
        <v>15</v>
      </c>
      <c r="B559" s="106" t="str">
        <f>'Funding 2019'!$K$103</f>
        <v>EGMM0019W205</v>
      </c>
      <c r="C559" s="151"/>
      <c r="D559" s="151"/>
      <c r="E559" s="152"/>
      <c r="F559" s="166"/>
      <c r="G559" s="166"/>
      <c r="H559" s="166"/>
      <c r="J559" s="154">
        <f t="shared" si="222"/>
        <v>0</v>
      </c>
      <c r="K559" s="154">
        <f t="shared" si="223"/>
        <v>0</v>
      </c>
      <c r="L559" s="154">
        <f t="shared" si="224"/>
        <v>0</v>
      </c>
      <c r="N559" s="165"/>
      <c r="O559" s="169"/>
      <c r="P559" s="169"/>
      <c r="Q559" s="156" t="str">
        <f t="shared" si="215"/>
        <v/>
      </c>
      <c r="R559" s="169"/>
      <c r="S559" s="156" t="str">
        <f t="shared" si="216"/>
        <v/>
      </c>
      <c r="T559" s="140" t="str">
        <f t="shared" ca="1" si="213"/>
        <v/>
      </c>
      <c r="U559" s="139" t="str">
        <f t="shared" si="200"/>
        <v/>
      </c>
      <c r="V559" s="139" t="str">
        <f t="shared" si="201"/>
        <v/>
      </c>
      <c r="W559" s="139" t="str">
        <f t="shared" si="202"/>
        <v/>
      </c>
      <c r="X559" s="327"/>
    </row>
    <row r="560" spans="1:25" ht="18.75" x14ac:dyDescent="0.25">
      <c r="A560" s="157"/>
      <c r="B560" s="158"/>
      <c r="C560" s="157"/>
      <c r="D560" s="157"/>
      <c r="E560" s="159"/>
      <c r="F560" s="160">
        <f>SUM(F544:F559)</f>
        <v>12310539</v>
      </c>
      <c r="G560" s="160">
        <f>SUM(G544:G559)</f>
        <v>0</v>
      </c>
      <c r="H560" s="160">
        <f>SUM(H544:H559)</f>
        <v>90770790</v>
      </c>
      <c r="J560" s="161">
        <f>F560/$J$2</f>
        <v>758.87923807175446</v>
      </c>
      <c r="K560" s="161">
        <f>G560/$J$2</f>
        <v>0</v>
      </c>
      <c r="L560" s="161">
        <f>H560/$J$2</f>
        <v>5595.5363087165579</v>
      </c>
      <c r="N560" s="159"/>
      <c r="O560" s="162"/>
      <c r="P560" s="162"/>
      <c r="Q560" s="156" t="str">
        <f t="shared" si="215"/>
        <v/>
      </c>
      <c r="R560" s="162"/>
      <c r="S560" s="156" t="str">
        <f t="shared" si="216"/>
        <v/>
      </c>
      <c r="T560" s="140" t="str">
        <f t="shared" ca="1" si="213"/>
        <v/>
      </c>
      <c r="U560" s="139" t="str">
        <f t="shared" si="200"/>
        <v/>
      </c>
      <c r="V560" s="139" t="str">
        <f t="shared" si="201"/>
        <v/>
      </c>
      <c r="W560" s="139" t="str">
        <f t="shared" si="202"/>
        <v/>
      </c>
      <c r="X560" s="327"/>
    </row>
    <row r="561" spans="1:24" ht="18.75" x14ac:dyDescent="0.25">
      <c r="Q561" s="156" t="str">
        <f t="shared" si="215"/>
        <v/>
      </c>
      <c r="S561" s="156" t="str">
        <f t="shared" si="216"/>
        <v/>
      </c>
      <c r="T561" s="140" t="str">
        <f t="shared" ca="1" si="213"/>
        <v/>
      </c>
      <c r="U561" s="139" t="str">
        <f t="shared" si="200"/>
        <v/>
      </c>
      <c r="V561" s="139" t="str">
        <f t="shared" si="201"/>
        <v/>
      </c>
      <c r="W561" s="139" t="str">
        <f t="shared" si="202"/>
        <v/>
      </c>
      <c r="X561" s="327"/>
    </row>
    <row r="562" spans="1:24" ht="18.75" x14ac:dyDescent="0.25">
      <c r="A562" s="163" t="str">
        <f>'Funding 2019'!L119</f>
        <v>One Time Cost Related to Product</v>
      </c>
      <c r="B562" s="113" t="str">
        <f>'Funding 2019'!L104</f>
        <v>W206 - TE</v>
      </c>
      <c r="C562" s="147"/>
      <c r="D562" s="147"/>
      <c r="E562" s="148"/>
      <c r="F562" s="148"/>
      <c r="G562" s="148"/>
      <c r="H562" s="148"/>
      <c r="J562" s="149">
        <f t="shared" ref="J562:L563" si="225">F562/$J$2</f>
        <v>0</v>
      </c>
      <c r="K562" s="149">
        <f t="shared" si="225"/>
        <v>0</v>
      </c>
      <c r="L562" s="149">
        <f t="shared" si="225"/>
        <v>0</v>
      </c>
      <c r="N562" s="148"/>
      <c r="O562" s="150"/>
      <c r="P562" s="150"/>
      <c r="Q562" s="156" t="str">
        <f t="shared" si="215"/>
        <v/>
      </c>
      <c r="R562" s="150"/>
      <c r="S562" s="156" t="str">
        <f t="shared" si="216"/>
        <v/>
      </c>
      <c r="T562" s="140" t="str">
        <f t="shared" ca="1" si="213"/>
        <v/>
      </c>
      <c r="U562" s="139" t="str">
        <f t="shared" si="200"/>
        <v/>
      </c>
      <c r="V562" s="139" t="str">
        <f t="shared" si="201"/>
        <v/>
      </c>
      <c r="W562" s="139" t="str">
        <f t="shared" si="202"/>
        <v/>
      </c>
      <c r="X562" s="327"/>
    </row>
    <row r="563" spans="1:24" ht="18.75" x14ac:dyDescent="0.25">
      <c r="A563" s="151">
        <v>1</v>
      </c>
      <c r="B563" s="106" t="str">
        <f>'Funding 2019'!$K$104</f>
        <v>EGMMTE19W206</v>
      </c>
      <c r="C563" s="164"/>
      <c r="D563" s="164"/>
      <c r="E563" s="165"/>
      <c r="F563" s="166"/>
      <c r="G563" s="166"/>
      <c r="H563" s="166"/>
      <c r="J563" s="154">
        <f t="shared" si="225"/>
        <v>0</v>
      </c>
      <c r="K563" s="154">
        <f t="shared" si="225"/>
        <v>0</v>
      </c>
      <c r="L563" s="154">
        <f t="shared" si="225"/>
        <v>0</v>
      </c>
      <c r="N563" s="165"/>
      <c r="O563" s="169"/>
      <c r="P563" s="169"/>
      <c r="Q563" s="156" t="str">
        <f t="shared" si="215"/>
        <v/>
      </c>
      <c r="R563" s="169"/>
      <c r="S563" s="156" t="str">
        <f t="shared" si="216"/>
        <v/>
      </c>
      <c r="T563" s="140" t="str">
        <f t="shared" ca="1" si="213"/>
        <v/>
      </c>
      <c r="U563" s="139" t="str">
        <f t="shared" si="200"/>
        <v/>
      </c>
      <c r="V563" s="139" t="str">
        <f t="shared" si="201"/>
        <v/>
      </c>
      <c r="W563" s="139" t="str">
        <f t="shared" si="202"/>
        <v/>
      </c>
      <c r="X563" s="327"/>
    </row>
    <row r="564" spans="1:24" ht="18.75" x14ac:dyDescent="0.25">
      <c r="A564" s="151">
        <v>2</v>
      </c>
      <c r="B564" s="106" t="str">
        <f>'Funding 2019'!$K$104</f>
        <v>EGMMTE19W206</v>
      </c>
      <c r="C564" s="164"/>
      <c r="D564" s="164"/>
      <c r="E564" s="165"/>
      <c r="F564" s="166"/>
      <c r="G564" s="166"/>
      <c r="H564" s="166"/>
      <c r="J564" s="154">
        <f t="shared" ref="J564:J577" si="226">F564/$J$2</f>
        <v>0</v>
      </c>
      <c r="K564" s="154">
        <f t="shared" ref="K564:K577" si="227">G564/$J$2</f>
        <v>0</v>
      </c>
      <c r="L564" s="154">
        <f t="shared" ref="L564:L577" si="228">H564/$J$2</f>
        <v>0</v>
      </c>
      <c r="N564" s="165"/>
      <c r="O564" s="169"/>
      <c r="P564" s="169"/>
      <c r="Q564" s="156" t="str">
        <f t="shared" si="215"/>
        <v/>
      </c>
      <c r="R564" s="169"/>
      <c r="S564" s="156" t="str">
        <f t="shared" si="216"/>
        <v/>
      </c>
      <c r="T564" s="140" t="str">
        <f t="shared" ca="1" si="213"/>
        <v/>
      </c>
      <c r="U564" s="139" t="str">
        <f t="shared" si="200"/>
        <v/>
      </c>
      <c r="V564" s="139" t="str">
        <f t="shared" si="201"/>
        <v/>
      </c>
      <c r="W564" s="139" t="str">
        <f t="shared" si="202"/>
        <v/>
      </c>
      <c r="X564" s="327"/>
    </row>
    <row r="565" spans="1:24" ht="18.75" x14ac:dyDescent="0.25">
      <c r="A565" s="151">
        <v>3</v>
      </c>
      <c r="B565" s="106" t="str">
        <f>'Funding 2019'!$K$104</f>
        <v>EGMMTE19W206</v>
      </c>
      <c r="C565" s="164"/>
      <c r="D565" s="164"/>
      <c r="E565" s="165"/>
      <c r="F565" s="166"/>
      <c r="G565" s="166"/>
      <c r="H565" s="166"/>
      <c r="J565" s="154">
        <f t="shared" si="226"/>
        <v>0</v>
      </c>
      <c r="K565" s="154">
        <f t="shared" si="227"/>
        <v>0</v>
      </c>
      <c r="L565" s="154">
        <f t="shared" si="228"/>
        <v>0</v>
      </c>
      <c r="N565" s="165"/>
      <c r="O565" s="169"/>
      <c r="P565" s="169"/>
      <c r="Q565" s="156" t="str">
        <f t="shared" si="215"/>
        <v/>
      </c>
      <c r="R565" s="169"/>
      <c r="S565" s="156" t="str">
        <f t="shared" si="216"/>
        <v/>
      </c>
      <c r="T565" s="140" t="str">
        <f t="shared" ca="1" si="213"/>
        <v/>
      </c>
      <c r="U565" s="139" t="str">
        <f t="shared" si="200"/>
        <v/>
      </c>
      <c r="V565" s="139" t="str">
        <f t="shared" si="201"/>
        <v/>
      </c>
      <c r="W565" s="139" t="str">
        <f t="shared" si="202"/>
        <v/>
      </c>
      <c r="X565" s="327"/>
    </row>
    <row r="566" spans="1:24" ht="18.75" x14ac:dyDescent="0.25">
      <c r="A566" s="151">
        <v>4</v>
      </c>
      <c r="B566" s="106" t="str">
        <f>'Funding 2019'!$K$104</f>
        <v>EGMMTE19W206</v>
      </c>
      <c r="C566" s="164"/>
      <c r="D566" s="164"/>
      <c r="E566" s="165"/>
      <c r="F566" s="166"/>
      <c r="G566" s="166"/>
      <c r="H566" s="166"/>
      <c r="J566" s="154">
        <f t="shared" si="226"/>
        <v>0</v>
      </c>
      <c r="K566" s="154">
        <f t="shared" si="227"/>
        <v>0</v>
      </c>
      <c r="L566" s="154">
        <f t="shared" si="228"/>
        <v>0</v>
      </c>
      <c r="N566" s="165"/>
      <c r="O566" s="169"/>
      <c r="P566" s="169"/>
      <c r="Q566" s="156" t="str">
        <f t="shared" si="215"/>
        <v/>
      </c>
      <c r="R566" s="169"/>
      <c r="S566" s="156" t="str">
        <f t="shared" si="216"/>
        <v/>
      </c>
      <c r="T566" s="140" t="str">
        <f t="shared" ca="1" si="213"/>
        <v/>
      </c>
      <c r="U566" s="139" t="str">
        <f t="shared" si="200"/>
        <v/>
      </c>
      <c r="V566" s="139" t="str">
        <f t="shared" si="201"/>
        <v/>
      </c>
      <c r="W566" s="139" t="str">
        <f t="shared" si="202"/>
        <v/>
      </c>
      <c r="X566" s="327"/>
    </row>
    <row r="567" spans="1:24" ht="18.75" x14ac:dyDescent="0.25">
      <c r="A567" s="151">
        <v>5</v>
      </c>
      <c r="B567" s="106" t="str">
        <f>'Funding 2019'!$K$104</f>
        <v>EGMMTE19W206</v>
      </c>
      <c r="C567" s="164"/>
      <c r="D567" s="164"/>
      <c r="E567" s="165"/>
      <c r="F567" s="166"/>
      <c r="G567" s="166"/>
      <c r="H567" s="166"/>
      <c r="J567" s="154">
        <f t="shared" si="226"/>
        <v>0</v>
      </c>
      <c r="K567" s="154">
        <f t="shared" si="227"/>
        <v>0</v>
      </c>
      <c r="L567" s="154">
        <f t="shared" si="228"/>
        <v>0</v>
      </c>
      <c r="N567" s="165"/>
      <c r="O567" s="169"/>
      <c r="P567" s="169"/>
      <c r="Q567" s="156" t="str">
        <f t="shared" si="215"/>
        <v/>
      </c>
      <c r="R567" s="169"/>
      <c r="S567" s="156" t="str">
        <f t="shared" si="216"/>
        <v/>
      </c>
      <c r="T567" s="140" t="str">
        <f t="shared" ca="1" si="213"/>
        <v/>
      </c>
      <c r="U567" s="139" t="str">
        <f t="shared" si="200"/>
        <v/>
      </c>
      <c r="V567" s="139" t="str">
        <f t="shared" si="201"/>
        <v/>
      </c>
      <c r="W567" s="139" t="str">
        <f t="shared" si="202"/>
        <v/>
      </c>
      <c r="X567" s="327"/>
    </row>
    <row r="568" spans="1:24" ht="18.75" x14ac:dyDescent="0.25">
      <c r="A568" s="151">
        <v>6</v>
      </c>
      <c r="B568" s="106" t="str">
        <f>'Funding 2019'!$K$104</f>
        <v>EGMMTE19W206</v>
      </c>
      <c r="C568" s="164"/>
      <c r="D568" s="164"/>
      <c r="E568" s="165"/>
      <c r="F568" s="166"/>
      <c r="G568" s="166"/>
      <c r="H568" s="166"/>
      <c r="J568" s="154">
        <f t="shared" si="226"/>
        <v>0</v>
      </c>
      <c r="K568" s="154">
        <f t="shared" si="227"/>
        <v>0</v>
      </c>
      <c r="L568" s="154">
        <f t="shared" si="228"/>
        <v>0</v>
      </c>
      <c r="N568" s="165"/>
      <c r="O568" s="169"/>
      <c r="P568" s="169"/>
      <c r="Q568" s="156" t="str">
        <f t="shared" si="215"/>
        <v/>
      </c>
      <c r="R568" s="169"/>
      <c r="S568" s="156" t="str">
        <f t="shared" si="216"/>
        <v/>
      </c>
      <c r="T568" s="140" t="str">
        <f t="shared" ca="1" si="213"/>
        <v/>
      </c>
      <c r="U568" s="139" t="str">
        <f t="shared" si="200"/>
        <v/>
      </c>
      <c r="V568" s="139" t="str">
        <f t="shared" si="201"/>
        <v/>
      </c>
      <c r="W568" s="139" t="str">
        <f t="shared" si="202"/>
        <v/>
      </c>
      <c r="X568" s="327"/>
    </row>
    <row r="569" spans="1:24" ht="18.75" x14ac:dyDescent="0.25">
      <c r="A569" s="151">
        <v>7</v>
      </c>
      <c r="B569" s="106" t="str">
        <f>'Funding 2019'!$K$104</f>
        <v>EGMMTE19W206</v>
      </c>
      <c r="C569" s="164"/>
      <c r="D569" s="164"/>
      <c r="E569" s="165"/>
      <c r="F569" s="166"/>
      <c r="G569" s="166"/>
      <c r="H569" s="166"/>
      <c r="J569" s="154">
        <f t="shared" si="226"/>
        <v>0</v>
      </c>
      <c r="K569" s="154">
        <f t="shared" si="227"/>
        <v>0</v>
      </c>
      <c r="L569" s="154">
        <f t="shared" si="228"/>
        <v>0</v>
      </c>
      <c r="N569" s="165"/>
      <c r="O569" s="169"/>
      <c r="P569" s="169"/>
      <c r="Q569" s="156" t="str">
        <f t="shared" si="215"/>
        <v/>
      </c>
      <c r="R569" s="169"/>
      <c r="S569" s="156" t="str">
        <f t="shared" si="216"/>
        <v/>
      </c>
      <c r="T569" s="140" t="str">
        <f t="shared" ca="1" si="213"/>
        <v/>
      </c>
      <c r="U569" s="139" t="str">
        <f t="shared" si="200"/>
        <v/>
      </c>
      <c r="V569" s="139" t="str">
        <f t="shared" si="201"/>
        <v/>
      </c>
      <c r="W569" s="139" t="str">
        <f t="shared" si="202"/>
        <v/>
      </c>
      <c r="X569" s="327"/>
    </row>
    <row r="570" spans="1:24" ht="18.75" x14ac:dyDescent="0.25">
      <c r="A570" s="151">
        <v>8</v>
      </c>
      <c r="B570" s="106" t="str">
        <f>'Funding 2019'!$K$104</f>
        <v>EGMMTE19W206</v>
      </c>
      <c r="C570" s="164"/>
      <c r="D570" s="164"/>
      <c r="E570" s="165"/>
      <c r="F570" s="166"/>
      <c r="G570" s="166"/>
      <c r="H570" s="166"/>
      <c r="J570" s="154">
        <f t="shared" si="226"/>
        <v>0</v>
      </c>
      <c r="K570" s="154">
        <f t="shared" si="227"/>
        <v>0</v>
      </c>
      <c r="L570" s="154">
        <f t="shared" si="228"/>
        <v>0</v>
      </c>
      <c r="N570" s="165"/>
      <c r="O570" s="169"/>
      <c r="P570" s="169"/>
      <c r="Q570" s="156" t="str">
        <f t="shared" si="215"/>
        <v/>
      </c>
      <c r="R570" s="169"/>
      <c r="S570" s="156" t="str">
        <f t="shared" si="216"/>
        <v/>
      </c>
      <c r="T570" s="140" t="str">
        <f t="shared" ca="1" si="213"/>
        <v/>
      </c>
      <c r="U570" s="139" t="str">
        <f t="shared" si="200"/>
        <v/>
      </c>
      <c r="V570" s="139" t="str">
        <f t="shared" si="201"/>
        <v/>
      </c>
      <c r="W570" s="139" t="str">
        <f t="shared" si="202"/>
        <v/>
      </c>
      <c r="X570" s="327"/>
    </row>
    <row r="571" spans="1:24" ht="18.75" x14ac:dyDescent="0.25">
      <c r="A571" s="151">
        <v>9</v>
      </c>
      <c r="B571" s="106" t="str">
        <f>'Funding 2019'!$K$104</f>
        <v>EGMMTE19W206</v>
      </c>
      <c r="C571" s="164"/>
      <c r="D571" s="164"/>
      <c r="E571" s="165"/>
      <c r="F571" s="166"/>
      <c r="G571" s="166"/>
      <c r="H571" s="166"/>
      <c r="J571" s="154">
        <f t="shared" si="226"/>
        <v>0</v>
      </c>
      <c r="K571" s="154">
        <f t="shared" si="227"/>
        <v>0</v>
      </c>
      <c r="L571" s="154">
        <f t="shared" si="228"/>
        <v>0</v>
      </c>
      <c r="N571" s="165"/>
      <c r="O571" s="169"/>
      <c r="P571" s="169"/>
      <c r="Q571" s="156" t="str">
        <f t="shared" si="215"/>
        <v/>
      </c>
      <c r="R571" s="169"/>
      <c r="S571" s="156" t="str">
        <f t="shared" si="216"/>
        <v/>
      </c>
      <c r="T571" s="140" t="str">
        <f t="shared" ca="1" si="213"/>
        <v/>
      </c>
      <c r="U571" s="139" t="str">
        <f t="shared" si="200"/>
        <v/>
      </c>
      <c r="V571" s="139" t="str">
        <f t="shared" si="201"/>
        <v/>
      </c>
      <c r="W571" s="139" t="str">
        <f t="shared" si="202"/>
        <v/>
      </c>
      <c r="X571" s="327"/>
    </row>
    <row r="572" spans="1:24" ht="18.75" x14ac:dyDescent="0.25">
      <c r="A572" s="151">
        <v>10</v>
      </c>
      <c r="B572" s="106" t="str">
        <f>'Funding 2019'!$K$104</f>
        <v>EGMMTE19W206</v>
      </c>
      <c r="C572" s="164"/>
      <c r="D572" s="164"/>
      <c r="E572" s="165"/>
      <c r="F572" s="166"/>
      <c r="G572" s="166"/>
      <c r="H572" s="166"/>
      <c r="J572" s="154">
        <f t="shared" si="226"/>
        <v>0</v>
      </c>
      <c r="K572" s="154">
        <f t="shared" si="227"/>
        <v>0</v>
      </c>
      <c r="L572" s="154">
        <f t="shared" si="228"/>
        <v>0</v>
      </c>
      <c r="N572" s="165"/>
      <c r="O572" s="169"/>
      <c r="P572" s="169"/>
      <c r="Q572" s="156" t="str">
        <f t="shared" si="215"/>
        <v/>
      </c>
      <c r="R572" s="169"/>
      <c r="S572" s="156" t="str">
        <f t="shared" si="216"/>
        <v/>
      </c>
      <c r="T572" s="140" t="str">
        <f t="shared" ca="1" si="213"/>
        <v/>
      </c>
      <c r="U572" s="139" t="str">
        <f t="shared" si="200"/>
        <v/>
      </c>
      <c r="V572" s="139" t="str">
        <f t="shared" si="201"/>
        <v/>
      </c>
      <c r="W572" s="139" t="str">
        <f t="shared" si="202"/>
        <v/>
      </c>
      <c r="X572" s="327"/>
    </row>
    <row r="573" spans="1:24" ht="18.75" x14ac:dyDescent="0.25">
      <c r="A573" s="151">
        <v>11</v>
      </c>
      <c r="B573" s="106" t="str">
        <f>'Funding 2019'!$K$104</f>
        <v>EGMMTE19W206</v>
      </c>
      <c r="C573" s="164"/>
      <c r="D573" s="164"/>
      <c r="E573" s="165"/>
      <c r="F573" s="166"/>
      <c r="G573" s="166"/>
      <c r="H573" s="166"/>
      <c r="J573" s="154">
        <f t="shared" si="226"/>
        <v>0</v>
      </c>
      <c r="K573" s="154">
        <f t="shared" si="227"/>
        <v>0</v>
      </c>
      <c r="L573" s="154">
        <f t="shared" si="228"/>
        <v>0</v>
      </c>
      <c r="N573" s="165"/>
      <c r="O573" s="169"/>
      <c r="P573" s="169"/>
      <c r="Q573" s="156" t="str">
        <f t="shared" si="215"/>
        <v/>
      </c>
      <c r="R573" s="169"/>
      <c r="S573" s="156" t="str">
        <f t="shared" si="216"/>
        <v/>
      </c>
      <c r="T573" s="140" t="str">
        <f t="shared" ca="1" si="213"/>
        <v/>
      </c>
      <c r="U573" s="139" t="str">
        <f t="shared" si="200"/>
        <v/>
      </c>
      <c r="V573" s="139" t="str">
        <f t="shared" si="201"/>
        <v/>
      </c>
      <c r="W573" s="139" t="str">
        <f t="shared" si="202"/>
        <v/>
      </c>
      <c r="X573" s="327"/>
    </row>
    <row r="574" spans="1:24" ht="18.75" x14ac:dyDescent="0.25">
      <c r="A574" s="151">
        <v>12</v>
      </c>
      <c r="B574" s="106" t="str">
        <f>'Funding 2019'!$K$104</f>
        <v>EGMMTE19W206</v>
      </c>
      <c r="C574" s="164"/>
      <c r="D574" s="164"/>
      <c r="E574" s="165"/>
      <c r="F574" s="166"/>
      <c r="G574" s="166"/>
      <c r="H574" s="166"/>
      <c r="J574" s="154">
        <f t="shared" si="226"/>
        <v>0</v>
      </c>
      <c r="K574" s="154">
        <f t="shared" si="227"/>
        <v>0</v>
      </c>
      <c r="L574" s="154">
        <f t="shared" si="228"/>
        <v>0</v>
      </c>
      <c r="N574" s="165"/>
      <c r="O574" s="169"/>
      <c r="P574" s="169"/>
      <c r="Q574" s="156" t="str">
        <f t="shared" si="215"/>
        <v/>
      </c>
      <c r="R574" s="169"/>
      <c r="S574" s="156" t="str">
        <f t="shared" si="216"/>
        <v/>
      </c>
      <c r="T574" s="140" t="str">
        <f t="shared" ca="1" si="213"/>
        <v/>
      </c>
      <c r="U574" s="139" t="str">
        <f t="shared" si="200"/>
        <v/>
      </c>
      <c r="V574" s="139" t="str">
        <f t="shared" si="201"/>
        <v/>
      </c>
      <c r="W574" s="139" t="str">
        <f t="shared" si="202"/>
        <v/>
      </c>
      <c r="X574" s="327"/>
    </row>
    <row r="575" spans="1:24" ht="18.75" x14ac:dyDescent="0.25">
      <c r="A575" s="151">
        <v>13</v>
      </c>
      <c r="B575" s="106" t="str">
        <f>'Funding 2019'!$K$104</f>
        <v>EGMMTE19W206</v>
      </c>
      <c r="C575" s="164"/>
      <c r="D575" s="164"/>
      <c r="E575" s="165"/>
      <c r="F575" s="166"/>
      <c r="G575" s="166"/>
      <c r="H575" s="166"/>
      <c r="J575" s="154">
        <f t="shared" si="226"/>
        <v>0</v>
      </c>
      <c r="K575" s="154">
        <f t="shared" si="227"/>
        <v>0</v>
      </c>
      <c r="L575" s="154">
        <f t="shared" si="228"/>
        <v>0</v>
      </c>
      <c r="N575" s="165"/>
      <c r="O575" s="169"/>
      <c r="P575" s="169"/>
      <c r="Q575" s="156" t="str">
        <f t="shared" si="215"/>
        <v/>
      </c>
      <c r="R575" s="169"/>
      <c r="S575" s="156" t="str">
        <f t="shared" si="216"/>
        <v/>
      </c>
      <c r="T575" s="140" t="str">
        <f t="shared" ca="1" si="213"/>
        <v/>
      </c>
      <c r="U575" s="139" t="str">
        <f t="shared" si="200"/>
        <v/>
      </c>
      <c r="V575" s="139" t="str">
        <f t="shared" si="201"/>
        <v/>
      </c>
      <c r="W575" s="139" t="str">
        <f t="shared" si="202"/>
        <v/>
      </c>
      <c r="X575" s="327"/>
    </row>
    <row r="576" spans="1:24" ht="18.75" x14ac:dyDescent="0.25">
      <c r="A576" s="151">
        <v>14</v>
      </c>
      <c r="B576" s="106" t="str">
        <f>'Funding 2019'!$K$104</f>
        <v>EGMMTE19W206</v>
      </c>
      <c r="C576" s="164"/>
      <c r="D576" s="164"/>
      <c r="E576" s="165"/>
      <c r="F576" s="166"/>
      <c r="G576" s="166"/>
      <c r="H576" s="166"/>
      <c r="J576" s="154">
        <f t="shared" si="226"/>
        <v>0</v>
      </c>
      <c r="K576" s="154">
        <f t="shared" si="227"/>
        <v>0</v>
      </c>
      <c r="L576" s="154">
        <f t="shared" si="228"/>
        <v>0</v>
      </c>
      <c r="N576" s="165"/>
      <c r="O576" s="169"/>
      <c r="P576" s="169"/>
      <c r="Q576" s="156" t="str">
        <f t="shared" si="215"/>
        <v/>
      </c>
      <c r="R576" s="169"/>
      <c r="S576" s="156" t="str">
        <f t="shared" si="216"/>
        <v/>
      </c>
      <c r="T576" s="140" t="str">
        <f t="shared" ca="1" si="213"/>
        <v/>
      </c>
      <c r="U576" s="139" t="str">
        <f t="shared" si="200"/>
        <v/>
      </c>
      <c r="V576" s="139" t="str">
        <f t="shared" si="201"/>
        <v/>
      </c>
      <c r="W576" s="139" t="str">
        <f t="shared" si="202"/>
        <v/>
      </c>
      <c r="X576" s="327"/>
    </row>
    <row r="577" spans="1:24" ht="18.75" x14ac:dyDescent="0.25">
      <c r="A577" s="151">
        <v>15</v>
      </c>
      <c r="B577" s="106" t="str">
        <f>'Funding 2019'!$K$104</f>
        <v>EGMMTE19W206</v>
      </c>
      <c r="C577" s="164"/>
      <c r="D577" s="164"/>
      <c r="E577" s="165"/>
      <c r="F577" s="166"/>
      <c r="G577" s="166"/>
      <c r="H577" s="166"/>
      <c r="J577" s="154">
        <f t="shared" si="226"/>
        <v>0</v>
      </c>
      <c r="K577" s="154">
        <f t="shared" si="227"/>
        <v>0</v>
      </c>
      <c r="L577" s="154">
        <f t="shared" si="228"/>
        <v>0</v>
      </c>
      <c r="N577" s="165"/>
      <c r="O577" s="169"/>
      <c r="P577" s="169"/>
      <c r="Q577" s="156" t="str">
        <f t="shared" si="215"/>
        <v/>
      </c>
      <c r="R577" s="169"/>
      <c r="S577" s="156" t="str">
        <f t="shared" si="216"/>
        <v/>
      </c>
      <c r="T577" s="140" t="str">
        <f t="shared" ca="1" si="213"/>
        <v/>
      </c>
      <c r="U577" s="139" t="str">
        <f t="shared" si="200"/>
        <v/>
      </c>
      <c r="V577" s="139" t="str">
        <f t="shared" si="201"/>
        <v/>
      </c>
      <c r="W577" s="139" t="str">
        <f t="shared" si="202"/>
        <v/>
      </c>
      <c r="X577" s="327"/>
    </row>
    <row r="578" spans="1:24" ht="18.75" x14ac:dyDescent="0.25">
      <c r="A578" s="157"/>
      <c r="B578" s="158"/>
      <c r="C578" s="157"/>
      <c r="D578" s="157"/>
      <c r="E578" s="159"/>
      <c r="F578" s="160">
        <f>SUM(F563:F577)</f>
        <v>0</v>
      </c>
      <c r="G578" s="160">
        <f>SUM(G563:G577)</f>
        <v>0</v>
      </c>
      <c r="H578" s="160">
        <f>SUM(H563:H577)</f>
        <v>0</v>
      </c>
      <c r="J578" s="161">
        <f>F578/$J$2</f>
        <v>0</v>
      </c>
      <c r="K578" s="161">
        <f>G578/$J$2</f>
        <v>0</v>
      </c>
      <c r="L578" s="161">
        <f>H578/$J$2</f>
        <v>0</v>
      </c>
      <c r="N578" s="159"/>
      <c r="O578" s="162"/>
      <c r="P578" s="162"/>
      <c r="Q578" s="156" t="str">
        <f t="shared" si="215"/>
        <v/>
      </c>
      <c r="R578" s="162"/>
      <c r="S578" s="156" t="str">
        <f t="shared" si="216"/>
        <v/>
      </c>
      <c r="T578" s="140" t="str">
        <f t="shared" ca="1" si="213"/>
        <v/>
      </c>
      <c r="U578" s="139" t="str">
        <f t="shared" si="200"/>
        <v/>
      </c>
      <c r="V578" s="139" t="str">
        <f t="shared" si="201"/>
        <v/>
      </c>
      <c r="W578" s="139" t="str">
        <f t="shared" si="202"/>
        <v/>
      </c>
      <c r="X578" s="327"/>
    </row>
    <row r="579" spans="1:24" ht="18.75" x14ac:dyDescent="0.25">
      <c r="Q579" s="156" t="str">
        <f t="shared" si="215"/>
        <v/>
      </c>
      <c r="S579" s="156" t="str">
        <f t="shared" si="216"/>
        <v/>
      </c>
      <c r="T579" s="140" t="str">
        <f t="shared" ca="1" si="213"/>
        <v/>
      </c>
      <c r="U579" s="139" t="str">
        <f t="shared" si="200"/>
        <v/>
      </c>
      <c r="V579" s="139" t="str">
        <f t="shared" si="201"/>
        <v/>
      </c>
      <c r="W579" s="139" t="str">
        <f t="shared" si="202"/>
        <v/>
      </c>
      <c r="X579" s="327"/>
    </row>
    <row r="580" spans="1:24" ht="18.75" x14ac:dyDescent="0.25">
      <c r="Q580" s="156" t="str">
        <f t="shared" si="215"/>
        <v/>
      </c>
      <c r="S580" s="156" t="str">
        <f t="shared" si="216"/>
        <v/>
      </c>
      <c r="T580" s="140" t="str">
        <f t="shared" ca="1" si="213"/>
        <v/>
      </c>
      <c r="U580" s="139" t="str">
        <f t="shared" si="200"/>
        <v/>
      </c>
      <c r="V580" s="139" t="str">
        <f t="shared" si="201"/>
        <v/>
      </c>
      <c r="W580" s="139" t="str">
        <f t="shared" si="202"/>
        <v/>
      </c>
      <c r="X580" s="327"/>
    </row>
    <row r="581" spans="1:24" ht="18.75" x14ac:dyDescent="0.25">
      <c r="A581" s="163" t="str">
        <f>'Funding 2019'!L119</f>
        <v>One Time Cost Related to Product</v>
      </c>
      <c r="B581" s="113" t="str">
        <f>'Funding 2019'!L105</f>
        <v>X253 - TA MoPf</v>
      </c>
      <c r="C581" s="147"/>
      <c r="D581" s="147"/>
      <c r="E581" s="148"/>
      <c r="F581" s="148"/>
      <c r="G581" s="148"/>
      <c r="H581" s="148"/>
      <c r="J581" s="149">
        <f t="shared" ref="J581:L582" si="229">F581/$J$2</f>
        <v>0</v>
      </c>
      <c r="K581" s="149">
        <f t="shared" si="229"/>
        <v>0</v>
      </c>
      <c r="L581" s="149">
        <f t="shared" si="229"/>
        <v>0</v>
      </c>
      <c r="N581" s="148"/>
      <c r="O581" s="150"/>
      <c r="P581" s="150"/>
      <c r="Q581" s="156" t="str">
        <f t="shared" si="215"/>
        <v/>
      </c>
      <c r="R581" s="150"/>
      <c r="S581" s="156" t="str">
        <f t="shared" si="216"/>
        <v/>
      </c>
      <c r="T581" s="140" t="str">
        <f t="shared" ca="1" si="213"/>
        <v/>
      </c>
      <c r="U581" s="139" t="str">
        <f t="shared" si="200"/>
        <v/>
      </c>
      <c r="V581" s="139" t="str">
        <f t="shared" si="201"/>
        <v/>
      </c>
      <c r="W581" s="139" t="str">
        <f t="shared" si="202"/>
        <v/>
      </c>
      <c r="X581" s="327"/>
    </row>
    <row r="582" spans="1:24" ht="18.75" x14ac:dyDescent="0.25">
      <c r="A582" s="151">
        <v>1</v>
      </c>
      <c r="B582" s="106" t="str">
        <f>'Funding 2019'!$K$105</f>
        <v>EGMM0019X253</v>
      </c>
      <c r="C582" s="151">
        <v>5500011194</v>
      </c>
      <c r="D582" s="151"/>
      <c r="E582" s="152" t="s">
        <v>281</v>
      </c>
      <c r="F582" s="153">
        <f>3042000*0</f>
        <v>0</v>
      </c>
      <c r="G582" s="153"/>
      <c r="H582" s="153">
        <v>3312000</v>
      </c>
      <c r="J582" s="154">
        <f t="shared" si="229"/>
        <v>0</v>
      </c>
      <c r="K582" s="154">
        <f t="shared" si="229"/>
        <v>0</v>
      </c>
      <c r="L582" s="154">
        <f t="shared" si="229"/>
        <v>204.16718037233386</v>
      </c>
      <c r="N582" s="152" t="s">
        <v>165</v>
      </c>
      <c r="O582" s="155">
        <v>43518</v>
      </c>
      <c r="P582" s="155">
        <v>43483</v>
      </c>
      <c r="Q582" s="156">
        <f t="shared" si="215"/>
        <v>43466</v>
      </c>
      <c r="R582" s="155">
        <v>43525</v>
      </c>
      <c r="S582" s="156">
        <f t="shared" si="216"/>
        <v>43525</v>
      </c>
      <c r="T582" s="140" t="str">
        <f t="shared" ca="1" si="213"/>
        <v/>
      </c>
      <c r="U582" s="139" t="str">
        <f t="shared" si="200"/>
        <v/>
      </c>
      <c r="V582" s="139" t="str">
        <f t="shared" si="201"/>
        <v/>
      </c>
      <c r="W582" s="139" t="str">
        <f t="shared" si="202"/>
        <v/>
      </c>
      <c r="X582" s="327"/>
    </row>
    <row r="583" spans="1:24" ht="18.75" x14ac:dyDescent="0.25">
      <c r="A583" s="151">
        <v>2</v>
      </c>
      <c r="B583" s="106" t="str">
        <f>'Funding 2019'!$K$105</f>
        <v>EGMM0019X253</v>
      </c>
      <c r="C583" s="151">
        <v>6100000750</v>
      </c>
      <c r="D583" s="151">
        <v>330319808</v>
      </c>
      <c r="E583" s="152" t="s">
        <v>427</v>
      </c>
      <c r="F583" s="153"/>
      <c r="G583" s="153">
        <f>7189204*0</f>
        <v>0</v>
      </c>
      <c r="H583" s="153">
        <v>11004456</v>
      </c>
      <c r="J583" s="154">
        <f t="shared" ref="J583:J592" si="230">F583/$J$2</f>
        <v>0</v>
      </c>
      <c r="K583" s="154">
        <f t="shared" ref="K583:K592" si="231">G583/$J$2</f>
        <v>0</v>
      </c>
      <c r="L583" s="154">
        <f t="shared" ref="L583:L592" si="232">H583/$J$2</f>
        <v>678.36616939958083</v>
      </c>
      <c r="N583" s="152" t="s">
        <v>165</v>
      </c>
      <c r="O583" s="155">
        <v>43607</v>
      </c>
      <c r="P583" s="155">
        <v>43557</v>
      </c>
      <c r="Q583" s="156">
        <f t="shared" si="215"/>
        <v>43556</v>
      </c>
      <c r="R583" s="155">
        <v>43617</v>
      </c>
      <c r="S583" s="156">
        <f t="shared" si="216"/>
        <v>43617</v>
      </c>
      <c r="T583" s="140" t="str">
        <f t="shared" ca="1" si="213"/>
        <v/>
      </c>
      <c r="U583" s="139" t="str">
        <f t="shared" si="200"/>
        <v/>
      </c>
      <c r="V583" s="139" t="str">
        <f t="shared" si="201"/>
        <v/>
      </c>
      <c r="W583" s="139" t="str">
        <f t="shared" si="202"/>
        <v/>
      </c>
      <c r="X583" s="327"/>
    </row>
    <row r="584" spans="1:24" ht="18.75" x14ac:dyDescent="0.25">
      <c r="A584" s="151">
        <v>3</v>
      </c>
      <c r="B584" s="106" t="str">
        <f>'Funding 2019'!$K$105</f>
        <v>EGMM0019X253</v>
      </c>
      <c r="C584" s="151">
        <v>6100000770</v>
      </c>
      <c r="D584" s="151" t="s">
        <v>779</v>
      </c>
      <c r="E584" s="152" t="s">
        <v>498</v>
      </c>
      <c r="F584" s="153"/>
      <c r="G584" s="153">
        <f>0*2048670</f>
        <v>0</v>
      </c>
      <c r="H584" s="153">
        <v>4480840</v>
      </c>
      <c r="J584" s="154">
        <f t="shared" si="230"/>
        <v>0</v>
      </c>
      <c r="K584" s="154">
        <f t="shared" si="231"/>
        <v>0</v>
      </c>
      <c r="L584" s="154">
        <f t="shared" si="232"/>
        <v>276.21994821846874</v>
      </c>
      <c r="N584" s="152" t="s">
        <v>165</v>
      </c>
      <c r="O584" s="155">
        <v>43689</v>
      </c>
      <c r="P584" s="155">
        <v>43628</v>
      </c>
      <c r="Q584" s="156">
        <f t="shared" si="215"/>
        <v>43617</v>
      </c>
      <c r="R584" s="155">
        <v>43717</v>
      </c>
      <c r="S584" s="156">
        <f t="shared" si="216"/>
        <v>43709</v>
      </c>
      <c r="T584" s="140" t="str">
        <f t="shared" ca="1" si="213"/>
        <v/>
      </c>
      <c r="U584" s="139" t="str">
        <f t="shared" si="200"/>
        <v/>
      </c>
      <c r="V584" s="139" t="str">
        <f t="shared" si="201"/>
        <v/>
      </c>
      <c r="W584" s="139" t="str">
        <f t="shared" si="202"/>
        <v/>
      </c>
      <c r="X584" s="327"/>
    </row>
    <row r="585" spans="1:24" ht="18.75" x14ac:dyDescent="0.25">
      <c r="A585" s="151">
        <v>4</v>
      </c>
      <c r="B585" s="106" t="str">
        <f>'Funding 2019'!$K$105</f>
        <v>EGMM0019X253</v>
      </c>
      <c r="C585" s="151">
        <v>6100000772</v>
      </c>
      <c r="D585" s="151" t="s">
        <v>663</v>
      </c>
      <c r="E585" s="152" t="s">
        <v>499</v>
      </c>
      <c r="F585" s="153">
        <v>8019500</v>
      </c>
      <c r="G585" s="153"/>
      <c r="H585" s="153">
        <v>14524840</v>
      </c>
      <c r="J585" s="154">
        <f t="shared" si="230"/>
        <v>494.35951177413386</v>
      </c>
      <c r="K585" s="154">
        <f t="shared" si="231"/>
        <v>0</v>
      </c>
      <c r="L585" s="154">
        <f t="shared" si="232"/>
        <v>895.37911478239425</v>
      </c>
      <c r="N585" s="152" t="s">
        <v>500</v>
      </c>
      <c r="O585" s="155">
        <v>43682</v>
      </c>
      <c r="P585" s="155">
        <v>43679</v>
      </c>
      <c r="Q585" s="156">
        <f t="shared" si="215"/>
        <v>43678</v>
      </c>
      <c r="R585" s="155">
        <v>43686</v>
      </c>
      <c r="S585" s="156">
        <f t="shared" si="216"/>
        <v>43678</v>
      </c>
      <c r="T585" s="140">
        <f t="shared" ca="1" si="213"/>
        <v>91</v>
      </c>
      <c r="U585" s="139" t="str">
        <f t="shared" si="200"/>
        <v/>
      </c>
      <c r="V585" s="139" t="str">
        <f t="shared" si="201"/>
        <v/>
      </c>
      <c r="W585" s="139" t="str">
        <f t="shared" si="202"/>
        <v/>
      </c>
      <c r="X585" s="327"/>
    </row>
    <row r="586" spans="1:24" ht="18.75" x14ac:dyDescent="0.25">
      <c r="A586" s="151">
        <v>5</v>
      </c>
      <c r="B586" s="106" t="str">
        <f>'Funding 2019'!$K$105</f>
        <v>EGMM0019X253</v>
      </c>
      <c r="C586" s="151">
        <v>5500011837</v>
      </c>
      <c r="D586" s="151"/>
      <c r="E586" s="152" t="s">
        <v>630</v>
      </c>
      <c r="F586" s="153"/>
      <c r="G586" s="153"/>
      <c r="H586" s="153">
        <v>8200000</v>
      </c>
      <c r="J586" s="154">
        <f t="shared" si="230"/>
        <v>0</v>
      </c>
      <c r="K586" s="154">
        <f t="shared" si="231"/>
        <v>0</v>
      </c>
      <c r="L586" s="154">
        <f t="shared" si="232"/>
        <v>505.48637652570585</v>
      </c>
      <c r="N586" s="152" t="s">
        <v>199</v>
      </c>
      <c r="O586" s="155">
        <v>43738</v>
      </c>
      <c r="P586" s="155">
        <v>43675</v>
      </c>
      <c r="Q586" s="156">
        <f t="shared" si="215"/>
        <v>43647</v>
      </c>
      <c r="R586" s="155">
        <v>43735</v>
      </c>
      <c r="S586" s="156">
        <f t="shared" si="216"/>
        <v>43709</v>
      </c>
      <c r="T586" s="140" t="str">
        <f t="shared" ca="1" si="213"/>
        <v/>
      </c>
      <c r="U586" s="139" t="str">
        <f t="shared" si="200"/>
        <v/>
      </c>
      <c r="V586" s="139" t="str">
        <f t="shared" si="201"/>
        <v/>
      </c>
      <c r="W586" s="139" t="str">
        <f t="shared" si="202"/>
        <v/>
      </c>
      <c r="X586" s="327"/>
    </row>
    <row r="587" spans="1:24" ht="18.75" x14ac:dyDescent="0.25">
      <c r="A587" s="151">
        <v>6</v>
      </c>
      <c r="B587" s="106" t="str">
        <f>'Funding 2019'!$K$105</f>
        <v>EGMM0019X253</v>
      </c>
      <c r="C587" s="151"/>
      <c r="D587" s="151"/>
      <c r="E587" s="152"/>
      <c r="F587" s="153"/>
      <c r="G587" s="153"/>
      <c r="H587" s="153"/>
      <c r="J587" s="154">
        <f t="shared" si="230"/>
        <v>0</v>
      </c>
      <c r="K587" s="154">
        <f t="shared" si="231"/>
        <v>0</v>
      </c>
      <c r="L587" s="154">
        <f t="shared" si="232"/>
        <v>0</v>
      </c>
      <c r="N587" s="152"/>
      <c r="O587" s="155"/>
      <c r="P587" s="155"/>
      <c r="Q587" s="156" t="str">
        <f t="shared" si="215"/>
        <v/>
      </c>
      <c r="R587" s="155"/>
      <c r="S587" s="156" t="str">
        <f t="shared" si="216"/>
        <v/>
      </c>
      <c r="T587" s="140" t="str">
        <f t="shared" ca="1" si="213"/>
        <v/>
      </c>
      <c r="U587" s="139" t="str">
        <f t="shared" si="200"/>
        <v/>
      </c>
      <c r="V587" s="139" t="str">
        <f t="shared" si="201"/>
        <v/>
      </c>
      <c r="W587" s="139" t="str">
        <f t="shared" si="202"/>
        <v/>
      </c>
      <c r="X587" s="327"/>
    </row>
    <row r="588" spans="1:24" ht="18.75" x14ac:dyDescent="0.25">
      <c r="A588" s="151">
        <v>7</v>
      </c>
      <c r="B588" s="106" t="str">
        <f>'Funding 2019'!$K$105</f>
        <v>EGMM0019X253</v>
      </c>
      <c r="C588" s="151"/>
      <c r="D588" s="151"/>
      <c r="E588" s="152"/>
      <c r="F588" s="153"/>
      <c r="G588" s="153"/>
      <c r="H588" s="153"/>
      <c r="J588" s="154">
        <f t="shared" si="230"/>
        <v>0</v>
      </c>
      <c r="K588" s="154">
        <f t="shared" si="231"/>
        <v>0</v>
      </c>
      <c r="L588" s="154">
        <f t="shared" si="232"/>
        <v>0</v>
      </c>
      <c r="N588" s="152"/>
      <c r="O588" s="155"/>
      <c r="P588" s="155"/>
      <c r="Q588" s="156" t="str">
        <f t="shared" si="215"/>
        <v/>
      </c>
      <c r="R588" s="155"/>
      <c r="S588" s="156" t="str">
        <f t="shared" si="216"/>
        <v/>
      </c>
      <c r="T588" s="140" t="str">
        <f t="shared" ca="1" si="213"/>
        <v/>
      </c>
      <c r="U588" s="139" t="str">
        <f t="shared" si="200"/>
        <v/>
      </c>
      <c r="V588" s="139" t="str">
        <f t="shared" si="201"/>
        <v/>
      </c>
      <c r="W588" s="139" t="str">
        <f t="shared" si="202"/>
        <v/>
      </c>
      <c r="X588" s="327"/>
    </row>
    <row r="589" spans="1:24" ht="18.75" x14ac:dyDescent="0.25">
      <c r="A589" s="151">
        <v>8</v>
      </c>
      <c r="B589" s="106" t="str">
        <f>'Funding 2019'!$K$105</f>
        <v>EGMM0019X253</v>
      </c>
      <c r="C589" s="151"/>
      <c r="D589" s="151"/>
      <c r="E589" s="152"/>
      <c r="F589" s="153"/>
      <c r="G589" s="153"/>
      <c r="H589" s="153"/>
      <c r="J589" s="154">
        <f t="shared" si="230"/>
        <v>0</v>
      </c>
      <c r="K589" s="154">
        <f t="shared" si="231"/>
        <v>0</v>
      </c>
      <c r="L589" s="154">
        <f t="shared" si="232"/>
        <v>0</v>
      </c>
      <c r="N589" s="152"/>
      <c r="O589" s="155"/>
      <c r="P589" s="155"/>
      <c r="Q589" s="156" t="str">
        <f t="shared" si="215"/>
        <v/>
      </c>
      <c r="R589" s="155"/>
      <c r="S589" s="156" t="str">
        <f t="shared" si="216"/>
        <v/>
      </c>
      <c r="T589" s="140" t="str">
        <f t="shared" ca="1" si="213"/>
        <v/>
      </c>
      <c r="U589" s="139" t="str">
        <f t="shared" si="200"/>
        <v/>
      </c>
      <c r="V589" s="139" t="str">
        <f t="shared" si="201"/>
        <v/>
      </c>
      <c r="W589" s="139" t="str">
        <f t="shared" si="202"/>
        <v/>
      </c>
      <c r="X589" s="327"/>
    </row>
    <row r="590" spans="1:24" ht="18.75" x14ac:dyDescent="0.25">
      <c r="A590" s="151">
        <v>9</v>
      </c>
      <c r="B590" s="106" t="str">
        <f>'Funding 2019'!$K$105</f>
        <v>EGMM0019X253</v>
      </c>
      <c r="C590" s="151"/>
      <c r="D590" s="151"/>
      <c r="E590" s="152"/>
      <c r="F590" s="153"/>
      <c r="G590" s="153"/>
      <c r="H590" s="153"/>
      <c r="J590" s="154">
        <f t="shared" si="230"/>
        <v>0</v>
      </c>
      <c r="K590" s="154">
        <f t="shared" si="231"/>
        <v>0</v>
      </c>
      <c r="L590" s="154">
        <f t="shared" si="232"/>
        <v>0</v>
      </c>
      <c r="N590" s="152"/>
      <c r="O590" s="155"/>
      <c r="P590" s="155"/>
      <c r="Q590" s="156" t="str">
        <f t="shared" si="215"/>
        <v/>
      </c>
      <c r="R590" s="155"/>
      <c r="S590" s="156" t="str">
        <f t="shared" si="216"/>
        <v/>
      </c>
      <c r="T590" s="140" t="str">
        <f t="shared" ca="1" si="213"/>
        <v/>
      </c>
      <c r="U590" s="139" t="str">
        <f t="shared" ref="U590:U653" si="233">IF(A590="","",IF(AND(J590&gt;0,Q590=""), "RED",""))</f>
        <v/>
      </c>
      <c r="V590" s="139" t="str">
        <f t="shared" ref="V590:V653" si="234">IF(A590="","",IF(AND(K590&gt;0,Q590=""), "BLUE",""))</f>
        <v/>
      </c>
      <c r="W590" s="139" t="str">
        <f t="shared" ref="W590:W653" si="235">IF(A590="","",IF(AND(L590&gt;0,S590=""), "YELLOW",""))</f>
        <v/>
      </c>
      <c r="X590" s="327"/>
    </row>
    <row r="591" spans="1:24" ht="18.75" x14ac:dyDescent="0.25">
      <c r="A591" s="151">
        <v>10</v>
      </c>
      <c r="B591" s="106" t="str">
        <f>'Funding 2019'!$K$105</f>
        <v>EGMM0019X253</v>
      </c>
      <c r="C591" s="151"/>
      <c r="D591" s="151"/>
      <c r="E591" s="152"/>
      <c r="F591" s="153"/>
      <c r="G591" s="153"/>
      <c r="H591" s="153"/>
      <c r="J591" s="154">
        <f t="shared" si="230"/>
        <v>0</v>
      </c>
      <c r="K591" s="154">
        <f t="shared" si="231"/>
        <v>0</v>
      </c>
      <c r="L591" s="154">
        <f t="shared" si="232"/>
        <v>0</v>
      </c>
      <c r="N591" s="152"/>
      <c r="O591" s="155"/>
      <c r="P591" s="155"/>
      <c r="Q591" s="156" t="str">
        <f t="shared" si="215"/>
        <v/>
      </c>
      <c r="R591" s="155"/>
      <c r="S591" s="156" t="str">
        <f t="shared" si="216"/>
        <v/>
      </c>
      <c r="T591" s="140" t="str">
        <f t="shared" ref="T591:T655" ca="1" si="236">IF(R591="",IF(O591="",IF(P591="","",IF(P591-TODAY()&lt;=0,TODAY()-P591,"")),IF(O591-TODAY()&lt;=0,TODAY()-O591,"")),IF(SUM(F591:G591)&lt;&gt;0,IF(O591="",IF(P591="","",IF(P591-TODAY()&lt;=0,TODAY()-P591,"")),IF(O591-TODAY()&lt;=0,TODAY()-O591,"")),""))</f>
        <v/>
      </c>
      <c r="U591" s="139" t="str">
        <f t="shared" si="233"/>
        <v/>
      </c>
      <c r="V591" s="139" t="str">
        <f t="shared" si="234"/>
        <v/>
      </c>
      <c r="W591" s="139" t="str">
        <f t="shared" si="235"/>
        <v/>
      </c>
      <c r="X591" s="327"/>
    </row>
    <row r="592" spans="1:24" ht="18.75" x14ac:dyDescent="0.25">
      <c r="A592" s="151">
        <v>11</v>
      </c>
      <c r="B592" s="106" t="str">
        <f>'Funding 2019'!$K$105</f>
        <v>EGMM0019X253</v>
      </c>
      <c r="C592" s="151"/>
      <c r="D592" s="151"/>
      <c r="E592" s="152"/>
      <c r="F592" s="166"/>
      <c r="G592" s="166"/>
      <c r="H592" s="166"/>
      <c r="J592" s="154">
        <f t="shared" si="230"/>
        <v>0</v>
      </c>
      <c r="K592" s="154">
        <f t="shared" si="231"/>
        <v>0</v>
      </c>
      <c r="L592" s="154">
        <f t="shared" si="232"/>
        <v>0</v>
      </c>
      <c r="N592" s="152"/>
      <c r="O592" s="155"/>
      <c r="P592" s="155"/>
      <c r="Q592" s="156" t="str">
        <f t="shared" si="215"/>
        <v/>
      </c>
      <c r="R592" s="155"/>
      <c r="S592" s="156" t="str">
        <f t="shared" si="216"/>
        <v/>
      </c>
      <c r="T592" s="140" t="str">
        <f t="shared" ca="1" si="236"/>
        <v/>
      </c>
      <c r="U592" s="139" t="str">
        <f t="shared" si="233"/>
        <v/>
      </c>
      <c r="V592" s="139" t="str">
        <f t="shared" si="234"/>
        <v/>
      </c>
      <c r="W592" s="139" t="str">
        <f t="shared" si="235"/>
        <v/>
      </c>
      <c r="X592" s="327"/>
    </row>
    <row r="593" spans="1:25" ht="18.75" x14ac:dyDescent="0.25">
      <c r="A593" s="157"/>
      <c r="B593" s="158"/>
      <c r="C593" s="157"/>
      <c r="D593" s="157"/>
      <c r="E593" s="159"/>
      <c r="F593" s="160">
        <f>SUM(F581:F592)</f>
        <v>8019500</v>
      </c>
      <c r="G593" s="160">
        <f>SUM(G581:G592)</f>
        <v>0</v>
      </c>
      <c r="H593" s="160">
        <f>SUM(H581:H592)</f>
        <v>41522136</v>
      </c>
      <c r="J593" s="161">
        <f>F593/$J$2</f>
        <v>494.35951177413386</v>
      </c>
      <c r="K593" s="161">
        <f>G593/$J$2</f>
        <v>0</v>
      </c>
      <c r="L593" s="161">
        <f>H593/$J$2</f>
        <v>2559.6187892984835</v>
      </c>
      <c r="N593" s="159"/>
      <c r="O593" s="162"/>
      <c r="P593" s="162"/>
      <c r="Q593" s="156" t="str">
        <f t="shared" si="215"/>
        <v/>
      </c>
      <c r="R593" s="162"/>
      <c r="S593" s="156" t="str">
        <f t="shared" si="216"/>
        <v/>
      </c>
      <c r="T593" s="140" t="str">
        <f t="shared" ca="1" si="236"/>
        <v/>
      </c>
      <c r="U593" s="139" t="str">
        <f t="shared" si="233"/>
        <v/>
      </c>
      <c r="V593" s="139" t="str">
        <f t="shared" si="234"/>
        <v/>
      </c>
      <c r="W593" s="139" t="str">
        <f t="shared" si="235"/>
        <v/>
      </c>
      <c r="X593" s="327"/>
    </row>
    <row r="594" spans="1:25" ht="18.75" x14ac:dyDescent="0.25">
      <c r="Q594" s="156" t="str">
        <f t="shared" si="215"/>
        <v/>
      </c>
      <c r="S594" s="156" t="str">
        <f t="shared" si="216"/>
        <v/>
      </c>
      <c r="T594" s="140" t="str">
        <f t="shared" ca="1" si="236"/>
        <v/>
      </c>
      <c r="U594" s="139" t="str">
        <f t="shared" si="233"/>
        <v/>
      </c>
      <c r="V594" s="139" t="str">
        <f t="shared" si="234"/>
        <v/>
      </c>
      <c r="W594" s="139" t="str">
        <f t="shared" si="235"/>
        <v/>
      </c>
      <c r="X594" s="327"/>
    </row>
    <row r="595" spans="1:25" ht="18.75" x14ac:dyDescent="0.25">
      <c r="A595" s="163" t="str">
        <f>'Funding 2019'!L119</f>
        <v>One Time Cost Related to Product</v>
      </c>
      <c r="B595" s="113" t="str">
        <f>'Funding 2019'!L106</f>
        <v>M264 - TA Engine</v>
      </c>
      <c r="C595" s="147"/>
      <c r="D595" s="147"/>
      <c r="E595" s="148"/>
      <c r="F595" s="148"/>
      <c r="G595" s="148"/>
      <c r="H595" s="148"/>
      <c r="J595" s="149">
        <f>F595/$J$2</f>
        <v>0</v>
      </c>
      <c r="K595" s="149">
        <f>G595/$J$2</f>
        <v>0</v>
      </c>
      <c r="L595" s="149">
        <f>H595/$J$2</f>
        <v>0</v>
      </c>
      <c r="N595" s="148"/>
      <c r="O595" s="150"/>
      <c r="P595" s="150"/>
      <c r="Q595" s="156" t="str">
        <f t="shared" si="215"/>
        <v/>
      </c>
      <c r="R595" s="150"/>
      <c r="S595" s="156" t="str">
        <f t="shared" si="216"/>
        <v/>
      </c>
      <c r="T595" s="140" t="str">
        <f t="shared" ca="1" si="236"/>
        <v/>
      </c>
      <c r="U595" s="139" t="str">
        <f t="shared" si="233"/>
        <v/>
      </c>
      <c r="V595" s="139" t="str">
        <f t="shared" si="234"/>
        <v/>
      </c>
      <c r="W595" s="139" t="str">
        <f t="shared" si="235"/>
        <v/>
      </c>
      <c r="X595" s="327"/>
    </row>
    <row r="596" spans="1:25" ht="18.75" x14ac:dyDescent="0.25">
      <c r="A596" s="151">
        <v>1</v>
      </c>
      <c r="B596" s="106" t="str">
        <f>'Funding 2019'!$K$106</f>
        <v>EGMM0019M264</v>
      </c>
      <c r="C596" s="151">
        <v>6100000709</v>
      </c>
      <c r="D596" s="151" t="s">
        <v>203</v>
      </c>
      <c r="E596" s="152" t="s">
        <v>282</v>
      </c>
      <c r="F596" s="166"/>
      <c r="G596" s="166">
        <f>326430*0</f>
        <v>0</v>
      </c>
      <c r="H596" s="183">
        <v>24050774</v>
      </c>
      <c r="J596" s="154">
        <f t="shared" ref="J596:J615" si="237">F596/$J$2</f>
        <v>0</v>
      </c>
      <c r="K596" s="154">
        <f t="shared" ref="K596:K615" si="238">G596/$J$2</f>
        <v>0</v>
      </c>
      <c r="L596" s="154">
        <f t="shared" ref="L596:L615" si="239">H596/$J$2</f>
        <v>1482.6022685242262</v>
      </c>
      <c r="N596" s="152" t="s">
        <v>165</v>
      </c>
      <c r="O596" s="155">
        <v>43532</v>
      </c>
      <c r="P596" s="155">
        <v>43477</v>
      </c>
      <c r="Q596" s="156">
        <f t="shared" si="215"/>
        <v>43466</v>
      </c>
      <c r="R596" s="155">
        <v>43497</v>
      </c>
      <c r="S596" s="156">
        <f t="shared" si="216"/>
        <v>43497</v>
      </c>
      <c r="T596" s="140" t="str">
        <f t="shared" ca="1" si="236"/>
        <v/>
      </c>
      <c r="U596" s="139" t="str">
        <f t="shared" si="233"/>
        <v/>
      </c>
      <c r="V596" s="139" t="str">
        <f t="shared" si="234"/>
        <v/>
      </c>
      <c r="W596" s="139" t="str">
        <f t="shared" si="235"/>
        <v/>
      </c>
      <c r="X596" s="327"/>
    </row>
    <row r="597" spans="1:25" ht="18.75" x14ac:dyDescent="0.25">
      <c r="A597" s="151">
        <v>2</v>
      </c>
      <c r="B597" s="106" t="str">
        <f>'Funding 2019'!$K$106</f>
        <v>EGMM0019M264</v>
      </c>
      <c r="C597" s="151">
        <v>6100000709</v>
      </c>
      <c r="D597" s="151" t="s">
        <v>247</v>
      </c>
      <c r="E597" s="152" t="s">
        <v>282</v>
      </c>
      <c r="F597" s="166"/>
      <c r="G597" s="171">
        <v>2811348</v>
      </c>
      <c r="H597" s="166"/>
      <c r="J597" s="154">
        <f t="shared" si="237"/>
        <v>0</v>
      </c>
      <c r="K597" s="154">
        <f t="shared" si="238"/>
        <v>173.30464800887682</v>
      </c>
      <c r="L597" s="154">
        <f t="shared" si="239"/>
        <v>0</v>
      </c>
      <c r="N597" s="152" t="s">
        <v>165</v>
      </c>
      <c r="O597" s="155">
        <v>43714</v>
      </c>
      <c r="P597" s="155">
        <v>43477</v>
      </c>
      <c r="Q597" s="156">
        <f t="shared" si="215"/>
        <v>43466</v>
      </c>
      <c r="R597" s="155"/>
      <c r="S597" s="156" t="str">
        <f t="shared" si="216"/>
        <v/>
      </c>
      <c r="T597" s="140">
        <f t="shared" ca="1" si="236"/>
        <v>59</v>
      </c>
      <c r="U597" s="139" t="str">
        <f t="shared" si="233"/>
        <v/>
      </c>
      <c r="V597" s="139" t="str">
        <f t="shared" si="234"/>
        <v/>
      </c>
      <c r="W597" s="139" t="str">
        <f t="shared" si="235"/>
        <v/>
      </c>
      <c r="X597" s="327"/>
    </row>
    <row r="598" spans="1:25" ht="18.75" x14ac:dyDescent="0.25">
      <c r="A598" s="151">
        <v>3</v>
      </c>
      <c r="B598" s="106" t="str">
        <f>'Funding 2019'!$K$106</f>
        <v>EGMM0019M264</v>
      </c>
      <c r="C598" s="151">
        <v>3100007216</v>
      </c>
      <c r="D598" s="151"/>
      <c r="E598" s="152" t="s">
        <v>283</v>
      </c>
      <c r="F598" s="166">
        <f>43200000*0</f>
        <v>0</v>
      </c>
      <c r="G598" s="166"/>
      <c r="H598" s="166">
        <v>40815672</v>
      </c>
      <c r="J598" s="154">
        <f t="shared" si="237"/>
        <v>0</v>
      </c>
      <c r="K598" s="154">
        <f t="shared" si="238"/>
        <v>0</v>
      </c>
      <c r="L598" s="154">
        <f t="shared" si="239"/>
        <v>2516.0690420416718</v>
      </c>
      <c r="N598" s="152" t="s">
        <v>204</v>
      </c>
      <c r="O598" s="155">
        <v>43524</v>
      </c>
      <c r="P598" s="155">
        <v>43475</v>
      </c>
      <c r="Q598" s="156">
        <f t="shared" ref="Q598:Q661" si="240">IF(P598="","",IF(YEAR(P598)&lt;=2018,DATE(2018,12,31),EOMONTH(P598,-1)+1))</f>
        <v>43466</v>
      </c>
      <c r="R598" s="155">
        <v>43556</v>
      </c>
      <c r="S598" s="156">
        <f t="shared" ref="S598:S661" si="241">IF(R598="","",IF(YEAR(R598)&lt;=2018,DATE(2018,12,31),EOMONTH(R598,-1)+1))</f>
        <v>43556</v>
      </c>
      <c r="T598" s="140" t="str">
        <f t="shared" ca="1" si="236"/>
        <v/>
      </c>
      <c r="U598" s="139" t="str">
        <f t="shared" si="233"/>
        <v/>
      </c>
      <c r="V598" s="139" t="str">
        <f t="shared" si="234"/>
        <v/>
      </c>
      <c r="W598" s="139" t="str">
        <f t="shared" si="235"/>
        <v/>
      </c>
      <c r="X598" s="327"/>
    </row>
    <row r="599" spans="1:25" ht="18.75" x14ac:dyDescent="0.25">
      <c r="A599" s="151">
        <v>4</v>
      </c>
      <c r="B599" s="106" t="str">
        <f>'Funding 2019'!$K$106</f>
        <v>EGMM0019M264</v>
      </c>
      <c r="C599" s="151">
        <v>3100007217</v>
      </c>
      <c r="D599" s="151"/>
      <c r="E599" s="152" t="s">
        <v>284</v>
      </c>
      <c r="F599" s="166">
        <f>44200000*0</f>
        <v>0</v>
      </c>
      <c r="G599" s="166"/>
      <c r="H599" s="166">
        <v>39269312</v>
      </c>
      <c r="J599" s="154">
        <f t="shared" si="237"/>
        <v>0</v>
      </c>
      <c r="K599" s="154">
        <f t="shared" si="238"/>
        <v>0</v>
      </c>
      <c r="L599" s="154">
        <f t="shared" si="239"/>
        <v>2420.7441745777342</v>
      </c>
      <c r="N599" s="152" t="s">
        <v>249</v>
      </c>
      <c r="O599" s="155">
        <v>43524</v>
      </c>
      <c r="P599" s="155">
        <v>43475</v>
      </c>
      <c r="Q599" s="156">
        <f t="shared" si="240"/>
        <v>43466</v>
      </c>
      <c r="R599" s="155">
        <v>43556</v>
      </c>
      <c r="S599" s="156">
        <f t="shared" si="241"/>
        <v>43556</v>
      </c>
      <c r="T599" s="140" t="str">
        <f t="shared" ca="1" si="236"/>
        <v/>
      </c>
      <c r="U599" s="139" t="str">
        <f t="shared" si="233"/>
        <v/>
      </c>
      <c r="V599" s="139" t="str">
        <f t="shared" si="234"/>
        <v/>
      </c>
      <c r="W599" s="139" t="str">
        <f t="shared" si="235"/>
        <v/>
      </c>
      <c r="X599" s="327"/>
    </row>
    <row r="600" spans="1:25" ht="18.75" x14ac:dyDescent="0.25">
      <c r="A600" s="151">
        <v>5</v>
      </c>
      <c r="B600" s="106" t="str">
        <f>'Funding 2019'!$K$106</f>
        <v>EGMM0019M264</v>
      </c>
      <c r="C600" s="151">
        <v>6100000726</v>
      </c>
      <c r="D600" s="151">
        <v>310219350</v>
      </c>
      <c r="E600" s="152" t="s">
        <v>285</v>
      </c>
      <c r="F600" s="166"/>
      <c r="G600" s="166">
        <f>4613147*0</f>
        <v>0</v>
      </c>
      <c r="H600" s="183">
        <v>4532543</v>
      </c>
      <c r="J600" s="154">
        <f t="shared" si="237"/>
        <v>0</v>
      </c>
      <c r="K600" s="154">
        <f t="shared" si="238"/>
        <v>0</v>
      </c>
      <c r="L600" s="154">
        <f t="shared" si="239"/>
        <v>279.40716311182342</v>
      </c>
      <c r="N600" s="152" t="s">
        <v>165</v>
      </c>
      <c r="O600" s="155">
        <v>43531</v>
      </c>
      <c r="P600" s="155">
        <v>43504</v>
      </c>
      <c r="Q600" s="156">
        <f t="shared" si="240"/>
        <v>43497</v>
      </c>
      <c r="R600" s="155">
        <v>43556</v>
      </c>
      <c r="S600" s="156">
        <f t="shared" si="241"/>
        <v>43556</v>
      </c>
      <c r="T600" s="140" t="str">
        <f t="shared" ca="1" si="236"/>
        <v/>
      </c>
      <c r="U600" s="139" t="str">
        <f t="shared" si="233"/>
        <v/>
      </c>
      <c r="V600" s="139" t="str">
        <f t="shared" si="234"/>
        <v/>
      </c>
      <c r="W600" s="139" t="str">
        <f t="shared" si="235"/>
        <v/>
      </c>
      <c r="X600" s="327"/>
    </row>
    <row r="601" spans="1:25" ht="18.75" x14ac:dyDescent="0.25">
      <c r="A601" s="151">
        <v>6</v>
      </c>
      <c r="B601" s="106" t="str">
        <f>'Funding 2019'!$K$106</f>
        <v>EGMM0019M264</v>
      </c>
      <c r="C601" s="151">
        <v>4400000640</v>
      </c>
      <c r="D601" s="151">
        <v>7500000614</v>
      </c>
      <c r="E601" s="152" t="s">
        <v>286</v>
      </c>
      <c r="F601" s="166"/>
      <c r="G601" s="166">
        <f>267510022*0</f>
        <v>0</v>
      </c>
      <c r="H601" s="183">
        <v>267510022</v>
      </c>
      <c r="J601" s="154">
        <f t="shared" si="237"/>
        <v>0</v>
      </c>
      <c r="K601" s="154">
        <f t="shared" si="238"/>
        <v>0</v>
      </c>
      <c r="L601" s="154">
        <f t="shared" si="239"/>
        <v>16490.569720133153</v>
      </c>
      <c r="N601" s="152" t="s">
        <v>248</v>
      </c>
      <c r="O601" s="155">
        <v>43642</v>
      </c>
      <c r="P601" s="155">
        <v>43504</v>
      </c>
      <c r="Q601" s="156">
        <f t="shared" si="240"/>
        <v>43497</v>
      </c>
      <c r="R601" s="155">
        <v>43617</v>
      </c>
      <c r="S601" s="156">
        <f t="shared" si="241"/>
        <v>43617</v>
      </c>
      <c r="T601" s="140" t="str">
        <f t="shared" ca="1" si="236"/>
        <v/>
      </c>
      <c r="U601" s="139" t="str">
        <f t="shared" si="233"/>
        <v/>
      </c>
      <c r="V601" s="139" t="str">
        <f t="shared" si="234"/>
        <v/>
      </c>
      <c r="W601" s="139" t="str">
        <f t="shared" si="235"/>
        <v/>
      </c>
      <c r="X601" s="327"/>
    </row>
    <row r="602" spans="1:25" ht="18.75" x14ac:dyDescent="0.25">
      <c r="A602" s="151">
        <v>7</v>
      </c>
      <c r="B602" s="106" t="str">
        <f>'Funding 2019'!$K$106</f>
        <v>EGMM0019M264</v>
      </c>
      <c r="C602" s="151">
        <v>5300000208</v>
      </c>
      <c r="D602" s="151">
        <v>4500134550</v>
      </c>
      <c r="E602" s="152" t="s">
        <v>287</v>
      </c>
      <c r="F602" s="166"/>
      <c r="G602" s="287"/>
      <c r="H602" s="287">
        <v>1772928000</v>
      </c>
      <c r="J602" s="154">
        <f t="shared" si="237"/>
        <v>0</v>
      </c>
      <c r="K602" s="154">
        <f t="shared" si="238"/>
        <v>0</v>
      </c>
      <c r="L602" s="154">
        <f t="shared" si="239"/>
        <v>109291.57933670325</v>
      </c>
      <c r="N602" s="152" t="s">
        <v>248</v>
      </c>
      <c r="O602" s="318">
        <v>43799</v>
      </c>
      <c r="P602" s="155">
        <v>43507</v>
      </c>
      <c r="Q602" s="156">
        <f t="shared" si="240"/>
        <v>43497</v>
      </c>
      <c r="R602" s="155">
        <v>43747</v>
      </c>
      <c r="S602" s="156">
        <f t="shared" si="241"/>
        <v>43739</v>
      </c>
      <c r="T602" s="140" t="str">
        <f t="shared" ca="1" si="236"/>
        <v/>
      </c>
      <c r="U602" s="139" t="str">
        <f t="shared" si="233"/>
        <v/>
      </c>
      <c r="V602" s="139" t="str">
        <f t="shared" si="234"/>
        <v/>
      </c>
      <c r="W602" s="139" t="str">
        <f t="shared" si="235"/>
        <v/>
      </c>
      <c r="X602" s="327"/>
    </row>
    <row r="603" spans="1:25" ht="18.75" x14ac:dyDescent="0.25">
      <c r="A603" s="151">
        <v>8</v>
      </c>
      <c r="B603" s="106" t="str">
        <f>'Funding 2019'!$K$106</f>
        <v>EGMM0019M264</v>
      </c>
      <c r="C603" s="151">
        <v>2100011597</v>
      </c>
      <c r="D603" s="151" t="s">
        <v>408</v>
      </c>
      <c r="E603" s="152" t="s">
        <v>409</v>
      </c>
      <c r="F603" s="166"/>
      <c r="G603" s="166"/>
      <c r="H603" s="183">
        <v>50000000</v>
      </c>
      <c r="J603" s="154">
        <f t="shared" si="237"/>
        <v>0</v>
      </c>
      <c r="K603" s="154">
        <f t="shared" si="238"/>
        <v>0</v>
      </c>
      <c r="L603" s="154">
        <f t="shared" si="239"/>
        <v>3082.2340032055235</v>
      </c>
      <c r="N603" s="152" t="s">
        <v>165</v>
      </c>
      <c r="O603" s="155">
        <v>43531</v>
      </c>
      <c r="P603" s="155">
        <v>43509</v>
      </c>
      <c r="Q603" s="156">
        <f t="shared" si="240"/>
        <v>43497</v>
      </c>
      <c r="R603" s="155">
        <v>43556</v>
      </c>
      <c r="S603" s="156">
        <f t="shared" si="241"/>
        <v>43556</v>
      </c>
      <c r="T603" s="140" t="str">
        <f t="shared" ca="1" si="236"/>
        <v/>
      </c>
      <c r="U603" s="139" t="str">
        <f t="shared" si="233"/>
        <v/>
      </c>
      <c r="V603" s="139" t="str">
        <f t="shared" si="234"/>
        <v/>
      </c>
      <c r="W603" s="139" t="str">
        <f t="shared" si="235"/>
        <v/>
      </c>
      <c r="X603" s="327"/>
    </row>
    <row r="604" spans="1:25" ht="18.75" x14ac:dyDescent="0.25">
      <c r="A604" s="151">
        <v>9</v>
      </c>
      <c r="B604" s="106" t="str">
        <f>'Funding 2019'!$K$106</f>
        <v>EGMM0019M264</v>
      </c>
      <c r="C604" s="151">
        <v>4400000715</v>
      </c>
      <c r="D604" s="151" t="s">
        <v>410</v>
      </c>
      <c r="E604" s="152" t="s">
        <v>411</v>
      </c>
      <c r="F604" s="166"/>
      <c r="G604" s="166"/>
      <c r="H604" s="183">
        <v>2185000</v>
      </c>
      <c r="J604" s="154">
        <f t="shared" si="237"/>
        <v>0</v>
      </c>
      <c r="K604" s="154">
        <f t="shared" si="238"/>
        <v>0</v>
      </c>
      <c r="L604" s="154">
        <f t="shared" si="239"/>
        <v>134.69362594008138</v>
      </c>
      <c r="N604" s="152" t="s">
        <v>199</v>
      </c>
      <c r="O604" s="155">
        <v>43589</v>
      </c>
      <c r="P604" s="155">
        <v>43556</v>
      </c>
      <c r="Q604" s="156">
        <f t="shared" si="240"/>
        <v>43556</v>
      </c>
      <c r="R604" s="155">
        <v>43556</v>
      </c>
      <c r="S604" s="156">
        <f t="shared" si="241"/>
        <v>43556</v>
      </c>
      <c r="T604" s="140" t="str">
        <f t="shared" ca="1" si="236"/>
        <v/>
      </c>
      <c r="U604" s="139" t="str">
        <f t="shared" si="233"/>
        <v/>
      </c>
      <c r="V604" s="139" t="str">
        <f t="shared" si="234"/>
        <v/>
      </c>
      <c r="W604" s="139" t="str">
        <f t="shared" si="235"/>
        <v/>
      </c>
      <c r="X604" s="327"/>
    </row>
    <row r="605" spans="1:25" ht="18.75" x14ac:dyDescent="0.25">
      <c r="A605" s="151">
        <v>10</v>
      </c>
      <c r="B605" s="106" t="str">
        <f>'Funding 2019'!$K$106</f>
        <v>EGMM0019M264</v>
      </c>
      <c r="C605" s="151">
        <v>5500011395</v>
      </c>
      <c r="D605" s="151"/>
      <c r="E605" s="152" t="s">
        <v>412</v>
      </c>
      <c r="F605" s="166">
        <f>13000000*0</f>
        <v>0</v>
      </c>
      <c r="G605" s="166"/>
      <c r="H605" s="166"/>
      <c r="J605" s="154">
        <f t="shared" si="237"/>
        <v>0</v>
      </c>
      <c r="K605" s="154">
        <f t="shared" si="238"/>
        <v>0</v>
      </c>
      <c r="L605" s="154">
        <f t="shared" si="239"/>
        <v>0</v>
      </c>
      <c r="N605" s="152" t="s">
        <v>248</v>
      </c>
      <c r="O605" s="155"/>
      <c r="P605" s="155"/>
      <c r="Q605" s="156" t="str">
        <f t="shared" si="240"/>
        <v/>
      </c>
      <c r="R605" s="155"/>
      <c r="S605" s="156" t="str">
        <f t="shared" si="241"/>
        <v/>
      </c>
      <c r="T605" s="140" t="str">
        <f t="shared" ca="1" si="236"/>
        <v/>
      </c>
      <c r="U605" s="139" t="str">
        <f t="shared" si="233"/>
        <v/>
      </c>
      <c r="V605" s="139" t="str">
        <f t="shared" si="234"/>
        <v/>
      </c>
      <c r="W605" s="139" t="str">
        <f t="shared" si="235"/>
        <v/>
      </c>
      <c r="X605" s="327"/>
    </row>
    <row r="606" spans="1:25" ht="18.75" x14ac:dyDescent="0.25">
      <c r="A606" s="151">
        <v>11</v>
      </c>
      <c r="B606" s="331" t="str">
        <f>'Funding 2019'!$K$106</f>
        <v>EGMM0019M264</v>
      </c>
      <c r="C606" s="283">
        <v>5500011372</v>
      </c>
      <c r="D606" s="283"/>
      <c r="E606" s="284" t="s">
        <v>413</v>
      </c>
      <c r="F606" s="376"/>
      <c r="G606" s="280"/>
      <c r="H606" s="166">
        <v>10936080</v>
      </c>
      <c r="J606" s="154">
        <f t="shared" si="237"/>
        <v>0</v>
      </c>
      <c r="K606" s="154">
        <f t="shared" si="238"/>
        <v>0</v>
      </c>
      <c r="L606" s="154">
        <f t="shared" si="239"/>
        <v>674.15115275551716</v>
      </c>
      <c r="N606" s="152" t="s">
        <v>165</v>
      </c>
      <c r="O606" s="155">
        <v>43628</v>
      </c>
      <c r="P606" s="155">
        <v>43536</v>
      </c>
      <c r="Q606" s="156">
        <f t="shared" si="240"/>
        <v>43525</v>
      </c>
      <c r="R606" s="155">
        <v>43586</v>
      </c>
      <c r="S606" s="156">
        <f t="shared" si="241"/>
        <v>43586</v>
      </c>
      <c r="T606" s="140" t="str">
        <f t="shared" ca="1" si="236"/>
        <v/>
      </c>
      <c r="U606" s="139" t="str">
        <f t="shared" si="233"/>
        <v/>
      </c>
      <c r="V606" s="139" t="str">
        <f t="shared" si="234"/>
        <v/>
      </c>
      <c r="W606" s="139" t="str">
        <f t="shared" si="235"/>
        <v/>
      </c>
      <c r="X606" s="327"/>
      <c r="Y606" s="139" t="s">
        <v>834</v>
      </c>
    </row>
    <row r="607" spans="1:25" ht="18.75" x14ac:dyDescent="0.25">
      <c r="A607" s="151">
        <v>12</v>
      </c>
      <c r="B607" s="106" t="str">
        <f>'Funding 2019'!$K$106</f>
        <v>EGMM0019M264</v>
      </c>
      <c r="C607" s="151">
        <v>5500011393</v>
      </c>
      <c r="D607" s="151"/>
      <c r="E607" s="152" t="s">
        <v>414</v>
      </c>
      <c r="F607" s="166">
        <f>375000*0</f>
        <v>0</v>
      </c>
      <c r="G607" s="166"/>
      <c r="H607" s="166">
        <v>3750000</v>
      </c>
      <c r="J607" s="154">
        <f t="shared" si="237"/>
        <v>0</v>
      </c>
      <c r="K607" s="154">
        <f t="shared" si="238"/>
        <v>0</v>
      </c>
      <c r="L607" s="154">
        <f t="shared" si="239"/>
        <v>231.16755024041424</v>
      </c>
      <c r="N607" s="152" t="s">
        <v>248</v>
      </c>
      <c r="O607" s="155">
        <v>43644</v>
      </c>
      <c r="P607" s="155">
        <v>43542</v>
      </c>
      <c r="Q607" s="156">
        <f t="shared" si="240"/>
        <v>43525</v>
      </c>
      <c r="R607" s="155">
        <v>43586</v>
      </c>
      <c r="S607" s="156">
        <f t="shared" si="241"/>
        <v>43586</v>
      </c>
      <c r="T607" s="140" t="str">
        <f t="shared" ca="1" si="236"/>
        <v/>
      </c>
      <c r="U607" s="139" t="str">
        <f t="shared" si="233"/>
        <v/>
      </c>
      <c r="V607" s="139" t="str">
        <f t="shared" si="234"/>
        <v/>
      </c>
      <c r="W607" s="139" t="str">
        <f t="shared" si="235"/>
        <v/>
      </c>
      <c r="X607" s="327"/>
    </row>
    <row r="608" spans="1:25" ht="18.75" x14ac:dyDescent="0.25">
      <c r="A608" s="151">
        <v>13</v>
      </c>
      <c r="B608" s="106" t="str">
        <f>'Funding 2019'!$K$106</f>
        <v>EGMM0019M264</v>
      </c>
      <c r="C608" s="151">
        <v>5500011444</v>
      </c>
      <c r="D608" s="151"/>
      <c r="E608" s="152" t="s">
        <v>415</v>
      </c>
      <c r="F608" s="166">
        <f>7514665*0</f>
        <v>0</v>
      </c>
      <c r="G608" s="166"/>
      <c r="H608" s="166">
        <v>7514665</v>
      </c>
      <c r="J608" s="154">
        <f t="shared" si="237"/>
        <v>0</v>
      </c>
      <c r="K608" s="154">
        <f t="shared" si="238"/>
        <v>0</v>
      </c>
      <c r="L608" s="154">
        <f t="shared" si="239"/>
        <v>463.23911971396871</v>
      </c>
      <c r="N608" s="152" t="s">
        <v>165</v>
      </c>
      <c r="O608" s="155">
        <v>43612</v>
      </c>
      <c r="P608" s="155">
        <v>43551</v>
      </c>
      <c r="Q608" s="156">
        <f t="shared" si="240"/>
        <v>43525</v>
      </c>
      <c r="R608" s="155">
        <v>43586</v>
      </c>
      <c r="S608" s="156">
        <f t="shared" si="241"/>
        <v>43586</v>
      </c>
      <c r="T608" s="140" t="str">
        <f t="shared" ca="1" si="236"/>
        <v/>
      </c>
      <c r="U608" s="139" t="str">
        <f t="shared" si="233"/>
        <v/>
      </c>
      <c r="V608" s="139" t="str">
        <f t="shared" si="234"/>
        <v/>
      </c>
      <c r="W608" s="139" t="str">
        <f t="shared" si="235"/>
        <v/>
      </c>
      <c r="X608" s="327"/>
    </row>
    <row r="609" spans="1:25" ht="18.75" x14ac:dyDescent="0.25">
      <c r="A609" s="151">
        <v>14</v>
      </c>
      <c r="B609" s="106" t="str">
        <f>'Funding 2019'!$K$106</f>
        <v>EGMM0019M264</v>
      </c>
      <c r="C609" s="151">
        <v>5500011449</v>
      </c>
      <c r="D609" s="151"/>
      <c r="E609" s="152" t="s">
        <v>416</v>
      </c>
      <c r="F609" s="166">
        <f>5072400*0</f>
        <v>0</v>
      </c>
      <c r="G609" s="166"/>
      <c r="H609" s="166">
        <v>5072400</v>
      </c>
      <c r="J609" s="154">
        <f t="shared" si="237"/>
        <v>0</v>
      </c>
      <c r="K609" s="154">
        <f t="shared" si="238"/>
        <v>0</v>
      </c>
      <c r="L609" s="154">
        <f t="shared" si="239"/>
        <v>312.68647515719391</v>
      </c>
      <c r="N609" s="152" t="s">
        <v>165</v>
      </c>
      <c r="O609" s="155">
        <v>43588</v>
      </c>
      <c r="P609" s="155">
        <v>43553</v>
      </c>
      <c r="Q609" s="156">
        <f t="shared" si="240"/>
        <v>43525</v>
      </c>
      <c r="R609" s="155">
        <v>43586</v>
      </c>
      <c r="S609" s="156">
        <f t="shared" si="241"/>
        <v>43586</v>
      </c>
      <c r="T609" s="140" t="str">
        <f t="shared" ca="1" si="236"/>
        <v/>
      </c>
      <c r="U609" s="139" t="str">
        <f t="shared" si="233"/>
        <v/>
      </c>
      <c r="V609" s="139" t="str">
        <f t="shared" si="234"/>
        <v/>
      </c>
      <c r="W609" s="139" t="str">
        <f t="shared" si="235"/>
        <v/>
      </c>
      <c r="X609" s="327"/>
    </row>
    <row r="610" spans="1:25" ht="18.75" x14ac:dyDescent="0.25">
      <c r="A610" s="151">
        <v>15</v>
      </c>
      <c r="B610" s="106" t="str">
        <f>'Funding 2019'!$K$106</f>
        <v>EGMM0019M264</v>
      </c>
      <c r="C610" s="151">
        <v>5500011463</v>
      </c>
      <c r="D610" s="151"/>
      <c r="E610" s="152" t="s">
        <v>417</v>
      </c>
      <c r="F610" s="166">
        <f>5488000*0</f>
        <v>0</v>
      </c>
      <c r="G610" s="166"/>
      <c r="H610" s="166">
        <v>14882982</v>
      </c>
      <c r="J610" s="154">
        <f t="shared" si="237"/>
        <v>0</v>
      </c>
      <c r="K610" s="154">
        <f t="shared" si="238"/>
        <v>0</v>
      </c>
      <c r="L610" s="154">
        <f t="shared" si="239"/>
        <v>917.45666378991496</v>
      </c>
      <c r="N610" s="152" t="s">
        <v>165</v>
      </c>
      <c r="O610" s="155">
        <v>43614</v>
      </c>
      <c r="P610" s="155">
        <v>43559</v>
      </c>
      <c r="Q610" s="156">
        <f t="shared" si="240"/>
        <v>43556</v>
      </c>
      <c r="R610" s="155">
        <v>43586</v>
      </c>
      <c r="S610" s="156">
        <f t="shared" si="241"/>
        <v>43586</v>
      </c>
      <c r="T610" s="140" t="str">
        <f t="shared" ca="1" si="236"/>
        <v/>
      </c>
      <c r="U610" s="139" t="str">
        <f t="shared" si="233"/>
        <v/>
      </c>
      <c r="V610" s="139" t="str">
        <f t="shared" si="234"/>
        <v/>
      </c>
      <c r="W610" s="139" t="str">
        <f t="shared" si="235"/>
        <v/>
      </c>
      <c r="X610" s="327"/>
    </row>
    <row r="611" spans="1:25" ht="18.75" x14ac:dyDescent="0.25">
      <c r="A611" s="151">
        <v>16</v>
      </c>
      <c r="B611" s="106" t="str">
        <f>'Funding 2019'!$K$106</f>
        <v>EGMM0019M264</v>
      </c>
      <c r="C611" s="151">
        <v>5500011513</v>
      </c>
      <c r="D611" s="151"/>
      <c r="E611" s="152" t="s">
        <v>418</v>
      </c>
      <c r="F611" s="171">
        <v>3900000</v>
      </c>
      <c r="G611" s="166"/>
      <c r="H611" s="166"/>
      <c r="J611" s="154">
        <f t="shared" si="237"/>
        <v>240.41425225003081</v>
      </c>
      <c r="K611" s="154">
        <f t="shared" si="238"/>
        <v>0</v>
      </c>
      <c r="L611" s="154">
        <f t="shared" si="239"/>
        <v>0</v>
      </c>
      <c r="N611" s="152" t="s">
        <v>248</v>
      </c>
      <c r="O611" s="155">
        <v>43714</v>
      </c>
      <c r="P611" s="155">
        <v>43578</v>
      </c>
      <c r="Q611" s="156">
        <f t="shared" si="240"/>
        <v>43556</v>
      </c>
      <c r="R611" s="155"/>
      <c r="S611" s="156" t="str">
        <f t="shared" si="241"/>
        <v/>
      </c>
      <c r="T611" s="140">
        <f t="shared" ca="1" si="236"/>
        <v>59</v>
      </c>
      <c r="U611" s="139" t="str">
        <f t="shared" si="233"/>
        <v/>
      </c>
      <c r="V611" s="139" t="str">
        <f t="shared" si="234"/>
        <v/>
      </c>
      <c r="W611" s="139" t="str">
        <f t="shared" si="235"/>
        <v/>
      </c>
      <c r="X611" s="327"/>
    </row>
    <row r="612" spans="1:25" ht="18.75" x14ac:dyDescent="0.25">
      <c r="A612" s="151">
        <v>17</v>
      </c>
      <c r="B612" s="106" t="str">
        <f>'Funding 2019'!$K$106</f>
        <v>EGMM0019M264</v>
      </c>
      <c r="C612" s="151">
        <v>5500011494</v>
      </c>
      <c r="D612" s="151"/>
      <c r="E612" s="152" t="s">
        <v>419</v>
      </c>
      <c r="F612" s="171">
        <v>859500</v>
      </c>
      <c r="G612" s="166"/>
      <c r="H612" s="166"/>
      <c r="J612" s="154">
        <f t="shared" si="237"/>
        <v>52.983602515102945</v>
      </c>
      <c r="K612" s="154">
        <f t="shared" si="238"/>
        <v>0</v>
      </c>
      <c r="L612" s="154">
        <f t="shared" si="239"/>
        <v>0</v>
      </c>
      <c r="N612" s="152" t="s">
        <v>243</v>
      </c>
      <c r="O612" s="155">
        <v>43714</v>
      </c>
      <c r="P612" s="155">
        <v>43567</v>
      </c>
      <c r="Q612" s="156">
        <f t="shared" si="240"/>
        <v>43556</v>
      </c>
      <c r="R612" s="155"/>
      <c r="S612" s="156" t="str">
        <f t="shared" si="241"/>
        <v/>
      </c>
      <c r="T612" s="140">
        <f t="shared" ca="1" si="236"/>
        <v>59</v>
      </c>
      <c r="U612" s="139" t="str">
        <f t="shared" si="233"/>
        <v/>
      </c>
      <c r="V612" s="139" t="str">
        <f t="shared" si="234"/>
        <v/>
      </c>
      <c r="W612" s="139" t="str">
        <f t="shared" si="235"/>
        <v/>
      </c>
      <c r="X612" s="327"/>
    </row>
    <row r="613" spans="1:25" ht="18.75" x14ac:dyDescent="0.25">
      <c r="A613" s="151">
        <v>18</v>
      </c>
      <c r="B613" s="106" t="str">
        <f>'Funding 2019'!$K$106</f>
        <v>EGMM0019M264</v>
      </c>
      <c r="C613" s="151">
        <v>5500011420</v>
      </c>
      <c r="D613" s="151"/>
      <c r="E613" s="152" t="s">
        <v>420</v>
      </c>
      <c r="F613" s="166">
        <f>6539750*0</f>
        <v>0</v>
      </c>
      <c r="G613" s="166"/>
      <c r="H613" s="166"/>
      <c r="J613" s="154">
        <f t="shared" si="237"/>
        <v>0</v>
      </c>
      <c r="K613" s="154">
        <f t="shared" si="238"/>
        <v>0</v>
      </c>
      <c r="L613" s="154">
        <f t="shared" si="239"/>
        <v>0</v>
      </c>
      <c r="N613" s="152" t="s">
        <v>365</v>
      </c>
      <c r="O613" s="155"/>
      <c r="P613" s="155"/>
      <c r="Q613" s="156" t="str">
        <f t="shared" si="240"/>
        <v/>
      </c>
      <c r="R613" s="155"/>
      <c r="S613" s="156" t="str">
        <f t="shared" si="241"/>
        <v/>
      </c>
      <c r="T613" s="140" t="str">
        <f t="shared" ca="1" si="236"/>
        <v/>
      </c>
      <c r="U613" s="139" t="str">
        <f t="shared" si="233"/>
        <v/>
      </c>
      <c r="V613" s="139" t="str">
        <f t="shared" si="234"/>
        <v/>
      </c>
      <c r="W613" s="139" t="str">
        <f t="shared" si="235"/>
        <v/>
      </c>
      <c r="X613" s="327"/>
    </row>
    <row r="614" spans="1:25" ht="18.75" x14ac:dyDescent="0.25">
      <c r="A614" s="151">
        <v>19</v>
      </c>
      <c r="B614" s="106" t="str">
        <f>'Funding 2019'!$K$106</f>
        <v>EGMM0019M264</v>
      </c>
      <c r="C614" s="151">
        <v>5300000220</v>
      </c>
      <c r="D614" s="151">
        <v>4500134641</v>
      </c>
      <c r="E614" s="152" t="s">
        <v>421</v>
      </c>
      <c r="F614" s="166"/>
      <c r="G614" s="184"/>
      <c r="H614" s="184">
        <v>322140000</v>
      </c>
      <c r="J614" s="154">
        <f t="shared" si="237"/>
        <v>0</v>
      </c>
      <c r="K614" s="154">
        <f t="shared" si="238"/>
        <v>0</v>
      </c>
      <c r="L614" s="154">
        <f t="shared" si="239"/>
        <v>19858.217235852546</v>
      </c>
      <c r="N614" s="152" t="s">
        <v>248</v>
      </c>
      <c r="O614" s="318">
        <v>43799</v>
      </c>
      <c r="P614" s="155">
        <v>43537</v>
      </c>
      <c r="Q614" s="156">
        <f t="shared" si="240"/>
        <v>43525</v>
      </c>
      <c r="R614" s="155">
        <v>43763</v>
      </c>
      <c r="S614" s="156">
        <f t="shared" si="241"/>
        <v>43739</v>
      </c>
      <c r="T614" s="140" t="str">
        <f t="shared" ca="1" si="236"/>
        <v/>
      </c>
      <c r="U614" s="139" t="str">
        <f t="shared" si="233"/>
        <v/>
      </c>
      <c r="V614" s="139" t="str">
        <f t="shared" si="234"/>
        <v/>
      </c>
      <c r="W614" s="139" t="str">
        <f t="shared" si="235"/>
        <v/>
      </c>
      <c r="X614" s="327"/>
    </row>
    <row r="615" spans="1:25" ht="18.75" x14ac:dyDescent="0.25">
      <c r="A615" s="151">
        <v>20</v>
      </c>
      <c r="B615" s="106" t="str">
        <f>'Funding 2019'!$K$106</f>
        <v>EGMM0019M264</v>
      </c>
      <c r="C615" s="151">
        <v>2500003557</v>
      </c>
      <c r="D615" s="151">
        <v>4500134642</v>
      </c>
      <c r="E615" s="152" t="s">
        <v>422</v>
      </c>
      <c r="F615" s="166"/>
      <c r="G615" s="166">
        <f>35000000*0</f>
        <v>0</v>
      </c>
      <c r="H615" s="183">
        <v>35000000</v>
      </c>
      <c r="J615" s="154">
        <f t="shared" si="237"/>
        <v>0</v>
      </c>
      <c r="K615" s="154">
        <f t="shared" si="238"/>
        <v>0</v>
      </c>
      <c r="L615" s="154">
        <f t="shared" si="239"/>
        <v>2157.5638022438666</v>
      </c>
      <c r="N615" s="152" t="s">
        <v>248</v>
      </c>
      <c r="O615" s="155">
        <v>43640</v>
      </c>
      <c r="P615" s="155">
        <v>43538</v>
      </c>
      <c r="Q615" s="156">
        <f t="shared" si="240"/>
        <v>43525</v>
      </c>
      <c r="R615" s="155">
        <v>43647</v>
      </c>
      <c r="S615" s="156">
        <f t="shared" si="241"/>
        <v>43647</v>
      </c>
      <c r="T615" s="140" t="str">
        <f t="shared" ca="1" si="236"/>
        <v/>
      </c>
      <c r="U615" s="139" t="str">
        <f t="shared" si="233"/>
        <v/>
      </c>
      <c r="V615" s="139" t="str">
        <f t="shared" si="234"/>
        <v/>
      </c>
      <c r="W615" s="139" t="str">
        <f t="shared" si="235"/>
        <v/>
      </c>
      <c r="X615" s="327"/>
    </row>
    <row r="616" spans="1:25" ht="18.75" x14ac:dyDescent="0.25">
      <c r="A616" s="151">
        <v>21</v>
      </c>
      <c r="B616" s="106" t="str">
        <f>'Funding 2019'!$K$106</f>
        <v>EGMM0019M264</v>
      </c>
      <c r="C616" s="151">
        <v>5500011532</v>
      </c>
      <c r="D616" s="151"/>
      <c r="E616" s="152" t="s">
        <v>463</v>
      </c>
      <c r="F616" s="166"/>
      <c r="G616" s="166"/>
      <c r="H616" s="166"/>
      <c r="J616" s="154">
        <f t="shared" ref="J616:J636" si="242">F616/$J$2</f>
        <v>0</v>
      </c>
      <c r="K616" s="154">
        <f t="shared" ref="K616:K636" si="243">G616/$J$2</f>
        <v>0</v>
      </c>
      <c r="L616" s="154">
        <f t="shared" ref="L616:L636" si="244">H616/$J$2</f>
        <v>0</v>
      </c>
      <c r="N616" s="152" t="s">
        <v>462</v>
      </c>
      <c r="O616" s="155">
        <v>43714</v>
      </c>
      <c r="P616" s="155">
        <v>43584</v>
      </c>
      <c r="Q616" s="156">
        <f t="shared" si="240"/>
        <v>43556</v>
      </c>
      <c r="R616" s="155"/>
      <c r="S616" s="156" t="str">
        <f t="shared" si="241"/>
        <v/>
      </c>
      <c r="T616" s="140">
        <f t="shared" ca="1" si="236"/>
        <v>59</v>
      </c>
      <c r="U616" s="139" t="str">
        <f t="shared" si="233"/>
        <v/>
      </c>
      <c r="V616" s="139" t="str">
        <f t="shared" si="234"/>
        <v/>
      </c>
      <c r="W616" s="139" t="str">
        <f t="shared" si="235"/>
        <v/>
      </c>
      <c r="X616" s="327"/>
    </row>
    <row r="617" spans="1:25" ht="18.75" x14ac:dyDescent="0.25">
      <c r="A617" s="151">
        <v>22</v>
      </c>
      <c r="B617" s="106" t="str">
        <f>'Funding 2019'!$K$106</f>
        <v>EGMM0019M264</v>
      </c>
      <c r="C617" s="151">
        <v>6100000785</v>
      </c>
      <c r="D617" s="151" t="s">
        <v>832</v>
      </c>
      <c r="E617" s="152" t="s">
        <v>634</v>
      </c>
      <c r="F617" s="166">
        <f>101829686*0</f>
        <v>0</v>
      </c>
      <c r="G617" s="171">
        <v>99934114</v>
      </c>
      <c r="H617" s="166"/>
      <c r="J617" s="154">
        <f t="shared" si="242"/>
        <v>0</v>
      </c>
      <c r="K617" s="154">
        <f t="shared" si="243"/>
        <v>6160.4064850203431</v>
      </c>
      <c r="L617" s="154">
        <f t="shared" si="244"/>
        <v>0</v>
      </c>
      <c r="N617" s="152" t="s">
        <v>165</v>
      </c>
      <c r="O617" s="155">
        <v>43810</v>
      </c>
      <c r="P617" s="155">
        <v>43665</v>
      </c>
      <c r="Q617" s="156">
        <f t="shared" si="240"/>
        <v>43647</v>
      </c>
      <c r="R617" s="155"/>
      <c r="S617" s="156" t="str">
        <f t="shared" si="241"/>
        <v/>
      </c>
      <c r="T617" s="140" t="str">
        <f t="shared" ca="1" si="236"/>
        <v/>
      </c>
      <c r="U617" s="139" t="str">
        <f t="shared" si="233"/>
        <v/>
      </c>
      <c r="V617" s="139" t="str">
        <f t="shared" si="234"/>
        <v/>
      </c>
      <c r="W617" s="139" t="str">
        <f t="shared" si="235"/>
        <v/>
      </c>
      <c r="X617" s="327"/>
    </row>
    <row r="618" spans="1:25" ht="18.75" x14ac:dyDescent="0.25">
      <c r="A618" s="151">
        <v>23</v>
      </c>
      <c r="B618" s="106" t="str">
        <f>'Funding 2019'!$K$106</f>
        <v>EGMM0019M264</v>
      </c>
      <c r="C618" s="151">
        <v>2100011753</v>
      </c>
      <c r="D618" s="151">
        <v>4500135385</v>
      </c>
      <c r="E618" s="152" t="s">
        <v>635</v>
      </c>
      <c r="F618" s="166"/>
      <c r="G618" s="287"/>
      <c r="H618" s="287">
        <v>16731000</v>
      </c>
      <c r="J618" s="154">
        <f t="shared" si="242"/>
        <v>0</v>
      </c>
      <c r="K618" s="154">
        <f t="shared" si="243"/>
        <v>0</v>
      </c>
      <c r="L618" s="154">
        <f t="shared" si="244"/>
        <v>1031.3771421526321</v>
      </c>
      <c r="N618" s="152" t="s">
        <v>552</v>
      </c>
      <c r="O618" s="155">
        <v>43738</v>
      </c>
      <c r="P618" s="155">
        <v>43677</v>
      </c>
      <c r="Q618" s="156">
        <f t="shared" si="240"/>
        <v>43647</v>
      </c>
      <c r="R618" s="155">
        <v>43745</v>
      </c>
      <c r="S618" s="156">
        <f t="shared" si="241"/>
        <v>43739</v>
      </c>
      <c r="T618" s="140" t="str">
        <f t="shared" ca="1" si="236"/>
        <v/>
      </c>
      <c r="U618" s="139" t="str">
        <f t="shared" si="233"/>
        <v/>
      </c>
      <c r="V618" s="139" t="str">
        <f t="shared" si="234"/>
        <v/>
      </c>
      <c r="W618" s="139" t="str">
        <f t="shared" si="235"/>
        <v/>
      </c>
      <c r="X618" s="327"/>
    </row>
    <row r="619" spans="1:25" ht="18.75" x14ac:dyDescent="0.25">
      <c r="A619" s="151">
        <v>24</v>
      </c>
      <c r="B619" s="106" t="str">
        <f>'Funding 2019'!$K$106</f>
        <v>EGMM0019M264</v>
      </c>
      <c r="C619" s="151">
        <v>2100011756</v>
      </c>
      <c r="D619" s="151">
        <v>4500135183</v>
      </c>
      <c r="E619" s="152" t="s">
        <v>637</v>
      </c>
      <c r="F619" s="166">
        <f>44578271*0</f>
        <v>0</v>
      </c>
      <c r="G619" s="183"/>
      <c r="H619" s="183">
        <v>44319200</v>
      </c>
      <c r="J619" s="154">
        <f t="shared" si="242"/>
        <v>0</v>
      </c>
      <c r="K619" s="154">
        <f t="shared" si="243"/>
        <v>0</v>
      </c>
      <c r="L619" s="154">
        <f t="shared" si="244"/>
        <v>2732.0429046973245</v>
      </c>
      <c r="N619" s="152" t="s">
        <v>552</v>
      </c>
      <c r="O619" s="155">
        <v>43719</v>
      </c>
      <c r="P619" s="155">
        <v>43677</v>
      </c>
      <c r="Q619" s="156">
        <f t="shared" si="240"/>
        <v>43647</v>
      </c>
      <c r="R619" s="155">
        <v>43742</v>
      </c>
      <c r="S619" s="156">
        <f t="shared" si="241"/>
        <v>43739</v>
      </c>
      <c r="T619" s="140" t="str">
        <f t="shared" ca="1" si="236"/>
        <v/>
      </c>
      <c r="U619" s="139" t="str">
        <f t="shared" si="233"/>
        <v/>
      </c>
      <c r="V619" s="139" t="str">
        <f t="shared" si="234"/>
        <v/>
      </c>
      <c r="W619" s="139" t="str">
        <f t="shared" si="235"/>
        <v/>
      </c>
      <c r="X619" s="327"/>
      <c r="Y619" s="139" t="s">
        <v>785</v>
      </c>
    </row>
    <row r="620" spans="1:25" ht="18.75" x14ac:dyDescent="0.25">
      <c r="A620" s="151">
        <v>25</v>
      </c>
      <c r="B620" s="106" t="str">
        <f>'Funding 2019'!$K$106</f>
        <v>EGMM0019M264</v>
      </c>
      <c r="C620" s="151">
        <v>4400000978</v>
      </c>
      <c r="D620" s="151">
        <v>7500000935</v>
      </c>
      <c r="E620" s="152" t="s">
        <v>286</v>
      </c>
      <c r="F620" s="166"/>
      <c r="G620" s="171">
        <v>27071003</v>
      </c>
      <c r="H620" s="166"/>
      <c r="J620" s="154">
        <f t="shared" si="242"/>
        <v>0</v>
      </c>
      <c r="K620" s="154">
        <f t="shared" si="243"/>
        <v>1668.7833189495746</v>
      </c>
      <c r="L620" s="154">
        <f t="shared" si="244"/>
        <v>0</v>
      </c>
      <c r="N620" s="152" t="s">
        <v>248</v>
      </c>
      <c r="O620" s="318">
        <v>43798</v>
      </c>
      <c r="P620" s="155">
        <v>43689</v>
      </c>
      <c r="Q620" s="156">
        <f t="shared" si="240"/>
        <v>43678</v>
      </c>
      <c r="R620" s="155"/>
      <c r="S620" s="156" t="str">
        <f t="shared" si="241"/>
        <v/>
      </c>
      <c r="T620" s="140" t="str">
        <f t="shared" ca="1" si="236"/>
        <v/>
      </c>
      <c r="U620" s="139" t="str">
        <f t="shared" si="233"/>
        <v/>
      </c>
      <c r="V620" s="139" t="str">
        <f t="shared" si="234"/>
        <v/>
      </c>
      <c r="W620" s="139" t="str">
        <f t="shared" si="235"/>
        <v/>
      </c>
      <c r="X620" s="327"/>
    </row>
    <row r="621" spans="1:25" ht="18.75" x14ac:dyDescent="0.25">
      <c r="A621" s="151">
        <v>26</v>
      </c>
      <c r="B621" s="106" t="str">
        <f>'Funding 2019'!$K$106</f>
        <v>EGMM0019M264</v>
      </c>
      <c r="C621" s="151">
        <v>6100000793</v>
      </c>
      <c r="D621" s="151" t="s">
        <v>833</v>
      </c>
      <c r="E621" s="152" t="s">
        <v>760</v>
      </c>
      <c r="F621" s="166">
        <f>17474594*0</f>
        <v>0</v>
      </c>
      <c r="G621" s="171">
        <v>17346824</v>
      </c>
      <c r="H621" s="166"/>
      <c r="J621" s="154">
        <f t="shared" si="242"/>
        <v>0</v>
      </c>
      <c r="K621" s="154">
        <f t="shared" si="243"/>
        <v>1069.339415608433</v>
      </c>
      <c r="L621" s="154">
        <f t="shared" si="244"/>
        <v>0</v>
      </c>
      <c r="N621" s="152" t="s">
        <v>165</v>
      </c>
      <c r="O621" s="318">
        <v>43810</v>
      </c>
      <c r="P621" s="155">
        <v>43707</v>
      </c>
      <c r="Q621" s="156">
        <f t="shared" si="240"/>
        <v>43678</v>
      </c>
      <c r="R621" s="155"/>
      <c r="S621" s="156" t="str">
        <f t="shared" si="241"/>
        <v/>
      </c>
      <c r="T621" s="140" t="str">
        <f t="shared" ca="1" si="236"/>
        <v/>
      </c>
      <c r="U621" s="139" t="str">
        <f t="shared" si="233"/>
        <v/>
      </c>
      <c r="V621" s="139" t="str">
        <f t="shared" si="234"/>
        <v/>
      </c>
      <c r="W621" s="139" t="str">
        <f t="shared" si="235"/>
        <v/>
      </c>
      <c r="X621" s="327"/>
    </row>
    <row r="622" spans="1:25" ht="18.75" x14ac:dyDescent="0.25">
      <c r="A622" s="151">
        <v>27</v>
      </c>
      <c r="B622" s="106" t="str">
        <f>'Funding 2019'!$K$106</f>
        <v>EGMM0019M264</v>
      </c>
      <c r="C622" s="151">
        <v>5500011950</v>
      </c>
      <c r="D622" s="151"/>
      <c r="E622" s="152" t="s">
        <v>764</v>
      </c>
      <c r="F622" s="287"/>
      <c r="G622" s="287"/>
      <c r="H622" s="287">
        <v>8957500</v>
      </c>
      <c r="J622" s="154">
        <f t="shared" si="242"/>
        <v>0</v>
      </c>
      <c r="K622" s="154">
        <f t="shared" si="243"/>
        <v>0</v>
      </c>
      <c r="L622" s="154">
        <f t="shared" si="244"/>
        <v>552.1822216742695</v>
      </c>
      <c r="N622" s="152" t="s">
        <v>517</v>
      </c>
      <c r="O622" s="155">
        <v>43737</v>
      </c>
      <c r="P622" s="155">
        <v>43707</v>
      </c>
      <c r="Q622" s="156">
        <f t="shared" si="240"/>
        <v>43678</v>
      </c>
      <c r="R622" s="155">
        <v>43766</v>
      </c>
      <c r="S622" s="156">
        <f t="shared" si="241"/>
        <v>43739</v>
      </c>
      <c r="T622" s="140" t="str">
        <f t="shared" ca="1" si="236"/>
        <v/>
      </c>
      <c r="U622" s="139" t="str">
        <f t="shared" si="233"/>
        <v/>
      </c>
      <c r="V622" s="139" t="str">
        <f t="shared" si="234"/>
        <v/>
      </c>
      <c r="W622" s="139" t="str">
        <f t="shared" si="235"/>
        <v/>
      </c>
      <c r="X622" s="327"/>
    </row>
    <row r="623" spans="1:25" ht="18.75" x14ac:dyDescent="0.25">
      <c r="A623" s="151">
        <v>28</v>
      </c>
      <c r="B623" s="106" t="str">
        <f>'Funding 2019'!$K$106</f>
        <v>EGMM0019M264</v>
      </c>
      <c r="C623" s="151">
        <v>5500011951</v>
      </c>
      <c r="D623" s="151"/>
      <c r="E623" s="152" t="s">
        <v>768</v>
      </c>
      <c r="F623" s="287"/>
      <c r="G623" s="287"/>
      <c r="H623" s="287">
        <v>2925020</v>
      </c>
      <c r="J623" s="154">
        <f t="shared" si="242"/>
        <v>0</v>
      </c>
      <c r="K623" s="154">
        <f t="shared" si="243"/>
        <v>0</v>
      </c>
      <c r="L623" s="154">
        <f t="shared" si="244"/>
        <v>180.31192208112441</v>
      </c>
      <c r="N623" s="152" t="s">
        <v>769</v>
      </c>
      <c r="O623" s="318">
        <v>43810</v>
      </c>
      <c r="P623" s="155">
        <v>43710</v>
      </c>
      <c r="Q623" s="156">
        <f t="shared" si="240"/>
        <v>43709</v>
      </c>
      <c r="R623" s="155">
        <v>43766</v>
      </c>
      <c r="S623" s="156">
        <f t="shared" si="241"/>
        <v>43739</v>
      </c>
      <c r="T623" s="140" t="str">
        <f t="shared" ca="1" si="236"/>
        <v/>
      </c>
      <c r="U623" s="139" t="str">
        <f t="shared" si="233"/>
        <v/>
      </c>
      <c r="V623" s="139" t="str">
        <f t="shared" si="234"/>
        <v/>
      </c>
      <c r="W623" s="139" t="str">
        <f t="shared" si="235"/>
        <v/>
      </c>
      <c r="X623" s="327"/>
    </row>
    <row r="624" spans="1:25" ht="18.75" x14ac:dyDescent="0.25">
      <c r="A624" s="151">
        <v>29</v>
      </c>
      <c r="B624" s="106" t="str">
        <f>'Funding 2019'!$K$106</f>
        <v>EGMM0019M264</v>
      </c>
      <c r="C624" s="151">
        <v>5500011952</v>
      </c>
      <c r="D624" s="151">
        <v>1920202844</v>
      </c>
      <c r="E624" s="152" t="s">
        <v>780</v>
      </c>
      <c r="F624" s="166"/>
      <c r="G624" s="166"/>
      <c r="H624" s="287">
        <v>4500000</v>
      </c>
      <c r="J624" s="154">
        <f t="shared" si="242"/>
        <v>0</v>
      </c>
      <c r="K624" s="154">
        <f t="shared" si="243"/>
        <v>0</v>
      </c>
      <c r="L624" s="154">
        <f t="shared" si="244"/>
        <v>277.40106028849709</v>
      </c>
      <c r="N624" s="152" t="s">
        <v>769</v>
      </c>
      <c r="O624" s="155">
        <v>43738</v>
      </c>
      <c r="P624" s="155">
        <v>43710</v>
      </c>
      <c r="Q624" s="156">
        <f t="shared" si="240"/>
        <v>43709</v>
      </c>
      <c r="R624" s="155">
        <v>43741</v>
      </c>
      <c r="S624" s="156">
        <f t="shared" si="241"/>
        <v>43739</v>
      </c>
      <c r="T624" s="140" t="str">
        <f t="shared" ca="1" si="236"/>
        <v/>
      </c>
      <c r="U624" s="139" t="str">
        <f t="shared" si="233"/>
        <v/>
      </c>
      <c r="V624" s="139" t="str">
        <f t="shared" si="234"/>
        <v/>
      </c>
      <c r="W624" s="139" t="str">
        <f t="shared" si="235"/>
        <v/>
      </c>
      <c r="X624" s="327"/>
    </row>
    <row r="625" spans="1:24" ht="18.75" x14ac:dyDescent="0.25">
      <c r="A625" s="151">
        <v>30</v>
      </c>
      <c r="B625" s="106" t="str">
        <f>'Funding 2019'!$K$106</f>
        <v>EGMM0019M264</v>
      </c>
      <c r="C625" s="151">
        <v>5500011987</v>
      </c>
      <c r="D625" s="151"/>
      <c r="E625" s="152" t="s">
        <v>830</v>
      </c>
      <c r="F625" s="287"/>
      <c r="G625" s="287"/>
      <c r="H625" s="287">
        <v>8700000</v>
      </c>
      <c r="J625" s="154">
        <f t="shared" si="242"/>
        <v>0</v>
      </c>
      <c r="K625" s="154">
        <f t="shared" si="243"/>
        <v>0</v>
      </c>
      <c r="L625" s="154">
        <f t="shared" si="244"/>
        <v>536.30871655776104</v>
      </c>
      <c r="N625" s="152" t="s">
        <v>523</v>
      </c>
      <c r="O625" s="155">
        <v>43753</v>
      </c>
      <c r="P625" s="155">
        <v>43720</v>
      </c>
      <c r="Q625" s="156">
        <f t="shared" si="240"/>
        <v>43709</v>
      </c>
      <c r="R625" s="155">
        <v>43766</v>
      </c>
      <c r="S625" s="156">
        <f t="shared" si="241"/>
        <v>43739</v>
      </c>
      <c r="T625" s="140" t="str">
        <f t="shared" ca="1" si="236"/>
        <v/>
      </c>
      <c r="U625" s="139" t="str">
        <f t="shared" si="233"/>
        <v/>
      </c>
      <c r="V625" s="139" t="str">
        <f t="shared" si="234"/>
        <v/>
      </c>
      <c r="W625" s="139" t="str">
        <f t="shared" si="235"/>
        <v/>
      </c>
      <c r="X625" s="327"/>
    </row>
    <row r="626" spans="1:24" ht="18.75" x14ac:dyDescent="0.25">
      <c r="A626" s="151">
        <v>31</v>
      </c>
      <c r="B626" s="106" t="str">
        <f>'Funding 2019'!$K$106</f>
        <v>EGMM0019M264</v>
      </c>
      <c r="C626" s="151">
        <v>5500011986</v>
      </c>
      <c r="D626" s="151"/>
      <c r="E626" s="152" t="s">
        <v>831</v>
      </c>
      <c r="F626" s="171">
        <v>5081658</v>
      </c>
      <c r="G626" s="166"/>
      <c r="H626" s="166"/>
      <c r="J626" s="154">
        <f t="shared" si="242"/>
        <v>313.25718160522746</v>
      </c>
      <c r="K626" s="154">
        <f t="shared" si="243"/>
        <v>0</v>
      </c>
      <c r="L626" s="154">
        <f t="shared" si="244"/>
        <v>0</v>
      </c>
      <c r="N626" s="152" t="s">
        <v>523</v>
      </c>
      <c r="O626" s="155">
        <v>43753</v>
      </c>
      <c r="P626" s="155">
        <v>43720</v>
      </c>
      <c r="Q626" s="156">
        <f t="shared" si="240"/>
        <v>43709</v>
      </c>
      <c r="R626" s="155"/>
      <c r="S626" s="156" t="str">
        <f t="shared" si="241"/>
        <v/>
      </c>
      <c r="T626" s="140">
        <f t="shared" ca="1" si="236"/>
        <v>20</v>
      </c>
      <c r="U626" s="139" t="str">
        <f t="shared" si="233"/>
        <v/>
      </c>
      <c r="V626" s="139" t="str">
        <f t="shared" si="234"/>
        <v/>
      </c>
      <c r="W626" s="139" t="str">
        <f t="shared" si="235"/>
        <v/>
      </c>
      <c r="X626" s="327"/>
    </row>
    <row r="627" spans="1:24" ht="18.75" x14ac:dyDescent="0.25">
      <c r="A627" s="151">
        <v>32</v>
      </c>
      <c r="B627" s="106" t="str">
        <f>'Funding 2019'!$K$106</f>
        <v>EGMM0019M264</v>
      </c>
      <c r="C627" s="151">
        <v>5500011994</v>
      </c>
      <c r="D627" s="151"/>
      <c r="E627" s="152" t="s">
        <v>835</v>
      </c>
      <c r="F627" s="287"/>
      <c r="G627" s="287"/>
      <c r="H627" s="287">
        <v>4000000</v>
      </c>
      <c r="J627" s="154">
        <f t="shared" si="242"/>
        <v>0</v>
      </c>
      <c r="K627" s="154">
        <f t="shared" si="243"/>
        <v>0</v>
      </c>
      <c r="L627" s="154">
        <f t="shared" si="244"/>
        <v>246.57872025644187</v>
      </c>
      <c r="N627" s="152" t="s">
        <v>552</v>
      </c>
      <c r="O627" s="155">
        <v>43736</v>
      </c>
      <c r="P627" s="155">
        <v>43720</v>
      </c>
      <c r="Q627" s="156">
        <f t="shared" si="240"/>
        <v>43709</v>
      </c>
      <c r="R627" s="155">
        <v>43766</v>
      </c>
      <c r="S627" s="156">
        <f t="shared" si="241"/>
        <v>43739</v>
      </c>
      <c r="T627" s="140" t="str">
        <f t="shared" ca="1" si="236"/>
        <v/>
      </c>
      <c r="U627" s="139" t="str">
        <f t="shared" si="233"/>
        <v/>
      </c>
      <c r="V627" s="139" t="str">
        <f t="shared" si="234"/>
        <v/>
      </c>
      <c r="W627" s="139" t="str">
        <f t="shared" si="235"/>
        <v/>
      </c>
      <c r="X627" s="327"/>
    </row>
    <row r="628" spans="1:24" ht="18.75" x14ac:dyDescent="0.25">
      <c r="A628" s="151">
        <v>33</v>
      </c>
      <c r="B628" s="106" t="str">
        <f>'Funding 2019'!$K$106</f>
        <v>EGMM0019M264</v>
      </c>
      <c r="C628" s="151">
        <v>5500012017</v>
      </c>
      <c r="D628" s="151"/>
      <c r="E628" s="152" t="s">
        <v>855</v>
      </c>
      <c r="F628" s="171">
        <v>4500000</v>
      </c>
      <c r="G628" s="166"/>
      <c r="H628" s="166"/>
      <c r="J628" s="154">
        <f t="shared" si="242"/>
        <v>277.40106028849709</v>
      </c>
      <c r="K628" s="154">
        <f t="shared" si="243"/>
        <v>0</v>
      </c>
      <c r="L628" s="154">
        <f t="shared" si="244"/>
        <v>0</v>
      </c>
      <c r="N628" s="152" t="s">
        <v>390</v>
      </c>
      <c r="O628" s="155">
        <v>43754</v>
      </c>
      <c r="P628" s="155">
        <v>43732</v>
      </c>
      <c r="Q628" s="156">
        <f t="shared" si="240"/>
        <v>43709</v>
      </c>
      <c r="R628" s="155"/>
      <c r="S628" s="156" t="str">
        <f t="shared" si="241"/>
        <v/>
      </c>
      <c r="T628" s="140">
        <f t="shared" ca="1" si="236"/>
        <v>19</v>
      </c>
      <c r="U628" s="139" t="str">
        <f t="shared" si="233"/>
        <v/>
      </c>
      <c r="V628" s="139" t="str">
        <f t="shared" si="234"/>
        <v/>
      </c>
      <c r="W628" s="139" t="str">
        <f t="shared" si="235"/>
        <v/>
      </c>
      <c r="X628" s="327"/>
    </row>
    <row r="629" spans="1:24" ht="18.75" x14ac:dyDescent="0.25">
      <c r="A629" s="151">
        <v>34</v>
      </c>
      <c r="B629" s="106" t="str">
        <f>'Funding 2019'!$K$106</f>
        <v>EGMM0019M264</v>
      </c>
      <c r="C629" s="151">
        <v>2100011825</v>
      </c>
      <c r="D629" s="151">
        <v>4500135424</v>
      </c>
      <c r="E629" s="152" t="s">
        <v>872</v>
      </c>
      <c r="F629" s="287"/>
      <c r="G629" s="171">
        <v>34667049</v>
      </c>
      <c r="H629" s="166"/>
      <c r="J629" s="154">
        <f t="shared" si="242"/>
        <v>0</v>
      </c>
      <c r="K629" s="154">
        <f t="shared" si="243"/>
        <v>2137.0391443718408</v>
      </c>
      <c r="L629" s="154">
        <f t="shared" si="244"/>
        <v>0</v>
      </c>
      <c r="N629" s="152" t="s">
        <v>390</v>
      </c>
      <c r="O629" s="155">
        <v>43789</v>
      </c>
      <c r="P629" s="155">
        <v>43735</v>
      </c>
      <c r="Q629" s="156">
        <f t="shared" si="240"/>
        <v>43709</v>
      </c>
      <c r="R629" s="155"/>
      <c r="S629" s="156" t="str">
        <f t="shared" si="241"/>
        <v/>
      </c>
      <c r="T629" s="140" t="str">
        <f t="shared" ca="1" si="236"/>
        <v/>
      </c>
      <c r="U629" s="139" t="str">
        <f t="shared" si="233"/>
        <v/>
      </c>
      <c r="V629" s="139" t="str">
        <f t="shared" si="234"/>
        <v/>
      </c>
      <c r="W629" s="139" t="str">
        <f t="shared" si="235"/>
        <v/>
      </c>
      <c r="X629" s="327"/>
    </row>
    <row r="630" spans="1:24" ht="18.75" x14ac:dyDescent="0.25">
      <c r="A630" s="151">
        <v>35</v>
      </c>
      <c r="B630" s="106" t="str">
        <f>'Funding 2019'!$K$106</f>
        <v>EGMM0019M264</v>
      </c>
      <c r="C630" s="151">
        <v>2100011846</v>
      </c>
      <c r="D630" s="151">
        <v>4500135428</v>
      </c>
      <c r="E630" s="152" t="s">
        <v>925</v>
      </c>
      <c r="F630" s="412"/>
      <c r="G630" s="171">
        <v>42187500</v>
      </c>
      <c r="H630" s="166"/>
      <c r="J630" s="154">
        <f t="shared" si="242"/>
        <v>0</v>
      </c>
      <c r="K630" s="154">
        <f t="shared" si="243"/>
        <v>2600.6349402046603</v>
      </c>
      <c r="L630" s="154">
        <f t="shared" si="244"/>
        <v>0</v>
      </c>
      <c r="N630" s="152" t="s">
        <v>552</v>
      </c>
      <c r="O630" s="155">
        <v>43799</v>
      </c>
      <c r="P630" s="155">
        <v>43759</v>
      </c>
      <c r="Q630" s="156">
        <f t="shared" si="240"/>
        <v>43739</v>
      </c>
      <c r="R630" s="155"/>
      <c r="S630" s="156" t="str">
        <f t="shared" si="241"/>
        <v/>
      </c>
      <c r="T630" s="140" t="str">
        <f t="shared" ca="1" si="236"/>
        <v/>
      </c>
      <c r="U630" s="139" t="str">
        <f t="shared" si="233"/>
        <v/>
      </c>
      <c r="V630" s="139" t="str">
        <f t="shared" si="234"/>
        <v/>
      </c>
      <c r="W630" s="139" t="str">
        <f t="shared" si="235"/>
        <v/>
      </c>
      <c r="X630" s="327"/>
    </row>
    <row r="631" spans="1:24" ht="18.75" x14ac:dyDescent="0.25">
      <c r="A631" s="151">
        <v>36</v>
      </c>
      <c r="B631" s="106" t="str">
        <f>'Funding 2019'!$K$106</f>
        <v>EGMM0019M264</v>
      </c>
      <c r="C631" s="151">
        <v>2500003670</v>
      </c>
      <c r="D631" s="151"/>
      <c r="E631" s="152" t="s">
        <v>926</v>
      </c>
      <c r="F631" s="171">
        <v>88550700</v>
      </c>
      <c r="G631" s="166"/>
      <c r="H631" s="166"/>
      <c r="J631" s="154">
        <f t="shared" ref="J631:J635" si="245">F631/$J$2</f>
        <v>5458.679570953027</v>
      </c>
      <c r="K631" s="154">
        <f t="shared" ref="K631:K635" si="246">G631/$J$2</f>
        <v>0</v>
      </c>
      <c r="L631" s="154">
        <f t="shared" ref="L631:L635" si="247">H631/$J$2</f>
        <v>0</v>
      </c>
      <c r="N631" s="152" t="s">
        <v>552</v>
      </c>
      <c r="O631" s="155">
        <v>43790</v>
      </c>
      <c r="P631" s="155">
        <v>43759</v>
      </c>
      <c r="Q631" s="156">
        <f t="shared" si="240"/>
        <v>43739</v>
      </c>
      <c r="R631" s="155"/>
      <c r="S631" s="156" t="str">
        <f t="shared" si="241"/>
        <v/>
      </c>
      <c r="T631" s="140" t="str">
        <f t="shared" ca="1" si="236"/>
        <v/>
      </c>
      <c r="U631" s="139" t="str">
        <f t="shared" si="233"/>
        <v/>
      </c>
      <c r="V631" s="139" t="str">
        <f t="shared" si="234"/>
        <v/>
      </c>
      <c r="W631" s="139" t="str">
        <f t="shared" si="235"/>
        <v/>
      </c>
      <c r="X631" s="327"/>
    </row>
    <row r="632" spans="1:24" ht="18.75" x14ac:dyDescent="0.25">
      <c r="A632" s="151">
        <v>37</v>
      </c>
      <c r="B632" s="106" t="str">
        <f>'Funding 2019'!$K$106</f>
        <v>EGMM0019M264</v>
      </c>
      <c r="C632" s="151">
        <v>2500003672</v>
      </c>
      <c r="D632" s="151"/>
      <c r="E632" s="152" t="s">
        <v>927</v>
      </c>
      <c r="F632" s="171">
        <v>80385000</v>
      </c>
      <c r="G632" s="166"/>
      <c r="H632" s="166"/>
      <c r="J632" s="154">
        <f t="shared" si="245"/>
        <v>4955.30760695352</v>
      </c>
      <c r="K632" s="154">
        <f t="shared" si="246"/>
        <v>0</v>
      </c>
      <c r="L632" s="154">
        <f t="shared" si="247"/>
        <v>0</v>
      </c>
      <c r="N632" s="152" t="s">
        <v>552</v>
      </c>
      <c r="O632" s="155">
        <v>43789</v>
      </c>
      <c r="P632" s="155">
        <v>43759</v>
      </c>
      <c r="Q632" s="156">
        <f t="shared" si="240"/>
        <v>43739</v>
      </c>
      <c r="R632" s="155"/>
      <c r="S632" s="156" t="str">
        <f t="shared" si="241"/>
        <v/>
      </c>
      <c r="T632" s="140" t="str">
        <f t="shared" ca="1" si="236"/>
        <v/>
      </c>
      <c r="U632" s="139" t="str">
        <f t="shared" si="233"/>
        <v/>
      </c>
      <c r="V632" s="139" t="str">
        <f t="shared" si="234"/>
        <v/>
      </c>
      <c r="W632" s="139" t="str">
        <f t="shared" si="235"/>
        <v/>
      </c>
      <c r="X632" s="327"/>
    </row>
    <row r="633" spans="1:24" ht="18.75" x14ac:dyDescent="0.25">
      <c r="A633" s="151">
        <v>38</v>
      </c>
      <c r="B633" s="106" t="str">
        <f>'Funding 2019'!$K$106</f>
        <v>EGMM0019M264</v>
      </c>
      <c r="C633" s="151">
        <v>5500012030</v>
      </c>
      <c r="D633" s="151"/>
      <c r="E633" s="152" t="s">
        <v>855</v>
      </c>
      <c r="F633" s="171">
        <v>1500000</v>
      </c>
      <c r="G633" s="166"/>
      <c r="H633" s="166"/>
      <c r="J633" s="154">
        <f t="shared" si="245"/>
        <v>92.467020096165697</v>
      </c>
      <c r="K633" s="154">
        <f t="shared" si="246"/>
        <v>0</v>
      </c>
      <c r="L633" s="154">
        <f t="shared" si="247"/>
        <v>0</v>
      </c>
      <c r="N633" s="152" t="s">
        <v>390</v>
      </c>
      <c r="O633" s="155">
        <v>43789</v>
      </c>
      <c r="P633" s="155">
        <v>43733</v>
      </c>
      <c r="Q633" s="156">
        <f t="shared" si="240"/>
        <v>43709</v>
      </c>
      <c r="R633" s="155"/>
      <c r="S633" s="156" t="str">
        <f t="shared" si="241"/>
        <v/>
      </c>
      <c r="T633" s="140" t="str">
        <f t="shared" ca="1" si="236"/>
        <v/>
      </c>
      <c r="U633" s="139" t="str">
        <f t="shared" si="233"/>
        <v/>
      </c>
      <c r="V633" s="139" t="str">
        <f t="shared" si="234"/>
        <v/>
      </c>
      <c r="W633" s="139" t="str">
        <f t="shared" si="235"/>
        <v/>
      </c>
      <c r="X633" s="327"/>
    </row>
    <row r="634" spans="1:24" ht="18.75" x14ac:dyDescent="0.25">
      <c r="A634" s="151">
        <v>39</v>
      </c>
      <c r="B634" s="106" t="str">
        <f>'Funding 2019'!$K$106</f>
        <v>EGMM0019M264</v>
      </c>
      <c r="C634" s="151"/>
      <c r="D634" s="151"/>
      <c r="E634" s="152"/>
      <c r="F634" s="166"/>
      <c r="G634" s="166"/>
      <c r="H634" s="166"/>
      <c r="J634" s="154">
        <f t="shared" si="245"/>
        <v>0</v>
      </c>
      <c r="K634" s="154">
        <f t="shared" si="246"/>
        <v>0</v>
      </c>
      <c r="L634" s="154">
        <f t="shared" si="247"/>
        <v>0</v>
      </c>
      <c r="N634" s="152"/>
      <c r="O634" s="155"/>
      <c r="P634" s="155"/>
      <c r="Q634" s="156" t="str">
        <f t="shared" si="240"/>
        <v/>
      </c>
      <c r="R634" s="155"/>
      <c r="S634" s="156" t="str">
        <f t="shared" si="241"/>
        <v/>
      </c>
      <c r="T634" s="140"/>
      <c r="U634" s="139" t="str">
        <f t="shared" si="233"/>
        <v/>
      </c>
      <c r="V634" s="139" t="str">
        <f t="shared" si="234"/>
        <v/>
      </c>
      <c r="W634" s="139" t="str">
        <f t="shared" si="235"/>
        <v/>
      </c>
      <c r="X634" s="327"/>
    </row>
    <row r="635" spans="1:24" ht="18.75" x14ac:dyDescent="0.25">
      <c r="A635" s="151">
        <v>39</v>
      </c>
      <c r="B635" s="106" t="str">
        <f>'Funding 2019'!$K$106</f>
        <v>EGMM0019M264</v>
      </c>
      <c r="C635" s="151">
        <v>5500012001</v>
      </c>
      <c r="D635" s="151"/>
      <c r="E635" s="152" t="s">
        <v>840</v>
      </c>
      <c r="F635" s="287"/>
      <c r="G635" s="287"/>
      <c r="H635" s="287">
        <v>7790680</v>
      </c>
      <c r="J635" s="154">
        <f t="shared" si="245"/>
        <v>0</v>
      </c>
      <c r="K635" s="154">
        <f t="shared" si="246"/>
        <v>0</v>
      </c>
      <c r="L635" s="154">
        <f t="shared" si="247"/>
        <v>480.25397608186415</v>
      </c>
      <c r="N635" s="152" t="s">
        <v>248</v>
      </c>
      <c r="O635" s="155">
        <v>43759</v>
      </c>
      <c r="P635" s="155">
        <v>43725</v>
      </c>
      <c r="Q635" s="156">
        <f t="shared" si="240"/>
        <v>43709</v>
      </c>
      <c r="R635" s="155">
        <v>43766</v>
      </c>
      <c r="S635" s="156">
        <f t="shared" si="241"/>
        <v>43739</v>
      </c>
      <c r="T635" s="140" t="str">
        <f t="shared" ca="1" si="236"/>
        <v/>
      </c>
      <c r="U635" s="139" t="str">
        <f t="shared" si="233"/>
        <v/>
      </c>
      <c r="V635" s="139" t="str">
        <f t="shared" si="234"/>
        <v/>
      </c>
      <c r="W635" s="139" t="str">
        <f t="shared" si="235"/>
        <v/>
      </c>
      <c r="X635" s="327"/>
    </row>
    <row r="636" spans="1:24" ht="18.75" x14ac:dyDescent="0.25">
      <c r="A636" s="151">
        <v>40</v>
      </c>
      <c r="B636" s="106" t="str">
        <f>'Funding 2019'!$K$106</f>
        <v>EGMM0019M264</v>
      </c>
      <c r="C636" s="151"/>
      <c r="D636" s="151"/>
      <c r="E636" s="152" t="s">
        <v>550</v>
      </c>
      <c r="F636" s="166">
        <f>-34588400*0</f>
        <v>0</v>
      </c>
      <c r="G636" s="166"/>
      <c r="H636" s="183">
        <f>252612342-122241111+20483432-9308866</f>
        <v>141545797</v>
      </c>
      <c r="J636" s="154">
        <f t="shared" si="242"/>
        <v>0</v>
      </c>
      <c r="K636" s="154">
        <f t="shared" si="243"/>
        <v>0</v>
      </c>
      <c r="L636" s="154">
        <f t="shared" si="244"/>
        <v>8725.5453704845277</v>
      </c>
      <c r="N636" s="165"/>
      <c r="O636" s="169"/>
      <c r="P636" s="169">
        <v>43556</v>
      </c>
      <c r="Q636" s="156">
        <f t="shared" si="240"/>
        <v>43556</v>
      </c>
      <c r="R636" s="169">
        <v>43617</v>
      </c>
      <c r="S636" s="156">
        <f t="shared" si="241"/>
        <v>43617</v>
      </c>
      <c r="T636" s="140" t="str">
        <f t="shared" ca="1" si="236"/>
        <v/>
      </c>
      <c r="U636" s="139" t="str">
        <f t="shared" si="233"/>
        <v/>
      </c>
      <c r="V636" s="139" t="str">
        <f t="shared" si="234"/>
        <v/>
      </c>
      <c r="W636" s="139" t="str">
        <f t="shared" si="235"/>
        <v/>
      </c>
      <c r="X636" s="327"/>
    </row>
    <row r="637" spans="1:24" ht="18.75" x14ac:dyDescent="0.25">
      <c r="A637" s="157"/>
      <c r="B637" s="158"/>
      <c r="C637" s="157"/>
      <c r="D637" s="157"/>
      <c r="E637" s="159"/>
      <c r="F637" s="160">
        <f>SUM(F595:F636)</f>
        <v>184776858</v>
      </c>
      <c r="G637" s="160">
        <f>SUM(G595:G636)</f>
        <v>224017838</v>
      </c>
      <c r="H637" s="160">
        <f>SUM(H595:H636)</f>
        <v>2840056647</v>
      </c>
      <c r="J637" s="161">
        <f>F637/$J$2</f>
        <v>11390.510294661572</v>
      </c>
      <c r="K637" s="161">
        <f>G637/$J$2</f>
        <v>13809.507952163729</v>
      </c>
      <c r="L637" s="161">
        <f>H637/$J$2</f>
        <v>175074.38336826532</v>
      </c>
      <c r="N637" s="159"/>
      <c r="O637" s="162"/>
      <c r="P637" s="162"/>
      <c r="Q637" s="156" t="str">
        <f t="shared" si="240"/>
        <v/>
      </c>
      <c r="R637" s="162"/>
      <c r="S637" s="156" t="str">
        <f t="shared" si="241"/>
        <v/>
      </c>
      <c r="T637" s="140" t="str">
        <f t="shared" ca="1" si="236"/>
        <v/>
      </c>
      <c r="U637" s="139" t="str">
        <f t="shared" si="233"/>
        <v/>
      </c>
      <c r="V637" s="139" t="str">
        <f t="shared" si="234"/>
        <v/>
      </c>
      <c r="W637" s="139" t="str">
        <f t="shared" si="235"/>
        <v/>
      </c>
      <c r="X637" s="327"/>
    </row>
    <row r="638" spans="1:24" ht="18.75" x14ac:dyDescent="0.25">
      <c r="Q638" s="156" t="str">
        <f t="shared" si="240"/>
        <v/>
      </c>
      <c r="S638" s="156" t="str">
        <f t="shared" si="241"/>
        <v/>
      </c>
      <c r="T638" s="140" t="str">
        <f t="shared" ca="1" si="236"/>
        <v/>
      </c>
      <c r="U638" s="139" t="str">
        <f t="shared" si="233"/>
        <v/>
      </c>
      <c r="V638" s="139" t="str">
        <f t="shared" si="234"/>
        <v/>
      </c>
      <c r="W638" s="139" t="str">
        <f t="shared" si="235"/>
        <v/>
      </c>
      <c r="X638" s="327"/>
    </row>
    <row r="639" spans="1:24" ht="18.75" x14ac:dyDescent="0.25">
      <c r="A639" s="163" t="str">
        <f>'Funding 2019'!L119</f>
        <v>One Time Cost Related to Product</v>
      </c>
      <c r="B639" s="113" t="str">
        <f>'Funding 2019'!L107</f>
        <v>H247 - TE</v>
      </c>
      <c r="C639" s="147"/>
      <c r="D639" s="147"/>
      <c r="E639" s="148"/>
      <c r="F639" s="148"/>
      <c r="G639" s="148"/>
      <c r="H639" s="148"/>
      <c r="J639" s="149">
        <f t="shared" ref="J639:J644" si="248">F639/$J$2</f>
        <v>0</v>
      </c>
      <c r="K639" s="149">
        <f t="shared" ref="K639:K644" si="249">G639/$J$2</f>
        <v>0</v>
      </c>
      <c r="L639" s="149">
        <f t="shared" ref="L639:L644" si="250">H639/$J$2</f>
        <v>0</v>
      </c>
      <c r="N639" s="148"/>
      <c r="O639" s="150"/>
      <c r="P639" s="150"/>
      <c r="Q639" s="156" t="str">
        <f t="shared" si="240"/>
        <v/>
      </c>
      <c r="R639" s="150"/>
      <c r="S639" s="156" t="str">
        <f t="shared" si="241"/>
        <v/>
      </c>
      <c r="T639" s="140" t="str">
        <f t="shared" ca="1" si="236"/>
        <v/>
      </c>
      <c r="U639" s="139" t="str">
        <f t="shared" si="233"/>
        <v/>
      </c>
      <c r="V639" s="139" t="str">
        <f t="shared" si="234"/>
        <v/>
      </c>
      <c r="W639" s="139" t="str">
        <f t="shared" si="235"/>
        <v/>
      </c>
      <c r="X639" s="327"/>
    </row>
    <row r="640" spans="1:24" ht="18.75" x14ac:dyDescent="0.25">
      <c r="A640" s="151">
        <v>1</v>
      </c>
      <c r="B640" s="106" t="str">
        <f>'Funding 2019'!$K$107</f>
        <v>EGMM0019H247</v>
      </c>
      <c r="C640" s="151">
        <v>5300000251</v>
      </c>
      <c r="D640" s="151">
        <v>4500135206</v>
      </c>
      <c r="E640" s="152" t="s">
        <v>504</v>
      </c>
      <c r="F640" s="153">
        <f>2483558000*0</f>
        <v>0</v>
      </c>
      <c r="G640" s="153">
        <v>2465386000</v>
      </c>
      <c r="H640" s="153"/>
      <c r="J640" s="154">
        <f t="shared" si="248"/>
        <v>0</v>
      </c>
      <c r="K640" s="154">
        <f t="shared" si="249"/>
        <v>151977.93120453705</v>
      </c>
      <c r="L640" s="154">
        <f t="shared" si="250"/>
        <v>0</v>
      </c>
      <c r="N640" s="176" t="s">
        <v>248</v>
      </c>
      <c r="O640" s="318">
        <v>43799</v>
      </c>
      <c r="P640" s="155">
        <v>43643</v>
      </c>
      <c r="Q640" s="156">
        <f t="shared" si="240"/>
        <v>43617</v>
      </c>
      <c r="R640" s="155"/>
      <c r="S640" s="156" t="str">
        <f t="shared" si="241"/>
        <v/>
      </c>
      <c r="T640" s="140" t="str">
        <f t="shared" ca="1" si="236"/>
        <v/>
      </c>
      <c r="U640" s="139" t="str">
        <f t="shared" si="233"/>
        <v/>
      </c>
      <c r="V640" s="139" t="str">
        <f t="shared" si="234"/>
        <v/>
      </c>
      <c r="W640" s="139" t="str">
        <f t="shared" si="235"/>
        <v/>
      </c>
      <c r="X640" s="327"/>
    </row>
    <row r="641" spans="1:25" ht="18.75" x14ac:dyDescent="0.25">
      <c r="A641" s="151">
        <v>2</v>
      </c>
      <c r="B641" s="106" t="str">
        <f>'Funding 2019'!$K$107</f>
        <v>EGMM0019H247</v>
      </c>
      <c r="C641" s="151"/>
      <c r="D641" s="151"/>
      <c r="E641" s="152"/>
      <c r="F641" s="153"/>
      <c r="G641" s="153"/>
      <c r="H641" s="153"/>
      <c r="J641" s="154">
        <f t="shared" si="248"/>
        <v>0</v>
      </c>
      <c r="K641" s="154">
        <f t="shared" ref="K641:L643" si="251">G641/$J$2</f>
        <v>0</v>
      </c>
      <c r="L641" s="154">
        <f t="shared" si="251"/>
        <v>0</v>
      </c>
      <c r="N641" s="152"/>
      <c r="O641" s="155"/>
      <c r="P641" s="155"/>
      <c r="Q641" s="156" t="str">
        <f t="shared" si="240"/>
        <v/>
      </c>
      <c r="R641" s="155"/>
      <c r="S641" s="156" t="str">
        <f t="shared" si="241"/>
        <v/>
      </c>
      <c r="T641" s="140" t="str">
        <f t="shared" ca="1" si="236"/>
        <v/>
      </c>
      <c r="U641" s="139" t="str">
        <f t="shared" si="233"/>
        <v/>
      </c>
      <c r="V641" s="139" t="str">
        <f t="shared" si="234"/>
        <v/>
      </c>
      <c r="W641" s="139" t="str">
        <f t="shared" si="235"/>
        <v/>
      </c>
      <c r="X641" s="327"/>
    </row>
    <row r="642" spans="1:25" ht="18.75" x14ac:dyDescent="0.25">
      <c r="A642" s="151">
        <v>3</v>
      </c>
      <c r="B642" s="106" t="str">
        <f>'Funding 2019'!$K$107</f>
        <v>EGMM0019H247</v>
      </c>
      <c r="C642" s="151"/>
      <c r="D642" s="151"/>
      <c r="E642" s="152"/>
      <c r="F642" s="153"/>
      <c r="G642" s="153"/>
      <c r="H642" s="153"/>
      <c r="J642" s="154">
        <f t="shared" si="248"/>
        <v>0</v>
      </c>
      <c r="K642" s="154">
        <f t="shared" si="251"/>
        <v>0</v>
      </c>
      <c r="L642" s="154">
        <f t="shared" si="251"/>
        <v>0</v>
      </c>
      <c r="N642" s="152"/>
      <c r="O642" s="155"/>
      <c r="P642" s="155"/>
      <c r="Q642" s="156" t="str">
        <f t="shared" si="240"/>
        <v/>
      </c>
      <c r="R642" s="155"/>
      <c r="S642" s="156" t="str">
        <f t="shared" si="241"/>
        <v/>
      </c>
      <c r="T642" s="140" t="str">
        <f t="shared" ca="1" si="236"/>
        <v/>
      </c>
      <c r="U642" s="139" t="str">
        <f t="shared" si="233"/>
        <v/>
      </c>
      <c r="V642" s="139" t="str">
        <f t="shared" si="234"/>
        <v/>
      </c>
      <c r="W642" s="139" t="str">
        <f t="shared" si="235"/>
        <v/>
      </c>
      <c r="X642" s="327"/>
    </row>
    <row r="643" spans="1:25" ht="18.75" x14ac:dyDescent="0.25">
      <c r="A643" s="151">
        <v>4</v>
      </c>
      <c r="B643" s="106" t="str">
        <f>'Funding 2019'!$K$107</f>
        <v>EGMM0019H247</v>
      </c>
      <c r="C643" s="151"/>
      <c r="D643" s="151"/>
      <c r="E643" s="152"/>
      <c r="F643" s="153"/>
      <c r="G643" s="153"/>
      <c r="H643" s="153"/>
      <c r="J643" s="154">
        <f t="shared" si="248"/>
        <v>0</v>
      </c>
      <c r="K643" s="154">
        <f t="shared" si="251"/>
        <v>0</v>
      </c>
      <c r="L643" s="154">
        <f t="shared" si="251"/>
        <v>0</v>
      </c>
      <c r="N643" s="152"/>
      <c r="O643" s="155"/>
      <c r="P643" s="155"/>
      <c r="Q643" s="156" t="str">
        <f t="shared" si="240"/>
        <v/>
      </c>
      <c r="R643" s="155"/>
      <c r="S643" s="156" t="str">
        <f t="shared" si="241"/>
        <v/>
      </c>
      <c r="T643" s="140" t="str">
        <f t="shared" ca="1" si="236"/>
        <v/>
      </c>
      <c r="U643" s="139" t="str">
        <f t="shared" si="233"/>
        <v/>
      </c>
      <c r="V643" s="139" t="str">
        <f t="shared" si="234"/>
        <v/>
      </c>
      <c r="W643" s="139" t="str">
        <f t="shared" si="235"/>
        <v/>
      </c>
      <c r="X643" s="327"/>
    </row>
    <row r="644" spans="1:25" ht="18.75" x14ac:dyDescent="0.25">
      <c r="A644" s="157"/>
      <c r="B644" s="158"/>
      <c r="C644" s="157"/>
      <c r="D644" s="157"/>
      <c r="E644" s="159"/>
      <c r="F644" s="160">
        <f>SUM(F639:F643)</f>
        <v>0</v>
      </c>
      <c r="G644" s="160">
        <f>SUM(G639:G643)</f>
        <v>2465386000</v>
      </c>
      <c r="H644" s="160">
        <f>SUM(H639:H643)</f>
        <v>0</v>
      </c>
      <c r="J644" s="161">
        <f t="shared" si="248"/>
        <v>0</v>
      </c>
      <c r="K644" s="161">
        <f t="shared" si="249"/>
        <v>151977.93120453705</v>
      </c>
      <c r="L644" s="161">
        <f t="shared" si="250"/>
        <v>0</v>
      </c>
      <c r="N644" s="159"/>
      <c r="O644" s="162"/>
      <c r="P644" s="162"/>
      <c r="Q644" s="156" t="str">
        <f t="shared" si="240"/>
        <v/>
      </c>
      <c r="R644" s="162"/>
      <c r="S644" s="156" t="str">
        <f t="shared" si="241"/>
        <v/>
      </c>
      <c r="T644" s="140" t="str">
        <f t="shared" ca="1" si="236"/>
        <v/>
      </c>
      <c r="U644" s="139" t="str">
        <f t="shared" si="233"/>
        <v/>
      </c>
      <c r="V644" s="139" t="str">
        <f t="shared" si="234"/>
        <v/>
      </c>
      <c r="W644" s="139" t="str">
        <f t="shared" si="235"/>
        <v/>
      </c>
      <c r="X644" s="327"/>
    </row>
    <row r="645" spans="1:25" ht="18.75" x14ac:dyDescent="0.25">
      <c r="Q645" s="156" t="str">
        <f t="shared" si="240"/>
        <v/>
      </c>
      <c r="S645" s="156" t="str">
        <f t="shared" si="241"/>
        <v/>
      </c>
      <c r="T645" s="140" t="str">
        <f t="shared" ca="1" si="236"/>
        <v/>
      </c>
      <c r="U645" s="139" t="str">
        <f t="shared" si="233"/>
        <v/>
      </c>
      <c r="V645" s="139" t="str">
        <f t="shared" si="234"/>
        <v/>
      </c>
      <c r="W645" s="139" t="str">
        <f t="shared" si="235"/>
        <v/>
      </c>
      <c r="X645" s="327"/>
    </row>
    <row r="646" spans="1:25" ht="18.75" x14ac:dyDescent="0.25">
      <c r="A646" s="163" t="str">
        <f>'Funding 2019'!L119</f>
        <v>One Time Cost Related to Product</v>
      </c>
      <c r="B646" s="113" t="str">
        <f>'Funding 2019'!L108</f>
        <v xml:space="preserve">V167 - One time cost </v>
      </c>
      <c r="C646" s="147"/>
      <c r="D646" s="147"/>
      <c r="E646" s="148"/>
      <c r="F646" s="148"/>
      <c r="G646" s="148"/>
      <c r="H646" s="148"/>
      <c r="J646" s="149">
        <f t="shared" ref="J646:L647" si="252">F646/$J$2</f>
        <v>0</v>
      </c>
      <c r="K646" s="149">
        <f t="shared" si="252"/>
        <v>0</v>
      </c>
      <c r="L646" s="149">
        <f t="shared" si="252"/>
        <v>0</v>
      </c>
      <c r="N646" s="148"/>
      <c r="O646" s="150"/>
      <c r="P646" s="150"/>
      <c r="Q646" s="156" t="str">
        <f t="shared" si="240"/>
        <v/>
      </c>
      <c r="R646" s="150"/>
      <c r="S646" s="156" t="str">
        <f t="shared" si="241"/>
        <v/>
      </c>
      <c r="T646" s="140" t="str">
        <f t="shared" ca="1" si="236"/>
        <v/>
      </c>
      <c r="U646" s="139" t="str">
        <f t="shared" si="233"/>
        <v/>
      </c>
      <c r="V646" s="139" t="str">
        <f t="shared" si="234"/>
        <v/>
      </c>
      <c r="W646" s="139" t="str">
        <f t="shared" si="235"/>
        <v/>
      </c>
      <c r="X646" s="327"/>
    </row>
    <row r="647" spans="1:25" ht="18.75" x14ac:dyDescent="0.25">
      <c r="A647" s="151">
        <v>1</v>
      </c>
      <c r="B647" s="106" t="str">
        <f>'Funding 2019'!$K$108</f>
        <v>EGMM0019V167</v>
      </c>
      <c r="C647" s="151">
        <v>6100000691</v>
      </c>
      <c r="D647" s="151">
        <v>330918301</v>
      </c>
      <c r="E647" s="152" t="s">
        <v>179</v>
      </c>
      <c r="F647" s="166"/>
      <c r="G647" s="166">
        <f>82583531*0</f>
        <v>0</v>
      </c>
      <c r="H647" s="166">
        <v>170492549</v>
      </c>
      <c r="J647" s="154">
        <f t="shared" si="252"/>
        <v>0</v>
      </c>
      <c r="K647" s="154">
        <f t="shared" si="252"/>
        <v>0</v>
      </c>
      <c r="L647" s="154">
        <f t="shared" si="252"/>
        <v>10509.958636419677</v>
      </c>
      <c r="N647" s="152" t="s">
        <v>167</v>
      </c>
      <c r="O647" s="155">
        <v>43616</v>
      </c>
      <c r="P647" s="155">
        <v>43385</v>
      </c>
      <c r="Q647" s="156">
        <f t="shared" si="240"/>
        <v>43465</v>
      </c>
      <c r="R647" s="155">
        <v>43556</v>
      </c>
      <c r="S647" s="156">
        <f t="shared" si="241"/>
        <v>43556</v>
      </c>
      <c r="T647" s="140" t="str">
        <f t="shared" ca="1" si="236"/>
        <v/>
      </c>
      <c r="U647" s="139" t="str">
        <f t="shared" si="233"/>
        <v/>
      </c>
      <c r="V647" s="139" t="str">
        <f t="shared" si="234"/>
        <v/>
      </c>
      <c r="W647" s="139" t="str">
        <f t="shared" si="235"/>
        <v/>
      </c>
      <c r="X647" s="327"/>
    </row>
    <row r="648" spans="1:25" ht="18.75" x14ac:dyDescent="0.25">
      <c r="A648" s="151">
        <v>2</v>
      </c>
      <c r="B648" s="106" t="str">
        <f>'Funding 2019'!$K$108</f>
        <v>EGMM0019V167</v>
      </c>
      <c r="C648" s="151">
        <v>6100000695</v>
      </c>
      <c r="D648" s="151">
        <v>331018302</v>
      </c>
      <c r="E648" s="152" t="s">
        <v>288</v>
      </c>
      <c r="F648" s="166"/>
      <c r="G648" s="166">
        <f>9927415*0</f>
        <v>0</v>
      </c>
      <c r="H648" s="166">
        <v>24359313</v>
      </c>
      <c r="J648" s="154">
        <f t="shared" ref="J648:J711" si="253">F648/$J$2</f>
        <v>0</v>
      </c>
      <c r="K648" s="154">
        <f t="shared" ref="K648:K711" si="254">G648/$J$2</f>
        <v>0</v>
      </c>
      <c r="L648" s="154">
        <f t="shared" ref="L648:L711" si="255">H648/$J$2</f>
        <v>1501.6220564665268</v>
      </c>
      <c r="N648" s="152" t="s">
        <v>167</v>
      </c>
      <c r="O648" s="155">
        <v>43555</v>
      </c>
      <c r="P648" s="155">
        <v>43390</v>
      </c>
      <c r="Q648" s="156">
        <f t="shared" si="240"/>
        <v>43465</v>
      </c>
      <c r="R648" s="155">
        <v>43466</v>
      </c>
      <c r="S648" s="156">
        <f t="shared" si="241"/>
        <v>43466</v>
      </c>
      <c r="T648" s="140" t="str">
        <f t="shared" ca="1" si="236"/>
        <v/>
      </c>
      <c r="U648" s="139" t="str">
        <f t="shared" si="233"/>
        <v/>
      </c>
      <c r="V648" s="139" t="str">
        <f t="shared" si="234"/>
        <v/>
      </c>
      <c r="W648" s="139" t="str">
        <f t="shared" si="235"/>
        <v/>
      </c>
      <c r="X648" s="327"/>
    </row>
    <row r="649" spans="1:25" ht="18.75" x14ac:dyDescent="0.25">
      <c r="A649" s="283">
        <v>3</v>
      </c>
      <c r="B649" s="331" t="str">
        <f>'Funding 2019'!$K$108</f>
        <v>EGMM0019V167</v>
      </c>
      <c r="C649" s="283">
        <v>6100000696</v>
      </c>
      <c r="D649" s="283">
        <v>331018803</v>
      </c>
      <c r="E649" s="284" t="s">
        <v>289</v>
      </c>
      <c r="F649" s="280">
        <f>0*6969097</f>
        <v>0</v>
      </c>
      <c r="G649" s="280">
        <f>6603417*0</f>
        <v>0</v>
      </c>
      <c r="H649" s="280">
        <v>186558043</v>
      </c>
      <c r="I649" s="329"/>
      <c r="J649" s="154">
        <f t="shared" si="253"/>
        <v>0</v>
      </c>
      <c r="K649" s="154">
        <f t="shared" si="254"/>
        <v>0</v>
      </c>
      <c r="L649" s="154">
        <f t="shared" si="255"/>
        <v>11500.310874121564</v>
      </c>
      <c r="M649" s="329"/>
      <c r="N649" s="284" t="s">
        <v>167</v>
      </c>
      <c r="O649" s="318">
        <v>43616</v>
      </c>
      <c r="P649" s="318">
        <v>43446</v>
      </c>
      <c r="Q649" s="156">
        <f t="shared" si="240"/>
        <v>43465</v>
      </c>
      <c r="R649" s="318">
        <v>43556</v>
      </c>
      <c r="S649" s="156">
        <f t="shared" si="241"/>
        <v>43556</v>
      </c>
      <c r="T649" s="140" t="str">
        <f t="shared" ca="1" si="236"/>
        <v/>
      </c>
      <c r="U649" s="139" t="str">
        <f t="shared" si="233"/>
        <v/>
      </c>
      <c r="V649" s="139" t="str">
        <f t="shared" si="234"/>
        <v/>
      </c>
      <c r="W649" s="139" t="str">
        <f t="shared" si="235"/>
        <v/>
      </c>
      <c r="X649" s="327"/>
      <c r="Y649" s="139" t="s">
        <v>806</v>
      </c>
    </row>
    <row r="650" spans="1:25" ht="18.75" x14ac:dyDescent="0.25">
      <c r="A650" s="151"/>
      <c r="B650" s="106" t="str">
        <f>'Funding 2019'!$K$108</f>
        <v>EGMM0019V167</v>
      </c>
      <c r="C650" s="177">
        <v>6100000696</v>
      </c>
      <c r="D650" s="177" t="s">
        <v>817</v>
      </c>
      <c r="E650" s="178" t="s">
        <v>289</v>
      </c>
      <c r="F650" s="166"/>
      <c r="G650" s="166"/>
      <c r="H650" s="166">
        <v>30781544</v>
      </c>
      <c r="J650" s="154">
        <f t="shared" si="253"/>
        <v>0</v>
      </c>
      <c r="K650" s="154">
        <f t="shared" si="254"/>
        <v>0</v>
      </c>
      <c r="L650" s="154">
        <f t="shared" si="255"/>
        <v>1897.5184317593391</v>
      </c>
      <c r="N650" s="152" t="s">
        <v>167</v>
      </c>
      <c r="O650" s="155">
        <v>43616</v>
      </c>
      <c r="P650" s="155">
        <v>43446</v>
      </c>
      <c r="Q650" s="156">
        <f t="shared" si="240"/>
        <v>43465</v>
      </c>
      <c r="R650" s="155">
        <v>43556</v>
      </c>
      <c r="S650" s="156">
        <f t="shared" si="241"/>
        <v>43556</v>
      </c>
      <c r="T650" s="140" t="str">
        <f t="shared" ca="1" si="236"/>
        <v/>
      </c>
      <c r="U650" s="139" t="str">
        <f t="shared" si="233"/>
        <v/>
      </c>
      <c r="V650" s="139" t="str">
        <f t="shared" si="234"/>
        <v/>
      </c>
      <c r="W650" s="139" t="str">
        <f t="shared" si="235"/>
        <v/>
      </c>
      <c r="X650" s="327"/>
    </row>
    <row r="651" spans="1:25" ht="18.75" x14ac:dyDescent="0.25">
      <c r="A651" s="151">
        <v>4</v>
      </c>
      <c r="B651" s="106" t="str">
        <f>'Funding 2019'!$K$108</f>
        <v>EGMM0019V167</v>
      </c>
      <c r="C651" s="177">
        <v>6100000698</v>
      </c>
      <c r="D651" s="177" t="s">
        <v>180</v>
      </c>
      <c r="E651" s="178" t="s">
        <v>290</v>
      </c>
      <c r="F651" s="166"/>
      <c r="G651" s="166">
        <f>6736427*0</f>
        <v>0</v>
      </c>
      <c r="H651" s="166">
        <v>54984045</v>
      </c>
      <c r="J651" s="154">
        <f t="shared" si="253"/>
        <v>0</v>
      </c>
      <c r="K651" s="154">
        <f t="shared" si="254"/>
        <v>0</v>
      </c>
      <c r="L651" s="154">
        <f t="shared" si="255"/>
        <v>3389.4738626556527</v>
      </c>
      <c r="N651" s="152" t="s">
        <v>167</v>
      </c>
      <c r="O651" s="155">
        <v>43616</v>
      </c>
      <c r="P651" s="155">
        <v>43446</v>
      </c>
      <c r="Q651" s="156">
        <f t="shared" si="240"/>
        <v>43465</v>
      </c>
      <c r="R651" s="155">
        <v>43660</v>
      </c>
      <c r="S651" s="156">
        <f t="shared" si="241"/>
        <v>43647</v>
      </c>
      <c r="T651" s="140" t="str">
        <f t="shared" ca="1" si="236"/>
        <v/>
      </c>
      <c r="U651" s="139" t="str">
        <f t="shared" si="233"/>
        <v/>
      </c>
      <c r="V651" s="139" t="str">
        <f t="shared" si="234"/>
        <v/>
      </c>
      <c r="W651" s="139" t="str">
        <f t="shared" si="235"/>
        <v/>
      </c>
      <c r="X651" s="327"/>
    </row>
    <row r="652" spans="1:25" ht="18.75" x14ac:dyDescent="0.25">
      <c r="A652" s="151">
        <v>5</v>
      </c>
      <c r="B652" s="106" t="str">
        <f>'Funding 2019'!$K$108</f>
        <v>EGMM0019V167</v>
      </c>
      <c r="C652" s="151">
        <v>2100011481</v>
      </c>
      <c r="D652" s="151">
        <v>4500134180</v>
      </c>
      <c r="E652" s="279" t="s">
        <v>291</v>
      </c>
      <c r="F652" s="166"/>
      <c r="G652" s="166">
        <f>8500000*0</f>
        <v>0</v>
      </c>
      <c r="H652" s="166">
        <v>298559072</v>
      </c>
      <c r="J652" s="154">
        <f t="shared" si="253"/>
        <v>0</v>
      </c>
      <c r="K652" s="154">
        <f t="shared" si="254"/>
        <v>0</v>
      </c>
      <c r="L652" s="154">
        <f t="shared" si="255"/>
        <v>18404.57847367772</v>
      </c>
      <c r="N652" s="152" t="s">
        <v>181</v>
      </c>
      <c r="O652" s="155">
        <v>43555</v>
      </c>
      <c r="P652" s="155">
        <v>43411</v>
      </c>
      <c r="Q652" s="156">
        <f t="shared" si="240"/>
        <v>43465</v>
      </c>
      <c r="R652" s="155">
        <v>43466</v>
      </c>
      <c r="S652" s="156">
        <f t="shared" si="241"/>
        <v>43466</v>
      </c>
      <c r="T652" s="140" t="str">
        <f t="shared" ca="1" si="236"/>
        <v/>
      </c>
      <c r="U652" s="139" t="str">
        <f t="shared" si="233"/>
        <v/>
      </c>
      <c r="V652" s="139" t="str">
        <f t="shared" si="234"/>
        <v/>
      </c>
      <c r="W652" s="139" t="str">
        <f t="shared" si="235"/>
        <v/>
      </c>
      <c r="X652" s="327"/>
      <c r="Y652" s="139" t="s">
        <v>701</v>
      </c>
    </row>
    <row r="653" spans="1:25" ht="18.75" x14ac:dyDescent="0.25">
      <c r="A653" s="151">
        <v>6</v>
      </c>
      <c r="B653" s="106" t="str">
        <f>'Funding 2019'!$K$108</f>
        <v>EGMM0019V167</v>
      </c>
      <c r="C653" s="151">
        <v>2100011492</v>
      </c>
      <c r="D653" s="151">
        <v>4500134306</v>
      </c>
      <c r="E653" s="279" t="s">
        <v>292</v>
      </c>
      <c r="F653" s="166"/>
      <c r="G653" s="166">
        <f>268959804*0</f>
        <v>0</v>
      </c>
      <c r="H653" s="166">
        <v>268959790</v>
      </c>
      <c r="J653" s="154">
        <f t="shared" si="253"/>
        <v>0</v>
      </c>
      <c r="K653" s="154">
        <f t="shared" si="254"/>
        <v>0</v>
      </c>
      <c r="L653" s="154">
        <f t="shared" si="255"/>
        <v>16579.940204660339</v>
      </c>
      <c r="N653" s="152" t="s">
        <v>181</v>
      </c>
      <c r="O653" s="155">
        <v>43555</v>
      </c>
      <c r="P653" s="155">
        <v>43437</v>
      </c>
      <c r="Q653" s="156">
        <f t="shared" si="240"/>
        <v>43465</v>
      </c>
      <c r="R653" s="155">
        <v>43556</v>
      </c>
      <c r="S653" s="156">
        <f t="shared" si="241"/>
        <v>43556</v>
      </c>
      <c r="T653" s="140" t="str">
        <f t="shared" ca="1" si="236"/>
        <v/>
      </c>
      <c r="U653" s="139" t="str">
        <f t="shared" si="233"/>
        <v/>
      </c>
      <c r="V653" s="139" t="str">
        <f t="shared" si="234"/>
        <v/>
      </c>
      <c r="W653" s="139" t="str">
        <f t="shared" si="235"/>
        <v/>
      </c>
      <c r="X653" s="327"/>
      <c r="Y653" s="139" t="s">
        <v>701</v>
      </c>
    </row>
    <row r="654" spans="1:25" ht="18.75" x14ac:dyDescent="0.25">
      <c r="A654" s="151">
        <v>7</v>
      </c>
      <c r="B654" s="106" t="str">
        <f>'Funding 2019'!$K$108</f>
        <v>EGMM0019V167</v>
      </c>
      <c r="C654" s="151">
        <v>6100000711</v>
      </c>
      <c r="D654" s="151">
        <v>330119802</v>
      </c>
      <c r="E654" s="152" t="s">
        <v>293</v>
      </c>
      <c r="F654" s="166"/>
      <c r="G654" s="166"/>
      <c r="H654" s="166">
        <v>60381529</v>
      </c>
      <c r="J654" s="154">
        <f t="shared" si="253"/>
        <v>0</v>
      </c>
      <c r="K654" s="154">
        <f t="shared" si="254"/>
        <v>0</v>
      </c>
      <c r="L654" s="154">
        <f t="shared" si="255"/>
        <v>3722.2000369868078</v>
      </c>
      <c r="N654" s="152" t="s">
        <v>167</v>
      </c>
      <c r="O654" s="155">
        <v>43570</v>
      </c>
      <c r="P654" s="155">
        <v>43480</v>
      </c>
      <c r="Q654" s="156">
        <f t="shared" si="240"/>
        <v>43466</v>
      </c>
      <c r="R654" s="155">
        <v>43556</v>
      </c>
      <c r="S654" s="156">
        <f t="shared" si="241"/>
        <v>43556</v>
      </c>
      <c r="T654" s="140" t="str">
        <f t="shared" ca="1" si="236"/>
        <v/>
      </c>
      <c r="U654" s="139" t="str">
        <f t="shared" ref="U654:U717" si="256">IF(A654="","",IF(AND(J654&gt;0,Q654=""), "RED",""))</f>
        <v/>
      </c>
      <c r="V654" s="139" t="str">
        <f t="shared" ref="V654:V717" si="257">IF(A654="","",IF(AND(K654&gt;0,Q654=""), "BLUE",""))</f>
        <v/>
      </c>
      <c r="W654" s="139" t="str">
        <f t="shared" ref="W654:W717" si="258">IF(A654="","",IF(AND(L654&gt;0,S654=""), "YELLOW",""))</f>
        <v/>
      </c>
      <c r="X654" s="327"/>
    </row>
    <row r="655" spans="1:25" ht="18.75" x14ac:dyDescent="0.25">
      <c r="A655" s="151">
        <v>8</v>
      </c>
      <c r="B655" s="106" t="str">
        <f>'Funding 2019'!$K$108</f>
        <v>EGMM0019V167</v>
      </c>
      <c r="C655" s="151">
        <v>6100000715</v>
      </c>
      <c r="D655" s="151">
        <v>330119806</v>
      </c>
      <c r="E655" s="152" t="s">
        <v>294</v>
      </c>
      <c r="F655" s="166"/>
      <c r="G655" s="166">
        <f>2902618*0</f>
        <v>0</v>
      </c>
      <c r="H655" s="166">
        <v>14522655</v>
      </c>
      <c r="J655" s="154">
        <f t="shared" si="253"/>
        <v>0</v>
      </c>
      <c r="K655" s="154">
        <f t="shared" si="254"/>
        <v>0</v>
      </c>
      <c r="L655" s="154">
        <f t="shared" si="255"/>
        <v>895.24442115645422</v>
      </c>
      <c r="N655" s="152" t="s">
        <v>167</v>
      </c>
      <c r="O655" s="155">
        <v>43577</v>
      </c>
      <c r="P655" s="155">
        <v>43481</v>
      </c>
      <c r="Q655" s="156">
        <f t="shared" si="240"/>
        <v>43466</v>
      </c>
      <c r="R655" s="155">
        <v>43556</v>
      </c>
      <c r="S655" s="156">
        <f t="shared" si="241"/>
        <v>43556</v>
      </c>
      <c r="T655" s="140" t="str">
        <f t="shared" ca="1" si="236"/>
        <v/>
      </c>
      <c r="U655" s="139" t="str">
        <f t="shared" si="256"/>
        <v/>
      </c>
      <c r="V655" s="139" t="str">
        <f t="shared" si="257"/>
        <v/>
      </c>
      <c r="W655" s="139" t="str">
        <f t="shared" si="258"/>
        <v/>
      </c>
      <c r="X655" s="327"/>
    </row>
    <row r="656" spans="1:25" ht="18.75" x14ac:dyDescent="0.25">
      <c r="A656" s="151">
        <v>9</v>
      </c>
      <c r="B656" s="106" t="str">
        <f>'Funding 2019'!$K$108</f>
        <v>EGMM0019V167</v>
      </c>
      <c r="C656" s="151">
        <v>4400000609</v>
      </c>
      <c r="D656" s="151">
        <v>7500000581</v>
      </c>
      <c r="E656" s="279" t="s">
        <v>295</v>
      </c>
      <c r="F656" s="166"/>
      <c r="G656" s="166">
        <f>6000000*0</f>
        <v>0</v>
      </c>
      <c r="H656" s="166">
        <v>6000000</v>
      </c>
      <c r="J656" s="154">
        <f t="shared" si="253"/>
        <v>0</v>
      </c>
      <c r="K656" s="154">
        <f t="shared" si="254"/>
        <v>0</v>
      </c>
      <c r="L656" s="154">
        <f t="shared" si="255"/>
        <v>369.86808038466279</v>
      </c>
      <c r="N656" s="152" t="s">
        <v>199</v>
      </c>
      <c r="O656" s="155">
        <v>43555</v>
      </c>
      <c r="P656" s="155">
        <v>43488</v>
      </c>
      <c r="Q656" s="156">
        <f t="shared" si="240"/>
        <v>43466</v>
      </c>
      <c r="R656" s="155">
        <v>43556</v>
      </c>
      <c r="S656" s="156">
        <f t="shared" si="241"/>
        <v>43556</v>
      </c>
      <c r="T656" s="140" t="str">
        <f t="shared" ref="T656:T719" ca="1" si="259">IF(R656="",IF(O656="",IF(P656="","",IF(P656-TODAY()&lt;=0,TODAY()-P656,"")),IF(O656-TODAY()&lt;=0,TODAY()-O656,"")),IF(SUM(F656:G656)&lt;&gt;0,IF(O656="",IF(P656="","",IF(P656-TODAY()&lt;=0,TODAY()-P656,"")),IF(O656-TODAY()&lt;=0,TODAY()-O656,"")),""))</f>
        <v/>
      </c>
      <c r="U656" s="139" t="str">
        <f t="shared" si="256"/>
        <v/>
      </c>
      <c r="V656" s="139" t="str">
        <f t="shared" si="257"/>
        <v/>
      </c>
      <c r="W656" s="139" t="str">
        <f t="shared" si="258"/>
        <v/>
      </c>
      <c r="X656" s="327"/>
    </row>
    <row r="657" spans="1:25" ht="18.75" x14ac:dyDescent="0.25">
      <c r="A657" s="283">
        <v>10</v>
      </c>
      <c r="B657" s="331" t="str">
        <f>'Funding 2019'!$K$108</f>
        <v>EGMM0019V167</v>
      </c>
      <c r="C657" s="283">
        <v>6100000721</v>
      </c>
      <c r="D657" s="283">
        <v>330119808</v>
      </c>
      <c r="E657" s="284" t="s">
        <v>296</v>
      </c>
      <c r="F657" s="280"/>
      <c r="G657" s="280">
        <f>17517870*0</f>
        <v>0</v>
      </c>
      <c r="H657" s="280">
        <v>45969165</v>
      </c>
      <c r="I657" s="329"/>
      <c r="J657" s="330">
        <f t="shared" si="253"/>
        <v>0</v>
      </c>
      <c r="K657" s="330">
        <f t="shared" si="254"/>
        <v>0</v>
      </c>
      <c r="L657" s="330">
        <f t="shared" si="255"/>
        <v>2833.7544692393049</v>
      </c>
      <c r="M657" s="329"/>
      <c r="N657" s="284" t="s">
        <v>167</v>
      </c>
      <c r="O657" s="318">
        <v>43617</v>
      </c>
      <c r="P657" s="318">
        <v>43500</v>
      </c>
      <c r="Q657" s="156">
        <f t="shared" si="240"/>
        <v>43497</v>
      </c>
      <c r="R657" s="318">
        <v>43556</v>
      </c>
      <c r="S657" s="156">
        <f t="shared" si="241"/>
        <v>43556</v>
      </c>
      <c r="T657" s="140" t="str">
        <f t="shared" ca="1" si="259"/>
        <v/>
      </c>
      <c r="U657" s="139" t="str">
        <f t="shared" si="256"/>
        <v/>
      </c>
      <c r="V657" s="139" t="str">
        <f t="shared" si="257"/>
        <v/>
      </c>
      <c r="W657" s="139" t="str">
        <f t="shared" si="258"/>
        <v/>
      </c>
      <c r="X657" s="327"/>
      <c r="Y657" s="139" t="s">
        <v>806</v>
      </c>
    </row>
    <row r="658" spans="1:25" ht="18.75" x14ac:dyDescent="0.25">
      <c r="A658" s="151"/>
      <c r="B658" s="106" t="str">
        <f>'Funding 2019'!$K$108</f>
        <v>EGMM0019V167</v>
      </c>
      <c r="C658" s="151">
        <v>6100000721</v>
      </c>
      <c r="D658" s="151" t="s">
        <v>814</v>
      </c>
      <c r="E658" s="152" t="s">
        <v>815</v>
      </c>
      <c r="F658" s="166"/>
      <c r="G658" s="166"/>
      <c r="H658" s="166">
        <v>19063474</v>
      </c>
      <c r="J658" s="154">
        <f t="shared" si="253"/>
        <v>0</v>
      </c>
      <c r="K658" s="154">
        <f t="shared" si="254"/>
        <v>0</v>
      </c>
      <c r="L658" s="154">
        <f t="shared" si="255"/>
        <v>1175.1617556404883</v>
      </c>
      <c r="N658" s="152" t="s">
        <v>167</v>
      </c>
      <c r="O658" s="155">
        <v>43617</v>
      </c>
      <c r="P658" s="155">
        <v>43500</v>
      </c>
      <c r="Q658" s="156">
        <f t="shared" si="240"/>
        <v>43497</v>
      </c>
      <c r="R658" s="155">
        <v>43556</v>
      </c>
      <c r="S658" s="156">
        <f t="shared" si="241"/>
        <v>43556</v>
      </c>
      <c r="T658" s="140" t="str">
        <f t="shared" ca="1" si="259"/>
        <v/>
      </c>
      <c r="U658" s="139" t="str">
        <f t="shared" si="256"/>
        <v/>
      </c>
      <c r="V658" s="139" t="str">
        <f t="shared" si="257"/>
        <v/>
      </c>
      <c r="W658" s="139" t="str">
        <f t="shared" si="258"/>
        <v/>
      </c>
      <c r="X658" s="327"/>
    </row>
    <row r="659" spans="1:25" ht="18.75" x14ac:dyDescent="0.25">
      <c r="A659" s="151">
        <v>11</v>
      </c>
      <c r="B659" s="106" t="str">
        <f>'Funding 2019'!$K$108</f>
        <v>EGMM0019V167</v>
      </c>
      <c r="C659" s="151">
        <v>6100000719</v>
      </c>
      <c r="D659" s="151">
        <v>330119809</v>
      </c>
      <c r="E659" s="152" t="s">
        <v>297</v>
      </c>
      <c r="F659" s="166"/>
      <c r="G659" s="166">
        <f>3573058*0</f>
        <v>0</v>
      </c>
      <c r="H659" s="166">
        <v>2880028</v>
      </c>
      <c r="J659" s="154">
        <f t="shared" si="253"/>
        <v>0</v>
      </c>
      <c r="K659" s="154">
        <f t="shared" si="254"/>
        <v>0</v>
      </c>
      <c r="L659" s="154">
        <f t="shared" si="255"/>
        <v>177.53840463567994</v>
      </c>
      <c r="N659" s="152" t="s">
        <v>167</v>
      </c>
      <c r="O659" s="155">
        <v>43585</v>
      </c>
      <c r="P659" s="155">
        <v>43489</v>
      </c>
      <c r="Q659" s="156">
        <f t="shared" si="240"/>
        <v>43466</v>
      </c>
      <c r="R659" s="155">
        <v>43556</v>
      </c>
      <c r="S659" s="156">
        <f t="shared" si="241"/>
        <v>43556</v>
      </c>
      <c r="T659" s="140" t="str">
        <f t="shared" ca="1" si="259"/>
        <v/>
      </c>
      <c r="U659" s="139" t="str">
        <f t="shared" si="256"/>
        <v/>
      </c>
      <c r="V659" s="139" t="str">
        <f t="shared" si="257"/>
        <v/>
      </c>
      <c r="W659" s="139" t="str">
        <f t="shared" si="258"/>
        <v/>
      </c>
      <c r="X659" s="327"/>
    </row>
    <row r="660" spans="1:25" ht="18.75" x14ac:dyDescent="0.25">
      <c r="A660" s="151">
        <v>12</v>
      </c>
      <c r="B660" s="106" t="str">
        <f>'Funding 2019'!$K$108</f>
        <v>EGMM0019V167</v>
      </c>
      <c r="C660" s="151">
        <v>6100000720</v>
      </c>
      <c r="D660" s="151">
        <v>330119810</v>
      </c>
      <c r="E660" s="152" t="s">
        <v>298</v>
      </c>
      <c r="F660" s="166"/>
      <c r="G660" s="166">
        <f>103216598*0</f>
        <v>0</v>
      </c>
      <c r="H660" s="166">
        <v>83546444</v>
      </c>
      <c r="J660" s="154">
        <f t="shared" si="253"/>
        <v>0</v>
      </c>
      <c r="K660" s="154">
        <f t="shared" si="254"/>
        <v>0</v>
      </c>
      <c r="L660" s="154">
        <f t="shared" si="255"/>
        <v>5150.1938108741215</v>
      </c>
      <c r="N660" s="152" t="s">
        <v>167</v>
      </c>
      <c r="O660" s="155">
        <v>43556</v>
      </c>
      <c r="P660" s="155">
        <v>43496</v>
      </c>
      <c r="Q660" s="156">
        <f t="shared" si="240"/>
        <v>43466</v>
      </c>
      <c r="R660" s="155">
        <v>43556</v>
      </c>
      <c r="S660" s="156">
        <f t="shared" si="241"/>
        <v>43556</v>
      </c>
      <c r="T660" s="140" t="str">
        <f t="shared" ca="1" si="259"/>
        <v/>
      </c>
      <c r="U660" s="139" t="str">
        <f t="shared" si="256"/>
        <v/>
      </c>
      <c r="V660" s="139" t="str">
        <f t="shared" si="257"/>
        <v/>
      </c>
      <c r="W660" s="139" t="str">
        <f t="shared" si="258"/>
        <v/>
      </c>
      <c r="X660" s="327"/>
    </row>
    <row r="661" spans="1:25" ht="18.75" x14ac:dyDescent="0.25">
      <c r="A661" s="151">
        <v>13</v>
      </c>
      <c r="B661" s="106" t="str">
        <f>'Funding 2019'!$K$108</f>
        <v>EGMM0019V167</v>
      </c>
      <c r="C661" s="151">
        <v>6100000727</v>
      </c>
      <c r="D661" s="151">
        <v>330219803</v>
      </c>
      <c r="E661" s="152" t="s">
        <v>299</v>
      </c>
      <c r="F661" s="166"/>
      <c r="G661" s="166">
        <f>16390651*0</f>
        <v>0</v>
      </c>
      <c r="H661" s="166">
        <v>17204620</v>
      </c>
      <c r="J661" s="154">
        <f t="shared" si="253"/>
        <v>0</v>
      </c>
      <c r="K661" s="154">
        <f t="shared" si="254"/>
        <v>0</v>
      </c>
      <c r="L661" s="154">
        <f t="shared" si="255"/>
        <v>1060.5732955245962</v>
      </c>
      <c r="N661" s="152" t="s">
        <v>167</v>
      </c>
      <c r="O661" s="155">
        <v>43570</v>
      </c>
      <c r="P661" s="155">
        <v>43504</v>
      </c>
      <c r="Q661" s="156">
        <f t="shared" si="240"/>
        <v>43497</v>
      </c>
      <c r="R661" s="155">
        <v>43556</v>
      </c>
      <c r="S661" s="156">
        <f t="shared" si="241"/>
        <v>43556</v>
      </c>
      <c r="T661" s="140" t="str">
        <f t="shared" ca="1" si="259"/>
        <v/>
      </c>
      <c r="U661" s="139" t="str">
        <f t="shared" si="256"/>
        <v/>
      </c>
      <c r="V661" s="139" t="str">
        <f t="shared" si="257"/>
        <v/>
      </c>
      <c r="W661" s="139" t="str">
        <f t="shared" si="258"/>
        <v/>
      </c>
      <c r="X661" s="327"/>
    </row>
    <row r="662" spans="1:25" ht="18.75" x14ac:dyDescent="0.25">
      <c r="A662" s="151">
        <v>14</v>
      </c>
      <c r="B662" s="106" t="str">
        <f>'Funding 2019'!$K$108</f>
        <v>EGMM0019V167</v>
      </c>
      <c r="C662" s="151">
        <v>4400000634</v>
      </c>
      <c r="D662" s="151">
        <v>7500000604</v>
      </c>
      <c r="E662" s="152" t="s">
        <v>300</v>
      </c>
      <c r="F662" s="166"/>
      <c r="G662" s="166">
        <f>12935500*0</f>
        <v>0</v>
      </c>
      <c r="H662" s="166">
        <v>12935500</v>
      </c>
      <c r="J662" s="154">
        <f t="shared" si="253"/>
        <v>0</v>
      </c>
      <c r="K662" s="154">
        <f t="shared" si="254"/>
        <v>0</v>
      </c>
      <c r="L662" s="154">
        <f t="shared" si="255"/>
        <v>797.40475896930093</v>
      </c>
      <c r="N662" s="152" t="s">
        <v>244</v>
      </c>
      <c r="O662" s="155">
        <v>43640</v>
      </c>
      <c r="P662" s="155">
        <v>43500</v>
      </c>
      <c r="Q662" s="156">
        <f t="shared" ref="Q662:Q725" si="260">IF(P662="","",IF(YEAR(P662)&lt;=2018,DATE(2018,12,31),EOMONTH(P662,-1)+1))</f>
        <v>43497</v>
      </c>
      <c r="R662" s="155">
        <v>43617</v>
      </c>
      <c r="S662" s="156">
        <f t="shared" ref="S662:S725" si="261">IF(R662="","",IF(YEAR(R662)&lt;=2018,DATE(2018,12,31),EOMONTH(R662,-1)+1))</f>
        <v>43617</v>
      </c>
      <c r="T662" s="140" t="str">
        <f t="shared" ca="1" si="259"/>
        <v/>
      </c>
      <c r="U662" s="139" t="str">
        <f t="shared" si="256"/>
        <v/>
      </c>
      <c r="V662" s="139" t="str">
        <f t="shared" si="257"/>
        <v/>
      </c>
      <c r="W662" s="139" t="str">
        <f t="shared" si="258"/>
        <v/>
      </c>
      <c r="X662" s="327"/>
    </row>
    <row r="663" spans="1:25" ht="18.75" x14ac:dyDescent="0.25">
      <c r="A663" s="151">
        <v>15</v>
      </c>
      <c r="B663" s="106" t="str">
        <f>'Funding 2019'!$K$108</f>
        <v>EGMM0019V167</v>
      </c>
      <c r="C663" s="151">
        <v>3100007234</v>
      </c>
      <c r="D663" s="151"/>
      <c r="E663" s="152" t="s">
        <v>391</v>
      </c>
      <c r="F663" s="166"/>
      <c r="G663" s="166"/>
      <c r="H663" s="166">
        <v>4000000</v>
      </c>
      <c r="J663" s="154">
        <f t="shared" si="253"/>
        <v>0</v>
      </c>
      <c r="K663" s="154">
        <f t="shared" si="254"/>
        <v>0</v>
      </c>
      <c r="L663" s="154">
        <f t="shared" si="255"/>
        <v>246.57872025644187</v>
      </c>
      <c r="N663" s="152" t="s">
        <v>199</v>
      </c>
      <c r="O663" s="155">
        <v>43589</v>
      </c>
      <c r="P663" s="155">
        <v>43497</v>
      </c>
      <c r="Q663" s="156">
        <f t="shared" si="260"/>
        <v>43497</v>
      </c>
      <c r="R663" s="155">
        <v>43707</v>
      </c>
      <c r="S663" s="156">
        <f t="shared" si="261"/>
        <v>43678</v>
      </c>
      <c r="T663" s="140" t="str">
        <f t="shared" ca="1" si="259"/>
        <v/>
      </c>
      <c r="U663" s="139" t="str">
        <f t="shared" si="256"/>
        <v/>
      </c>
      <c r="V663" s="139" t="str">
        <f t="shared" si="257"/>
        <v/>
      </c>
      <c r="W663" s="139" t="str">
        <f t="shared" si="258"/>
        <v/>
      </c>
      <c r="X663" s="327"/>
    </row>
    <row r="664" spans="1:25" ht="18.75" x14ac:dyDescent="0.25">
      <c r="A664" s="151">
        <v>16</v>
      </c>
      <c r="B664" s="106" t="str">
        <f>'Funding 2019'!$K$108</f>
        <v>EGMM0019V167</v>
      </c>
      <c r="C664" s="151">
        <v>2100011583</v>
      </c>
      <c r="D664" s="151">
        <v>4500134748</v>
      </c>
      <c r="E664" s="152" t="s">
        <v>346</v>
      </c>
      <c r="F664" s="166"/>
      <c r="G664" s="166">
        <f>(36211463-22685066)*0</f>
        <v>0</v>
      </c>
      <c r="H664" s="166">
        <v>62691094</v>
      </c>
      <c r="J664" s="154">
        <f t="shared" si="253"/>
        <v>0</v>
      </c>
      <c r="K664" s="154">
        <f t="shared" si="254"/>
        <v>0</v>
      </c>
      <c r="L664" s="154">
        <f t="shared" si="255"/>
        <v>3864.5724324990751</v>
      </c>
      <c r="N664" s="152" t="s">
        <v>167</v>
      </c>
      <c r="O664" s="155">
        <v>43586</v>
      </c>
      <c r="P664" s="155">
        <v>43522</v>
      </c>
      <c r="Q664" s="156">
        <f t="shared" si="260"/>
        <v>43497</v>
      </c>
      <c r="R664" s="155">
        <v>43556</v>
      </c>
      <c r="S664" s="156">
        <f t="shared" si="261"/>
        <v>43556</v>
      </c>
      <c r="T664" s="140" t="str">
        <f t="shared" ca="1" si="259"/>
        <v/>
      </c>
      <c r="U664" s="139" t="str">
        <f t="shared" si="256"/>
        <v/>
      </c>
      <c r="V664" s="139" t="str">
        <f t="shared" si="257"/>
        <v/>
      </c>
      <c r="W664" s="139" t="str">
        <f t="shared" si="258"/>
        <v/>
      </c>
      <c r="X664" s="327"/>
    </row>
    <row r="665" spans="1:25" ht="18.75" x14ac:dyDescent="0.25">
      <c r="A665" s="151">
        <v>17</v>
      </c>
      <c r="B665" s="106" t="str">
        <f>'Funding 2019'!$K$108</f>
        <v>EGMM0019V167</v>
      </c>
      <c r="C665" s="151">
        <v>2100011598</v>
      </c>
      <c r="D665" s="151">
        <v>4500134665</v>
      </c>
      <c r="E665" s="152" t="s">
        <v>358</v>
      </c>
      <c r="F665" s="166"/>
      <c r="G665" s="166">
        <f>67632*0</f>
        <v>0</v>
      </c>
      <c r="H665" s="166">
        <v>36695657</v>
      </c>
      <c r="J665" s="154">
        <f t="shared" si="253"/>
        <v>0</v>
      </c>
      <c r="K665" s="154">
        <f t="shared" si="254"/>
        <v>0</v>
      </c>
      <c r="L665" s="154">
        <f t="shared" si="255"/>
        <v>2262.0920355073358</v>
      </c>
      <c r="N665" s="152" t="s">
        <v>167</v>
      </c>
      <c r="O665" s="155">
        <v>43584</v>
      </c>
      <c r="P665" s="155">
        <v>43539</v>
      </c>
      <c r="Q665" s="156">
        <f t="shared" si="260"/>
        <v>43525</v>
      </c>
      <c r="R665" s="155">
        <v>43556</v>
      </c>
      <c r="S665" s="156">
        <f t="shared" si="261"/>
        <v>43556</v>
      </c>
      <c r="T665" s="140" t="str">
        <f t="shared" ca="1" si="259"/>
        <v/>
      </c>
      <c r="U665" s="139" t="str">
        <f t="shared" si="256"/>
        <v/>
      </c>
      <c r="V665" s="139" t="str">
        <f t="shared" si="257"/>
        <v/>
      </c>
      <c r="W665" s="139" t="str">
        <f t="shared" si="258"/>
        <v/>
      </c>
      <c r="X665" s="327"/>
    </row>
    <row r="666" spans="1:25" ht="18.75" x14ac:dyDescent="0.25">
      <c r="A666" s="151">
        <v>18</v>
      </c>
      <c r="B666" s="106" t="str">
        <f>'Funding 2019'!$K$108</f>
        <v>EGMM0019V167</v>
      </c>
      <c r="C666" s="151">
        <v>6100000742</v>
      </c>
      <c r="D666" s="151">
        <v>330319803</v>
      </c>
      <c r="E666" s="152" t="s">
        <v>359</v>
      </c>
      <c r="F666" s="166">
        <f>7180822*0</f>
        <v>0</v>
      </c>
      <c r="G666" s="166">
        <f>7189364*0</f>
        <v>0</v>
      </c>
      <c r="H666" s="166">
        <v>19424066</v>
      </c>
      <c r="J666" s="154">
        <f t="shared" si="253"/>
        <v>0</v>
      </c>
      <c r="K666" s="154">
        <f t="shared" si="254"/>
        <v>0</v>
      </c>
      <c r="L666" s="154">
        <f t="shared" si="255"/>
        <v>1197.3903341141659</v>
      </c>
      <c r="N666" s="152" t="s">
        <v>167</v>
      </c>
      <c r="O666" s="155">
        <v>43600</v>
      </c>
      <c r="P666" s="155">
        <v>43536</v>
      </c>
      <c r="Q666" s="156">
        <f t="shared" si="260"/>
        <v>43525</v>
      </c>
      <c r="R666" s="155">
        <v>43586</v>
      </c>
      <c r="S666" s="156">
        <f t="shared" si="261"/>
        <v>43586</v>
      </c>
      <c r="T666" s="140" t="str">
        <f t="shared" ca="1" si="259"/>
        <v/>
      </c>
      <c r="U666" s="139" t="str">
        <f t="shared" si="256"/>
        <v/>
      </c>
      <c r="V666" s="139" t="str">
        <f t="shared" si="257"/>
        <v/>
      </c>
      <c r="W666" s="139" t="str">
        <f t="shared" si="258"/>
        <v/>
      </c>
      <c r="X666" s="327"/>
      <c r="Y666" s="139" t="s">
        <v>806</v>
      </c>
    </row>
    <row r="667" spans="1:25" ht="18.75" x14ac:dyDescent="0.25">
      <c r="A667" s="283">
        <v>19</v>
      </c>
      <c r="B667" s="331" t="str">
        <f>'Funding 2019'!$K$108</f>
        <v>EGMM0019V167</v>
      </c>
      <c r="C667" s="283">
        <v>6100000736</v>
      </c>
      <c r="D667" s="283">
        <v>330319801</v>
      </c>
      <c r="E667" s="284" t="s">
        <v>360</v>
      </c>
      <c r="F667" s="280">
        <f>8416331*0</f>
        <v>0</v>
      </c>
      <c r="G667" s="280"/>
      <c r="H667" s="280">
        <v>57707313</v>
      </c>
      <c r="J667" s="154">
        <f t="shared" si="253"/>
        <v>0</v>
      </c>
      <c r="K667" s="154">
        <f t="shared" si="254"/>
        <v>0</v>
      </c>
      <c r="L667" s="154">
        <f t="shared" si="255"/>
        <v>3557.3488472444828</v>
      </c>
      <c r="N667" s="152" t="s">
        <v>167</v>
      </c>
      <c r="O667" s="155">
        <v>43600</v>
      </c>
      <c r="P667" s="155">
        <v>43537</v>
      </c>
      <c r="Q667" s="156">
        <f t="shared" si="260"/>
        <v>43525</v>
      </c>
      <c r="R667" s="155">
        <v>43647</v>
      </c>
      <c r="S667" s="156">
        <f t="shared" si="261"/>
        <v>43647</v>
      </c>
      <c r="T667" s="140" t="str">
        <f t="shared" ca="1" si="259"/>
        <v/>
      </c>
      <c r="U667" s="139" t="str">
        <f t="shared" si="256"/>
        <v/>
      </c>
      <c r="V667" s="139" t="str">
        <f t="shared" si="257"/>
        <v/>
      </c>
      <c r="W667" s="139" t="str">
        <f t="shared" si="258"/>
        <v/>
      </c>
      <c r="X667" s="327"/>
      <c r="Y667" s="139" t="s">
        <v>806</v>
      </c>
    </row>
    <row r="668" spans="1:25" ht="18.75" x14ac:dyDescent="0.25">
      <c r="A668" s="151">
        <v>19</v>
      </c>
      <c r="B668" s="106" t="str">
        <f>'Funding 2019'!$K$108</f>
        <v>EGMM0019V167</v>
      </c>
      <c r="C668" s="151">
        <v>6100000736</v>
      </c>
      <c r="D668" s="151" t="s">
        <v>816</v>
      </c>
      <c r="E668" s="152" t="s">
        <v>360</v>
      </c>
      <c r="F668" s="166"/>
      <c r="G668" s="166"/>
      <c r="H668" s="166">
        <v>17197089</v>
      </c>
      <c r="J668" s="154">
        <f t="shared" si="253"/>
        <v>0</v>
      </c>
      <c r="K668" s="154">
        <f t="shared" si="254"/>
        <v>0</v>
      </c>
      <c r="L668" s="154">
        <f t="shared" si="255"/>
        <v>1060.1090494390335</v>
      </c>
      <c r="N668" s="152" t="s">
        <v>167</v>
      </c>
      <c r="O668" s="155">
        <v>43600</v>
      </c>
      <c r="P668" s="155">
        <v>43537</v>
      </c>
      <c r="Q668" s="156">
        <f t="shared" si="260"/>
        <v>43525</v>
      </c>
      <c r="R668" s="155">
        <v>43647</v>
      </c>
      <c r="S668" s="156">
        <f t="shared" si="261"/>
        <v>43647</v>
      </c>
      <c r="T668" s="140" t="str">
        <f t="shared" ca="1" si="259"/>
        <v/>
      </c>
      <c r="U668" s="139" t="str">
        <f t="shared" si="256"/>
        <v/>
      </c>
      <c r="V668" s="139" t="str">
        <f t="shared" si="257"/>
        <v/>
      </c>
      <c r="W668" s="139" t="str">
        <f t="shared" si="258"/>
        <v/>
      </c>
      <c r="X668" s="327"/>
    </row>
    <row r="669" spans="1:25" ht="18.75" x14ac:dyDescent="0.25">
      <c r="A669" s="151">
        <v>20</v>
      </c>
      <c r="B669" s="106" t="str">
        <f>'Funding 2019'!$K$108</f>
        <v>EGMM0019V167</v>
      </c>
      <c r="C669" s="151">
        <v>4400000702</v>
      </c>
      <c r="D669" s="151">
        <v>7500000669</v>
      </c>
      <c r="E669" s="152" t="s">
        <v>361</v>
      </c>
      <c r="F669" s="166"/>
      <c r="G669" s="166">
        <f>20335500*0</f>
        <v>0</v>
      </c>
      <c r="H669" s="166">
        <v>17663500</v>
      </c>
      <c r="J669" s="154">
        <f t="shared" si="253"/>
        <v>0</v>
      </c>
      <c r="K669" s="154">
        <f t="shared" si="254"/>
        <v>0</v>
      </c>
      <c r="L669" s="154">
        <f t="shared" si="255"/>
        <v>1088.8608063124152</v>
      </c>
      <c r="N669" s="152" t="s">
        <v>244</v>
      </c>
      <c r="O669" s="155">
        <v>43642</v>
      </c>
      <c r="P669" s="155">
        <v>43538</v>
      </c>
      <c r="Q669" s="156">
        <f t="shared" si="260"/>
        <v>43525</v>
      </c>
      <c r="R669" s="155">
        <v>43671</v>
      </c>
      <c r="S669" s="156">
        <f t="shared" si="261"/>
        <v>43647</v>
      </c>
      <c r="T669" s="140" t="str">
        <f t="shared" ca="1" si="259"/>
        <v/>
      </c>
      <c r="U669" s="139" t="str">
        <f t="shared" si="256"/>
        <v/>
      </c>
      <c r="V669" s="139" t="str">
        <f t="shared" si="257"/>
        <v/>
      </c>
      <c r="W669" s="139" t="str">
        <f t="shared" si="258"/>
        <v/>
      </c>
      <c r="X669" s="327"/>
    </row>
    <row r="670" spans="1:25" ht="18.75" x14ac:dyDescent="0.25">
      <c r="A670" s="151">
        <v>21</v>
      </c>
      <c r="B670" s="106" t="str">
        <f>'Funding 2019'!$K$108</f>
        <v>EGMM0019V167</v>
      </c>
      <c r="C670" s="151">
        <v>4400000701</v>
      </c>
      <c r="D670" s="151">
        <v>7500000670</v>
      </c>
      <c r="E670" s="152" t="s">
        <v>362</v>
      </c>
      <c r="F670" s="166"/>
      <c r="G670" s="166">
        <f>77613000*0</f>
        <v>0</v>
      </c>
      <c r="H670" s="166">
        <v>77613000</v>
      </c>
      <c r="J670" s="154">
        <f t="shared" si="253"/>
        <v>0</v>
      </c>
      <c r="K670" s="154">
        <f t="shared" si="254"/>
        <v>0</v>
      </c>
      <c r="L670" s="154">
        <f t="shared" si="255"/>
        <v>4784.4285538158056</v>
      </c>
      <c r="N670" s="152" t="s">
        <v>244</v>
      </c>
      <c r="O670" s="155">
        <v>43640</v>
      </c>
      <c r="P670" s="155">
        <v>43539</v>
      </c>
      <c r="Q670" s="156">
        <f t="shared" si="260"/>
        <v>43525</v>
      </c>
      <c r="R670" s="155">
        <v>43665</v>
      </c>
      <c r="S670" s="156">
        <f t="shared" si="261"/>
        <v>43647</v>
      </c>
      <c r="T670" s="140" t="str">
        <f t="shared" ca="1" si="259"/>
        <v/>
      </c>
      <c r="U670" s="139" t="str">
        <f t="shared" si="256"/>
        <v/>
      </c>
      <c r="V670" s="139" t="str">
        <f t="shared" si="257"/>
        <v/>
      </c>
      <c r="W670" s="139" t="str">
        <f t="shared" si="258"/>
        <v/>
      </c>
      <c r="X670" s="327"/>
    </row>
    <row r="671" spans="1:25" ht="18.75" x14ac:dyDescent="0.25">
      <c r="A671" s="151">
        <v>22</v>
      </c>
      <c r="B671" s="106" t="str">
        <f>'Funding 2019'!$K$108</f>
        <v>EGMM0019V167</v>
      </c>
      <c r="C671" s="151">
        <v>4400000703</v>
      </c>
      <c r="D671" s="151">
        <v>7500000671</v>
      </c>
      <c r="E671" s="152" t="s">
        <v>363</v>
      </c>
      <c r="F671" s="166"/>
      <c r="G671" s="166">
        <f>0*77613000</f>
        <v>0</v>
      </c>
      <c r="H671" s="166">
        <v>77613000</v>
      </c>
      <c r="J671" s="154">
        <f t="shared" si="253"/>
        <v>0</v>
      </c>
      <c r="K671" s="154">
        <f t="shared" si="254"/>
        <v>0</v>
      </c>
      <c r="L671" s="154">
        <f t="shared" si="255"/>
        <v>4784.4285538158056</v>
      </c>
      <c r="N671" s="152" t="s">
        <v>244</v>
      </c>
      <c r="O671" s="155">
        <v>43640</v>
      </c>
      <c r="P671" s="155">
        <v>43539</v>
      </c>
      <c r="Q671" s="156">
        <f t="shared" si="260"/>
        <v>43525</v>
      </c>
      <c r="R671" s="155">
        <v>43617</v>
      </c>
      <c r="S671" s="156">
        <f t="shared" si="261"/>
        <v>43617</v>
      </c>
      <c r="T671" s="140" t="str">
        <f t="shared" ca="1" si="259"/>
        <v/>
      </c>
      <c r="U671" s="139" t="str">
        <f t="shared" si="256"/>
        <v/>
      </c>
      <c r="V671" s="139" t="str">
        <f t="shared" si="257"/>
        <v/>
      </c>
      <c r="W671" s="139" t="str">
        <f t="shared" si="258"/>
        <v/>
      </c>
      <c r="X671" s="327"/>
    </row>
    <row r="672" spans="1:25" ht="18.75" x14ac:dyDescent="0.25">
      <c r="A672" s="151">
        <v>23</v>
      </c>
      <c r="B672" s="106" t="str">
        <f>'Funding 2019'!$K$108</f>
        <v>EGMM0019V167</v>
      </c>
      <c r="C672" s="151">
        <v>2500003567</v>
      </c>
      <c r="D672" s="151">
        <v>4500134676</v>
      </c>
      <c r="E672" s="152" t="s">
        <v>382</v>
      </c>
      <c r="F672" s="166"/>
      <c r="G672" s="166">
        <f>17600000*0</f>
        <v>0</v>
      </c>
      <c r="H672" s="166">
        <v>17600000</v>
      </c>
      <c r="J672" s="154">
        <f t="shared" si="253"/>
        <v>0</v>
      </c>
      <c r="K672" s="154">
        <f t="shared" si="254"/>
        <v>0</v>
      </c>
      <c r="L672" s="154">
        <f t="shared" si="255"/>
        <v>1084.9463691283443</v>
      </c>
      <c r="N672" s="152" t="s">
        <v>198</v>
      </c>
      <c r="O672" s="155">
        <v>43574</v>
      </c>
      <c r="P672" s="155">
        <v>43550</v>
      </c>
      <c r="Q672" s="156">
        <f t="shared" si="260"/>
        <v>43525</v>
      </c>
      <c r="R672" s="155">
        <v>43586</v>
      </c>
      <c r="S672" s="156">
        <f t="shared" si="261"/>
        <v>43586</v>
      </c>
      <c r="T672" s="140" t="str">
        <f t="shared" ca="1" si="259"/>
        <v/>
      </c>
      <c r="U672" s="139" t="str">
        <f t="shared" si="256"/>
        <v/>
      </c>
      <c r="V672" s="139" t="str">
        <f t="shared" si="257"/>
        <v/>
      </c>
      <c r="W672" s="139" t="str">
        <f t="shared" si="258"/>
        <v/>
      </c>
      <c r="X672" s="327"/>
    </row>
    <row r="673" spans="1:25" ht="18.75" x14ac:dyDescent="0.25">
      <c r="A673" s="151">
        <v>24</v>
      </c>
      <c r="B673" s="106" t="str">
        <f>'Funding 2019'!$K$108</f>
        <v>EGMM0019V167</v>
      </c>
      <c r="C673" s="151">
        <v>2100011608</v>
      </c>
      <c r="D673" s="151" t="s">
        <v>383</v>
      </c>
      <c r="E673" s="152" t="s">
        <v>384</v>
      </c>
      <c r="F673" s="166"/>
      <c r="G673" s="166">
        <f>37168000*0</f>
        <v>0</v>
      </c>
      <c r="H673" s="166">
        <v>37168000</v>
      </c>
      <c r="J673" s="154">
        <f t="shared" si="253"/>
        <v>0</v>
      </c>
      <c r="K673" s="154">
        <f t="shared" si="254"/>
        <v>0</v>
      </c>
      <c r="L673" s="154">
        <f t="shared" si="255"/>
        <v>2291.2094686228579</v>
      </c>
      <c r="N673" s="152" t="s">
        <v>243</v>
      </c>
      <c r="O673" s="155">
        <v>43588</v>
      </c>
      <c r="P673" s="155">
        <v>43556</v>
      </c>
      <c r="Q673" s="156">
        <f t="shared" si="260"/>
        <v>43556</v>
      </c>
      <c r="R673" s="155">
        <v>43556</v>
      </c>
      <c r="S673" s="156">
        <f t="shared" si="261"/>
        <v>43556</v>
      </c>
      <c r="T673" s="140" t="str">
        <f t="shared" ca="1" si="259"/>
        <v/>
      </c>
      <c r="U673" s="139" t="str">
        <f t="shared" si="256"/>
        <v/>
      </c>
      <c r="V673" s="139" t="str">
        <f t="shared" si="257"/>
        <v/>
      </c>
      <c r="W673" s="139" t="str">
        <f t="shared" si="258"/>
        <v/>
      </c>
      <c r="X673" s="327"/>
    </row>
    <row r="674" spans="1:25" ht="18.75" x14ac:dyDescent="0.25">
      <c r="A674" s="151">
        <v>25</v>
      </c>
      <c r="B674" s="106" t="str">
        <f>'Funding 2019'!$K$108</f>
        <v>EGMM0019V167</v>
      </c>
      <c r="C674" s="151">
        <v>4400000758</v>
      </c>
      <c r="D674" s="151" t="s">
        <v>385</v>
      </c>
      <c r="E674" s="152" t="s">
        <v>386</v>
      </c>
      <c r="F674" s="166"/>
      <c r="G674" s="166"/>
      <c r="H674" s="287">
        <v>77613000</v>
      </c>
      <c r="J674" s="154">
        <f t="shared" si="253"/>
        <v>0</v>
      </c>
      <c r="K674" s="154">
        <f t="shared" si="254"/>
        <v>0</v>
      </c>
      <c r="L674" s="154">
        <f t="shared" si="255"/>
        <v>4784.4285538158056</v>
      </c>
      <c r="N674" s="152" t="s">
        <v>244</v>
      </c>
      <c r="O674" s="155">
        <v>43640</v>
      </c>
      <c r="P674" s="155">
        <v>43564</v>
      </c>
      <c r="Q674" s="156">
        <f t="shared" si="260"/>
        <v>43556</v>
      </c>
      <c r="R674" s="155">
        <v>43754</v>
      </c>
      <c r="S674" s="156">
        <f t="shared" si="261"/>
        <v>43739</v>
      </c>
      <c r="T674" s="140" t="str">
        <f t="shared" ca="1" si="259"/>
        <v/>
      </c>
      <c r="U674" s="139" t="str">
        <f t="shared" si="256"/>
        <v/>
      </c>
      <c r="V674" s="139" t="str">
        <f t="shared" si="257"/>
        <v/>
      </c>
      <c r="W674" s="139" t="str">
        <f t="shared" si="258"/>
        <v/>
      </c>
      <c r="X674" s="327"/>
    </row>
    <row r="675" spans="1:25" ht="18.75" x14ac:dyDescent="0.25">
      <c r="A675" s="151">
        <v>26</v>
      </c>
      <c r="B675" s="106" t="str">
        <f>'Funding 2019'!$K$108</f>
        <v>EGMM0019V167</v>
      </c>
      <c r="C675" s="151">
        <v>4400000759</v>
      </c>
      <c r="D675" s="151" t="s">
        <v>387</v>
      </c>
      <c r="E675" s="152" t="s">
        <v>388</v>
      </c>
      <c r="F675" s="166"/>
      <c r="G675" s="287">
        <v>25871000</v>
      </c>
      <c r="H675" s="166"/>
      <c r="J675" s="154">
        <f t="shared" si="253"/>
        <v>0</v>
      </c>
      <c r="K675" s="154">
        <f t="shared" si="254"/>
        <v>1594.8095179386019</v>
      </c>
      <c r="L675" s="154">
        <f t="shared" si="255"/>
        <v>0</v>
      </c>
      <c r="N675" s="152" t="s">
        <v>244</v>
      </c>
      <c r="O675" s="155">
        <v>43609</v>
      </c>
      <c r="P675" s="155">
        <v>43566</v>
      </c>
      <c r="Q675" s="156">
        <f t="shared" si="260"/>
        <v>43556</v>
      </c>
      <c r="R675" s="155"/>
      <c r="S675" s="156" t="str">
        <f t="shared" si="261"/>
        <v/>
      </c>
      <c r="T675" s="140">
        <f t="shared" ca="1" si="259"/>
        <v>164</v>
      </c>
      <c r="U675" s="139" t="str">
        <f t="shared" si="256"/>
        <v/>
      </c>
      <c r="V675" s="139" t="str">
        <f t="shared" si="257"/>
        <v/>
      </c>
      <c r="W675" s="139" t="str">
        <f t="shared" si="258"/>
        <v/>
      </c>
      <c r="X675" s="327"/>
    </row>
    <row r="676" spans="1:25" ht="18.75" x14ac:dyDescent="0.25">
      <c r="A676" s="151">
        <v>27</v>
      </c>
      <c r="B676" s="106" t="str">
        <f>'Funding 2019'!$K$108</f>
        <v>EGMM0019V167</v>
      </c>
      <c r="C676" s="151">
        <v>5500011495</v>
      </c>
      <c r="D676" s="151"/>
      <c r="E676" s="152" t="s">
        <v>389</v>
      </c>
      <c r="F676" s="287">
        <v>2214000</v>
      </c>
      <c r="G676" s="166"/>
      <c r="H676" s="166"/>
      <c r="J676" s="154">
        <f t="shared" si="253"/>
        <v>136.48132166194057</v>
      </c>
      <c r="K676" s="154">
        <f t="shared" si="254"/>
        <v>0</v>
      </c>
      <c r="L676" s="154">
        <f t="shared" si="255"/>
        <v>0</v>
      </c>
      <c r="N676" s="152" t="s">
        <v>243</v>
      </c>
      <c r="O676" s="155">
        <v>43769</v>
      </c>
      <c r="P676" s="155">
        <v>43567</v>
      </c>
      <c r="Q676" s="156">
        <f t="shared" si="260"/>
        <v>43556</v>
      </c>
      <c r="R676" s="155"/>
      <c r="S676" s="156" t="str">
        <f t="shared" si="261"/>
        <v/>
      </c>
      <c r="T676" s="140">
        <f t="shared" ca="1" si="259"/>
        <v>4</v>
      </c>
      <c r="U676" s="139" t="str">
        <f t="shared" si="256"/>
        <v/>
      </c>
      <c r="V676" s="139" t="str">
        <f t="shared" si="257"/>
        <v/>
      </c>
      <c r="W676" s="139" t="str">
        <f t="shared" si="258"/>
        <v/>
      </c>
      <c r="X676" s="327"/>
    </row>
    <row r="677" spans="1:25" ht="18.75" x14ac:dyDescent="0.25">
      <c r="A677" s="151">
        <v>28</v>
      </c>
      <c r="B677" s="106" t="str">
        <f>'Funding 2019'!$K$108</f>
        <v>EGMM0019V167</v>
      </c>
      <c r="C677" s="151">
        <v>6100000761</v>
      </c>
      <c r="D677" s="151" t="s">
        <v>451</v>
      </c>
      <c r="E677" s="152" t="s">
        <v>452</v>
      </c>
      <c r="F677" s="166"/>
      <c r="G677" s="166">
        <f>706339*0</f>
        <v>0</v>
      </c>
      <c r="H677" s="166">
        <v>21273721</v>
      </c>
      <c r="J677" s="154">
        <f t="shared" si="253"/>
        <v>0</v>
      </c>
      <c r="K677" s="154">
        <f t="shared" si="254"/>
        <v>0</v>
      </c>
      <c r="L677" s="154">
        <f t="shared" si="255"/>
        <v>1311.4117248181483</v>
      </c>
      <c r="N677" s="152" t="s">
        <v>199</v>
      </c>
      <c r="O677" s="155">
        <v>43610</v>
      </c>
      <c r="P677" s="155">
        <v>43585</v>
      </c>
      <c r="Q677" s="156">
        <f t="shared" si="260"/>
        <v>43556</v>
      </c>
      <c r="R677" s="155">
        <v>43647</v>
      </c>
      <c r="S677" s="156">
        <f t="shared" si="261"/>
        <v>43647</v>
      </c>
      <c r="T677" s="140" t="str">
        <f t="shared" ca="1" si="259"/>
        <v/>
      </c>
      <c r="U677" s="139" t="str">
        <f t="shared" si="256"/>
        <v/>
      </c>
      <c r="V677" s="139" t="str">
        <f t="shared" si="257"/>
        <v/>
      </c>
      <c r="W677" s="139" t="str">
        <f t="shared" si="258"/>
        <v/>
      </c>
      <c r="X677" s="327"/>
    </row>
    <row r="678" spans="1:25" ht="18.75" x14ac:dyDescent="0.25">
      <c r="A678" s="151">
        <v>29</v>
      </c>
      <c r="B678" s="106" t="str">
        <f>'Funding 2019'!$K$108</f>
        <v>EGMM0019V167</v>
      </c>
      <c r="C678" s="151">
        <v>4400000777</v>
      </c>
      <c r="D678" s="151" t="s">
        <v>453</v>
      </c>
      <c r="E678" s="152" t="s">
        <v>454</v>
      </c>
      <c r="F678" s="166"/>
      <c r="G678" s="166">
        <f>1500000*0</f>
        <v>0</v>
      </c>
      <c r="H678" s="166">
        <v>1500000</v>
      </c>
      <c r="J678" s="154">
        <f t="shared" si="253"/>
        <v>0</v>
      </c>
      <c r="K678" s="154">
        <f t="shared" si="254"/>
        <v>0</v>
      </c>
      <c r="L678" s="154">
        <f t="shared" si="255"/>
        <v>92.467020096165697</v>
      </c>
      <c r="N678" s="152" t="s">
        <v>199</v>
      </c>
      <c r="O678" s="155">
        <v>43609</v>
      </c>
      <c r="P678" s="155">
        <v>43579</v>
      </c>
      <c r="Q678" s="156">
        <f t="shared" si="260"/>
        <v>43556</v>
      </c>
      <c r="R678" s="155">
        <v>43665</v>
      </c>
      <c r="S678" s="156">
        <f t="shared" si="261"/>
        <v>43647</v>
      </c>
      <c r="T678" s="140" t="str">
        <f t="shared" ca="1" si="259"/>
        <v/>
      </c>
      <c r="U678" s="139" t="str">
        <f t="shared" si="256"/>
        <v/>
      </c>
      <c r="V678" s="139" t="str">
        <f t="shared" si="257"/>
        <v/>
      </c>
      <c r="W678" s="139" t="str">
        <f t="shared" si="258"/>
        <v/>
      </c>
      <c r="X678" s="327"/>
    </row>
    <row r="679" spans="1:25" ht="18.75" x14ac:dyDescent="0.25">
      <c r="A679" s="151">
        <v>30</v>
      </c>
      <c r="B679" s="106" t="str">
        <f>'Funding 2019'!$K$108</f>
        <v>EGMM0019V167</v>
      </c>
      <c r="C679" s="151">
        <v>5500011597</v>
      </c>
      <c r="D679" s="151"/>
      <c r="E679" s="152" t="s">
        <v>521</v>
      </c>
      <c r="F679" s="166">
        <f>1006200*0</f>
        <v>0</v>
      </c>
      <c r="G679" s="166">
        <f>1006200*0</f>
        <v>0</v>
      </c>
      <c r="H679" s="166">
        <f>1006200*0</f>
        <v>0</v>
      </c>
      <c r="J679" s="154">
        <f t="shared" si="253"/>
        <v>0</v>
      </c>
      <c r="K679" s="154">
        <f t="shared" si="254"/>
        <v>0</v>
      </c>
      <c r="L679" s="154">
        <f t="shared" si="255"/>
        <v>0</v>
      </c>
      <c r="N679" s="152" t="s">
        <v>199</v>
      </c>
      <c r="O679" s="155">
        <v>43630</v>
      </c>
      <c r="P679" s="155">
        <v>43600</v>
      </c>
      <c r="Q679" s="156">
        <f t="shared" si="260"/>
        <v>43586</v>
      </c>
      <c r="R679" s="155">
        <v>43697</v>
      </c>
      <c r="S679" s="156">
        <f t="shared" si="261"/>
        <v>43678</v>
      </c>
      <c r="T679" s="140" t="str">
        <f t="shared" ca="1" si="259"/>
        <v/>
      </c>
      <c r="U679" s="139" t="str">
        <f t="shared" si="256"/>
        <v/>
      </c>
      <c r="V679" s="139" t="str">
        <f t="shared" si="257"/>
        <v/>
      </c>
      <c r="W679" s="139" t="str">
        <f t="shared" si="258"/>
        <v/>
      </c>
      <c r="X679" s="327"/>
    </row>
    <row r="680" spans="1:25" ht="18.75" x14ac:dyDescent="0.25">
      <c r="A680" s="151">
        <v>31</v>
      </c>
      <c r="B680" s="106" t="str">
        <f>'Funding 2019'!$K$108</f>
        <v>EGMM0019V167</v>
      </c>
      <c r="C680" s="151">
        <v>5500011658</v>
      </c>
      <c r="D680" s="151"/>
      <c r="E680" s="152" t="s">
        <v>522</v>
      </c>
      <c r="F680" s="166">
        <f>12906000*0</f>
        <v>0</v>
      </c>
      <c r="G680" s="166">
        <f>12906000*0</f>
        <v>0</v>
      </c>
      <c r="H680" s="166">
        <f>12906000*0</f>
        <v>0</v>
      </c>
      <c r="J680" s="154">
        <f t="shared" si="253"/>
        <v>0</v>
      </c>
      <c r="K680" s="154">
        <f t="shared" si="254"/>
        <v>0</v>
      </c>
      <c r="L680" s="154">
        <f t="shared" si="255"/>
        <v>0</v>
      </c>
      <c r="N680" s="152" t="s">
        <v>199</v>
      </c>
      <c r="O680" s="155">
        <v>43707</v>
      </c>
      <c r="P680" s="155">
        <v>43628</v>
      </c>
      <c r="Q680" s="156">
        <f t="shared" si="260"/>
        <v>43617</v>
      </c>
      <c r="R680" s="155">
        <v>43697</v>
      </c>
      <c r="S680" s="156">
        <f t="shared" si="261"/>
        <v>43678</v>
      </c>
      <c r="T680" s="140" t="str">
        <f t="shared" ca="1" si="259"/>
        <v/>
      </c>
      <c r="U680" s="139" t="str">
        <f t="shared" si="256"/>
        <v/>
      </c>
      <c r="V680" s="139" t="str">
        <f t="shared" si="257"/>
        <v/>
      </c>
      <c r="W680" s="139" t="str">
        <f t="shared" si="258"/>
        <v/>
      </c>
      <c r="X680" s="327"/>
    </row>
    <row r="681" spans="1:25" ht="18.75" x14ac:dyDescent="0.25">
      <c r="A681" s="151">
        <v>32</v>
      </c>
      <c r="B681" s="106" t="str">
        <f>'Funding 2019'!$K$108</f>
        <v>EGMM0019V167</v>
      </c>
      <c r="C681" s="151">
        <v>5500011685</v>
      </c>
      <c r="D681" s="151"/>
      <c r="E681" s="152" t="s">
        <v>525</v>
      </c>
      <c r="F681" s="287">
        <v>7970000</v>
      </c>
      <c r="G681" s="166"/>
      <c r="H681" s="166"/>
      <c r="J681" s="154">
        <f t="shared" si="253"/>
        <v>491.30810011096042</v>
      </c>
      <c r="K681" s="154">
        <f t="shared" si="254"/>
        <v>0</v>
      </c>
      <c r="L681" s="154">
        <f t="shared" si="255"/>
        <v>0</v>
      </c>
      <c r="N681" s="152" t="s">
        <v>523</v>
      </c>
      <c r="O681" s="155">
        <v>43714</v>
      </c>
      <c r="P681" s="155">
        <v>43636</v>
      </c>
      <c r="Q681" s="156">
        <f t="shared" si="260"/>
        <v>43617</v>
      </c>
      <c r="R681" s="155"/>
      <c r="S681" s="156" t="str">
        <f t="shared" si="261"/>
        <v/>
      </c>
      <c r="T681" s="140">
        <f t="shared" ca="1" si="259"/>
        <v>59</v>
      </c>
      <c r="U681" s="139" t="str">
        <f t="shared" si="256"/>
        <v/>
      </c>
      <c r="V681" s="139" t="str">
        <f t="shared" si="257"/>
        <v/>
      </c>
      <c r="W681" s="139" t="str">
        <f t="shared" si="258"/>
        <v/>
      </c>
      <c r="X681" s="327"/>
    </row>
    <row r="682" spans="1:25" ht="18.75" x14ac:dyDescent="0.25">
      <c r="A682" s="151">
        <v>33</v>
      </c>
      <c r="B682" s="106" t="str">
        <f>'Funding 2019'!$K$108</f>
        <v>EGMM0019V167</v>
      </c>
      <c r="C682" s="151">
        <v>5500011693</v>
      </c>
      <c r="D682" s="151">
        <v>1920202316</v>
      </c>
      <c r="E682" s="152" t="s">
        <v>524</v>
      </c>
      <c r="F682" s="166">
        <f>0*15723710</f>
        <v>0</v>
      </c>
      <c r="G682" s="166">
        <f>15723710*0</f>
        <v>0</v>
      </c>
      <c r="H682" s="166">
        <f>15723710</f>
        <v>15723710</v>
      </c>
      <c r="J682" s="154">
        <f t="shared" si="253"/>
        <v>0</v>
      </c>
      <c r="K682" s="154">
        <f t="shared" si="254"/>
        <v>0</v>
      </c>
      <c r="L682" s="154">
        <f t="shared" si="255"/>
        <v>969.28307237085437</v>
      </c>
      <c r="N682" s="152" t="s">
        <v>199</v>
      </c>
      <c r="O682" s="155">
        <v>43721</v>
      </c>
      <c r="P682" s="155">
        <v>43641</v>
      </c>
      <c r="Q682" s="156">
        <f t="shared" si="260"/>
        <v>43617</v>
      </c>
      <c r="R682" s="155">
        <v>43718</v>
      </c>
      <c r="S682" s="156">
        <f t="shared" si="261"/>
        <v>43709</v>
      </c>
      <c r="T682" s="140" t="str">
        <f t="shared" ca="1" si="259"/>
        <v/>
      </c>
      <c r="U682" s="139" t="str">
        <f t="shared" si="256"/>
        <v/>
      </c>
      <c r="V682" s="139" t="str">
        <f t="shared" si="257"/>
        <v/>
      </c>
      <c r="W682" s="139" t="str">
        <f t="shared" si="258"/>
        <v/>
      </c>
      <c r="X682" s="327"/>
      <c r="Y682" s="139" t="s">
        <v>791</v>
      </c>
    </row>
    <row r="683" spans="1:25" ht="18.75" x14ac:dyDescent="0.25">
      <c r="A683" s="151">
        <v>34</v>
      </c>
      <c r="B683" s="106" t="str">
        <f>'Funding 2019'!$K$108</f>
        <v>EGMM0019V167</v>
      </c>
      <c r="C683" s="151">
        <v>5500011723</v>
      </c>
      <c r="D683" s="151"/>
      <c r="E683" s="152" t="s">
        <v>526</v>
      </c>
      <c r="F683" s="166">
        <f>14312500*0</f>
        <v>0</v>
      </c>
      <c r="G683" s="166">
        <f>14312500*0</f>
        <v>0</v>
      </c>
      <c r="H683" s="166">
        <f>14312500*0</f>
        <v>0</v>
      </c>
      <c r="J683" s="154">
        <f t="shared" si="253"/>
        <v>0</v>
      </c>
      <c r="K683" s="154">
        <f t="shared" si="254"/>
        <v>0</v>
      </c>
      <c r="L683" s="154">
        <f t="shared" si="255"/>
        <v>0</v>
      </c>
      <c r="N683" s="152" t="s">
        <v>523</v>
      </c>
      <c r="O683" s="155">
        <v>43714</v>
      </c>
      <c r="P683" s="155">
        <v>43664</v>
      </c>
      <c r="Q683" s="156">
        <f t="shared" si="260"/>
        <v>43647</v>
      </c>
      <c r="R683" s="155">
        <v>43697</v>
      </c>
      <c r="S683" s="156">
        <f t="shared" si="261"/>
        <v>43678</v>
      </c>
      <c r="T683" s="140" t="str">
        <f t="shared" ca="1" si="259"/>
        <v/>
      </c>
      <c r="U683" s="139" t="str">
        <f t="shared" si="256"/>
        <v/>
      </c>
      <c r="V683" s="139" t="str">
        <f t="shared" si="257"/>
        <v/>
      </c>
      <c r="W683" s="139" t="str">
        <f t="shared" si="258"/>
        <v/>
      </c>
      <c r="X683" s="327"/>
    </row>
    <row r="684" spans="1:25" ht="18.75" x14ac:dyDescent="0.25">
      <c r="A684" s="151">
        <v>35</v>
      </c>
      <c r="B684" s="106" t="str">
        <f>'Funding 2019'!$K$108</f>
        <v>EGMM0019V167</v>
      </c>
      <c r="C684" s="151">
        <v>5500011737</v>
      </c>
      <c r="D684" s="151"/>
      <c r="E684" s="152" t="s">
        <v>527</v>
      </c>
      <c r="F684" s="287">
        <v>11400000</v>
      </c>
      <c r="G684" s="166"/>
      <c r="H684" s="166"/>
      <c r="J684" s="154">
        <f t="shared" si="253"/>
        <v>702.7493527308593</v>
      </c>
      <c r="K684" s="154">
        <f t="shared" si="254"/>
        <v>0</v>
      </c>
      <c r="L684" s="154">
        <f t="shared" si="255"/>
        <v>0</v>
      </c>
      <c r="N684" s="152" t="s">
        <v>523</v>
      </c>
      <c r="O684" s="155">
        <v>43714</v>
      </c>
      <c r="P684" s="155">
        <v>43650</v>
      </c>
      <c r="Q684" s="156">
        <f t="shared" si="260"/>
        <v>43647</v>
      </c>
      <c r="R684" s="155"/>
      <c r="S684" s="156" t="str">
        <f t="shared" si="261"/>
        <v/>
      </c>
      <c r="T684" s="140">
        <f t="shared" ca="1" si="259"/>
        <v>59</v>
      </c>
      <c r="U684" s="139" t="str">
        <f t="shared" si="256"/>
        <v/>
      </c>
      <c r="V684" s="139" t="str">
        <f t="shared" si="257"/>
        <v/>
      </c>
      <c r="W684" s="139" t="str">
        <f t="shared" si="258"/>
        <v/>
      </c>
      <c r="X684" s="327"/>
    </row>
    <row r="685" spans="1:25" ht="18.75" x14ac:dyDescent="0.25">
      <c r="A685" s="151">
        <v>36</v>
      </c>
      <c r="B685" s="331" t="str">
        <f>'Funding 2019'!$K$108</f>
        <v>EGMM0019V167</v>
      </c>
      <c r="C685" s="283">
        <v>6100000765</v>
      </c>
      <c r="D685" s="283" t="s">
        <v>805</v>
      </c>
      <c r="E685" s="284" t="s">
        <v>528</v>
      </c>
      <c r="F685" s="280">
        <f>2416032*0</f>
        <v>0</v>
      </c>
      <c r="G685" s="280"/>
      <c r="H685" s="280">
        <v>4165170</v>
      </c>
      <c r="I685" s="329"/>
      <c r="J685" s="154">
        <f t="shared" si="253"/>
        <v>0</v>
      </c>
      <c r="K685" s="154">
        <f t="shared" si="254"/>
        <v>0</v>
      </c>
      <c r="L685" s="154">
        <f t="shared" si="255"/>
        <v>256.76057206263101</v>
      </c>
      <c r="M685" s="329"/>
      <c r="N685" s="284" t="s">
        <v>167</v>
      </c>
      <c r="O685" s="318">
        <v>43654</v>
      </c>
      <c r="P685" s="318">
        <v>43612</v>
      </c>
      <c r="Q685" s="156">
        <f t="shared" si="260"/>
        <v>43586</v>
      </c>
      <c r="R685" s="318">
        <v>43647</v>
      </c>
      <c r="S685" s="156">
        <f t="shared" si="261"/>
        <v>43647</v>
      </c>
      <c r="T685" s="140" t="str">
        <f t="shared" ca="1" si="259"/>
        <v/>
      </c>
      <c r="U685" s="139" t="str">
        <f t="shared" si="256"/>
        <v/>
      </c>
      <c r="V685" s="139" t="str">
        <f t="shared" si="257"/>
        <v/>
      </c>
      <c r="W685" s="139" t="str">
        <f t="shared" si="258"/>
        <v/>
      </c>
      <c r="X685" s="327"/>
      <c r="Y685" s="139" t="s">
        <v>806</v>
      </c>
    </row>
    <row r="686" spans="1:25" ht="18.75" x14ac:dyDescent="0.25">
      <c r="A686" s="151">
        <v>37</v>
      </c>
      <c r="B686" s="106" t="str">
        <f>'Funding 2019'!$K$108</f>
        <v>EGMM0019V167</v>
      </c>
      <c r="C686" s="151">
        <v>2100011681</v>
      </c>
      <c r="D686" s="151">
        <v>4500134932</v>
      </c>
      <c r="E686" s="152" t="s">
        <v>536</v>
      </c>
      <c r="F686" s="166"/>
      <c r="G686" s="166"/>
      <c r="H686" s="166">
        <v>15300000</v>
      </c>
      <c r="J686" s="154">
        <f t="shared" si="253"/>
        <v>0</v>
      </c>
      <c r="K686" s="154">
        <f t="shared" si="254"/>
        <v>0</v>
      </c>
      <c r="L686" s="154">
        <f t="shared" si="255"/>
        <v>943.16360498089011</v>
      </c>
      <c r="N686" s="152" t="s">
        <v>535</v>
      </c>
      <c r="O686" s="155">
        <v>43654</v>
      </c>
      <c r="P686" s="155">
        <v>43613</v>
      </c>
      <c r="Q686" s="156">
        <f t="shared" si="260"/>
        <v>43586</v>
      </c>
      <c r="R686" s="155">
        <v>43617</v>
      </c>
      <c r="S686" s="156">
        <f t="shared" si="261"/>
        <v>43617</v>
      </c>
      <c r="T686" s="140" t="str">
        <f t="shared" ca="1" si="259"/>
        <v/>
      </c>
      <c r="U686" s="139" t="str">
        <f t="shared" si="256"/>
        <v/>
      </c>
      <c r="V686" s="139" t="str">
        <f t="shared" si="257"/>
        <v/>
      </c>
      <c r="W686" s="139" t="str">
        <f t="shared" si="258"/>
        <v/>
      </c>
      <c r="X686" s="327"/>
    </row>
    <row r="687" spans="1:25" ht="18.75" x14ac:dyDescent="0.25">
      <c r="A687" s="151">
        <v>38</v>
      </c>
      <c r="B687" s="106" t="str">
        <f>'Funding 2019'!$K$108</f>
        <v>EGMM0019V167</v>
      </c>
      <c r="C687" s="151"/>
      <c r="D687" s="151"/>
      <c r="E687" s="152" t="s">
        <v>537</v>
      </c>
      <c r="F687" s="166"/>
      <c r="G687" s="166"/>
      <c r="H687" s="166">
        <v>7900000</v>
      </c>
      <c r="J687" s="154">
        <f t="shared" si="253"/>
        <v>0</v>
      </c>
      <c r="K687" s="154">
        <f t="shared" si="254"/>
        <v>0</v>
      </c>
      <c r="L687" s="154">
        <f t="shared" si="255"/>
        <v>486.99297250647271</v>
      </c>
      <c r="N687" s="165"/>
      <c r="O687" s="169"/>
      <c r="P687" s="169">
        <v>43504</v>
      </c>
      <c r="Q687" s="156">
        <f t="shared" si="260"/>
        <v>43497</v>
      </c>
      <c r="R687" s="169">
        <v>43504</v>
      </c>
      <c r="S687" s="156">
        <f t="shared" si="261"/>
        <v>43497</v>
      </c>
      <c r="T687" s="140" t="str">
        <f t="shared" ca="1" si="259"/>
        <v/>
      </c>
      <c r="U687" s="139" t="str">
        <f t="shared" si="256"/>
        <v/>
      </c>
      <c r="V687" s="139" t="str">
        <f t="shared" si="257"/>
        <v/>
      </c>
      <c r="W687" s="139" t="str">
        <f t="shared" si="258"/>
        <v/>
      </c>
      <c r="X687" s="327"/>
    </row>
    <row r="688" spans="1:25" ht="18.75" x14ac:dyDescent="0.25">
      <c r="A688" s="151">
        <v>39</v>
      </c>
      <c r="B688" s="106" t="str">
        <f>'Funding 2019'!$K$108</f>
        <v>EGMM0019V167</v>
      </c>
      <c r="C688" s="151"/>
      <c r="D688" s="151"/>
      <c r="E688" s="152" t="s">
        <v>538</v>
      </c>
      <c r="F688" s="166"/>
      <c r="G688" s="166"/>
      <c r="H688" s="166">
        <v>15675290</v>
      </c>
      <c r="J688" s="154">
        <f t="shared" si="253"/>
        <v>0</v>
      </c>
      <c r="K688" s="154">
        <f t="shared" si="254"/>
        <v>0</v>
      </c>
      <c r="L688" s="154">
        <f t="shared" si="255"/>
        <v>966.29823696215021</v>
      </c>
      <c r="N688" s="165"/>
      <c r="O688" s="169"/>
      <c r="P688" s="169">
        <v>43538</v>
      </c>
      <c r="Q688" s="156">
        <f t="shared" si="260"/>
        <v>43525</v>
      </c>
      <c r="R688" s="169">
        <v>43539</v>
      </c>
      <c r="S688" s="156">
        <f t="shared" si="261"/>
        <v>43525</v>
      </c>
      <c r="T688" s="140" t="str">
        <f t="shared" ca="1" si="259"/>
        <v/>
      </c>
      <c r="U688" s="139" t="str">
        <f t="shared" si="256"/>
        <v/>
      </c>
      <c r="V688" s="139" t="str">
        <f t="shared" si="257"/>
        <v/>
      </c>
      <c r="W688" s="139" t="str">
        <f t="shared" si="258"/>
        <v/>
      </c>
      <c r="X688" s="327"/>
    </row>
    <row r="689" spans="1:25" ht="18.75" x14ac:dyDescent="0.25">
      <c r="A689" s="151">
        <v>40</v>
      </c>
      <c r="B689" s="106" t="str">
        <f>'Funding 2019'!$K$108</f>
        <v>EGMM0019V167</v>
      </c>
      <c r="C689" s="151"/>
      <c r="D689" s="151"/>
      <c r="E689" s="152" t="s">
        <v>539</v>
      </c>
      <c r="F689" s="166"/>
      <c r="G689" s="166"/>
      <c r="H689" s="166">
        <v>-31394450</v>
      </c>
      <c r="J689" s="154">
        <f t="shared" si="253"/>
        <v>0</v>
      </c>
      <c r="K689" s="154">
        <f t="shared" si="254"/>
        <v>0</v>
      </c>
      <c r="L689" s="154">
        <f t="shared" si="255"/>
        <v>-1935.3008260387128</v>
      </c>
      <c r="N689" s="165"/>
      <c r="O689" s="169"/>
      <c r="P689" s="169">
        <v>43584</v>
      </c>
      <c r="Q689" s="156">
        <f t="shared" si="260"/>
        <v>43556</v>
      </c>
      <c r="R689" s="169">
        <v>43584</v>
      </c>
      <c r="S689" s="156">
        <f t="shared" si="261"/>
        <v>43556</v>
      </c>
      <c r="T689" s="140" t="str">
        <f t="shared" ca="1" si="259"/>
        <v/>
      </c>
      <c r="U689" s="139" t="str">
        <f t="shared" si="256"/>
        <v/>
      </c>
      <c r="V689" s="139" t="str">
        <f t="shared" si="257"/>
        <v/>
      </c>
      <c r="W689" s="139" t="str">
        <f t="shared" si="258"/>
        <v/>
      </c>
      <c r="X689" s="327"/>
    </row>
    <row r="690" spans="1:25" ht="18.75" x14ac:dyDescent="0.25">
      <c r="A690" s="151">
        <v>41</v>
      </c>
      <c r="B690" s="106" t="str">
        <f>'Funding 2019'!$K$108</f>
        <v>EGMM0019V167</v>
      </c>
      <c r="C690" s="151"/>
      <c r="D690" s="151"/>
      <c r="E690" s="152" t="s">
        <v>540</v>
      </c>
      <c r="F690" s="166"/>
      <c r="G690" s="166"/>
      <c r="H690" s="166">
        <v>69279730</v>
      </c>
      <c r="J690" s="154">
        <f t="shared" si="253"/>
        <v>0</v>
      </c>
      <c r="K690" s="154">
        <f t="shared" si="254"/>
        <v>0</v>
      </c>
      <c r="L690" s="154">
        <f t="shared" si="255"/>
        <v>4270.726790777956</v>
      </c>
      <c r="N690" s="165"/>
      <c r="O690" s="169"/>
      <c r="P690" s="169">
        <v>43612</v>
      </c>
      <c r="Q690" s="156">
        <f t="shared" si="260"/>
        <v>43586</v>
      </c>
      <c r="R690" s="169">
        <v>43612</v>
      </c>
      <c r="S690" s="156">
        <f t="shared" si="261"/>
        <v>43586</v>
      </c>
      <c r="T690" s="140" t="str">
        <f t="shared" ca="1" si="259"/>
        <v/>
      </c>
      <c r="U690" s="139" t="str">
        <f t="shared" si="256"/>
        <v/>
      </c>
      <c r="V690" s="139" t="str">
        <f t="shared" si="257"/>
        <v/>
      </c>
      <c r="W690" s="139" t="str">
        <f t="shared" si="258"/>
        <v/>
      </c>
      <c r="X690" s="327"/>
    </row>
    <row r="691" spans="1:25" ht="18.75" x14ac:dyDescent="0.25">
      <c r="A691" s="151">
        <v>42</v>
      </c>
      <c r="B691" s="106" t="str">
        <f>'Funding 2019'!$K$108</f>
        <v>EGMM0019V167</v>
      </c>
      <c r="C691" s="151"/>
      <c r="D691" s="151"/>
      <c r="E691" s="152" t="s">
        <v>541</v>
      </c>
      <c r="F691" s="166"/>
      <c r="G691" s="166"/>
      <c r="H691" s="166">
        <v>64605297</v>
      </c>
      <c r="J691" s="154">
        <f t="shared" si="253"/>
        <v>0</v>
      </c>
      <c r="K691" s="154">
        <f t="shared" si="254"/>
        <v>0</v>
      </c>
      <c r="L691" s="154">
        <f t="shared" si="255"/>
        <v>3982.5728640118359</v>
      </c>
      <c r="N691" s="165"/>
      <c r="O691" s="169"/>
      <c r="P691" s="169">
        <v>43641</v>
      </c>
      <c r="Q691" s="156">
        <f t="shared" si="260"/>
        <v>43617</v>
      </c>
      <c r="R691" s="169">
        <v>43641</v>
      </c>
      <c r="S691" s="156">
        <f t="shared" si="261"/>
        <v>43617</v>
      </c>
      <c r="T691" s="140" t="str">
        <f t="shared" ca="1" si="259"/>
        <v/>
      </c>
      <c r="U691" s="139" t="str">
        <f t="shared" si="256"/>
        <v/>
      </c>
      <c r="V691" s="139" t="str">
        <f t="shared" si="257"/>
        <v/>
      </c>
      <c r="W691" s="139" t="str">
        <f t="shared" si="258"/>
        <v/>
      </c>
      <c r="X691" s="327"/>
    </row>
    <row r="692" spans="1:25" ht="18.75" x14ac:dyDescent="0.25">
      <c r="A692" s="151">
        <v>43</v>
      </c>
      <c r="B692" s="106" t="str">
        <f>'Funding 2019'!$K$108</f>
        <v>EGMM0019V167</v>
      </c>
      <c r="C692" s="151"/>
      <c r="D692" s="151"/>
      <c r="E692" s="152" t="s">
        <v>627</v>
      </c>
      <c r="F692" s="166"/>
      <c r="G692" s="166"/>
      <c r="H692" s="166">
        <v>8241275</v>
      </c>
      <c r="J692" s="154">
        <f t="shared" si="253"/>
        <v>0</v>
      </c>
      <c r="K692" s="154">
        <f t="shared" si="254"/>
        <v>0</v>
      </c>
      <c r="L692" s="154">
        <f t="shared" si="255"/>
        <v>508.030760695352</v>
      </c>
      <c r="N692" s="165"/>
      <c r="O692" s="169"/>
      <c r="P692" s="169">
        <v>43676</v>
      </c>
      <c r="Q692" s="156">
        <f t="shared" si="260"/>
        <v>43647</v>
      </c>
      <c r="R692" s="169">
        <v>43676</v>
      </c>
      <c r="S692" s="156">
        <f t="shared" si="261"/>
        <v>43647</v>
      </c>
      <c r="T692" s="140" t="str">
        <f t="shared" ca="1" si="259"/>
        <v/>
      </c>
      <c r="U692" s="139" t="str">
        <f t="shared" si="256"/>
        <v/>
      </c>
      <c r="V692" s="139" t="str">
        <f t="shared" si="257"/>
        <v/>
      </c>
      <c r="W692" s="139" t="str">
        <f t="shared" si="258"/>
        <v/>
      </c>
      <c r="X692" s="327"/>
    </row>
    <row r="693" spans="1:25" ht="18.75" x14ac:dyDescent="0.25">
      <c r="A693" s="151">
        <v>44</v>
      </c>
      <c r="B693" s="106" t="str">
        <f>'Funding 2019'!$K$108</f>
        <v>EGMM0019V167</v>
      </c>
      <c r="C693" s="151"/>
      <c r="D693" s="151"/>
      <c r="E693" s="152" t="s">
        <v>812</v>
      </c>
      <c r="F693" s="166"/>
      <c r="G693" s="166"/>
      <c r="H693" s="166">
        <v>54801436</v>
      </c>
      <c r="J693" s="154">
        <f t="shared" si="253"/>
        <v>0</v>
      </c>
      <c r="K693" s="154">
        <f t="shared" si="254"/>
        <v>0</v>
      </c>
      <c r="L693" s="154">
        <f t="shared" si="255"/>
        <v>3378.2169892738257</v>
      </c>
      <c r="N693" s="165"/>
      <c r="O693" s="169"/>
      <c r="P693" s="169">
        <v>43707</v>
      </c>
      <c r="Q693" s="156">
        <f t="shared" si="260"/>
        <v>43678</v>
      </c>
      <c r="R693" s="169">
        <v>43707</v>
      </c>
      <c r="S693" s="156">
        <f t="shared" si="261"/>
        <v>43678</v>
      </c>
      <c r="T693" s="140" t="str">
        <f t="shared" ca="1" si="259"/>
        <v/>
      </c>
      <c r="U693" s="139" t="str">
        <f t="shared" si="256"/>
        <v/>
      </c>
      <c r="V693" s="139" t="str">
        <f t="shared" si="257"/>
        <v/>
      </c>
      <c r="W693" s="139" t="str">
        <f t="shared" si="258"/>
        <v/>
      </c>
      <c r="X693" s="327"/>
    </row>
    <row r="694" spans="1:25" ht="18.75" x14ac:dyDescent="0.25">
      <c r="A694" s="151">
        <v>45</v>
      </c>
      <c r="B694" s="106" t="str">
        <f>'Funding 2019'!$K$108</f>
        <v>EGMM0019V167</v>
      </c>
      <c r="C694" s="151"/>
      <c r="D694" s="151"/>
      <c r="E694" s="152" t="s">
        <v>813</v>
      </c>
      <c r="F694" s="166"/>
      <c r="G694" s="166"/>
      <c r="H694" s="166">
        <f>15723708+58877735</f>
        <v>74601443</v>
      </c>
      <c r="J694" s="154">
        <f t="shared" si="253"/>
        <v>0</v>
      </c>
      <c r="K694" s="154">
        <f t="shared" si="254"/>
        <v>0</v>
      </c>
      <c r="L694" s="154">
        <f t="shared" si="255"/>
        <v>4598.7820860559732</v>
      </c>
      <c r="N694" s="165"/>
      <c r="O694" s="169"/>
      <c r="P694" s="169">
        <v>43665</v>
      </c>
      <c r="Q694" s="156">
        <f t="shared" si="260"/>
        <v>43647</v>
      </c>
      <c r="R694" s="169">
        <v>43718</v>
      </c>
      <c r="S694" s="156">
        <f t="shared" si="261"/>
        <v>43709</v>
      </c>
      <c r="T694" s="140" t="str">
        <f t="shared" ca="1" si="259"/>
        <v/>
      </c>
      <c r="U694" s="139" t="str">
        <f t="shared" si="256"/>
        <v/>
      </c>
      <c r="V694" s="139" t="str">
        <f t="shared" si="257"/>
        <v/>
      </c>
      <c r="W694" s="139" t="str">
        <f t="shared" si="258"/>
        <v/>
      </c>
      <c r="X694" s="327"/>
    </row>
    <row r="695" spans="1:25" ht="18.75" x14ac:dyDescent="0.25">
      <c r="A695" s="151">
        <v>46</v>
      </c>
      <c r="B695" s="106" t="str">
        <f>'Funding 2019'!$K$108</f>
        <v>EGMM0019V167</v>
      </c>
      <c r="C695" s="151">
        <v>2100011780</v>
      </c>
      <c r="D695" s="151">
        <v>4500135240</v>
      </c>
      <c r="E695" s="152" t="s">
        <v>738</v>
      </c>
      <c r="F695" s="166">
        <f>20000000*0</f>
        <v>0</v>
      </c>
      <c r="G695" s="166"/>
      <c r="H695" s="166">
        <v>17200000</v>
      </c>
      <c r="J695" s="154">
        <f t="shared" si="253"/>
        <v>0</v>
      </c>
      <c r="K695" s="154">
        <f t="shared" si="254"/>
        <v>0</v>
      </c>
      <c r="L695" s="154">
        <f t="shared" si="255"/>
        <v>1060.2884971027001</v>
      </c>
      <c r="N695" s="165" t="s">
        <v>244</v>
      </c>
      <c r="O695" s="169">
        <v>43728</v>
      </c>
      <c r="P695" s="169">
        <v>43696</v>
      </c>
      <c r="Q695" s="156">
        <f t="shared" si="260"/>
        <v>43678</v>
      </c>
      <c r="R695" s="169">
        <v>43742</v>
      </c>
      <c r="S695" s="156">
        <f t="shared" si="261"/>
        <v>43739</v>
      </c>
      <c r="T695" s="140" t="str">
        <f t="shared" ca="1" si="259"/>
        <v/>
      </c>
      <c r="U695" s="139" t="str">
        <f t="shared" si="256"/>
        <v/>
      </c>
      <c r="V695" s="139" t="str">
        <f t="shared" si="257"/>
        <v/>
      </c>
      <c r="W695" s="139" t="str">
        <f t="shared" si="258"/>
        <v/>
      </c>
      <c r="X695" s="327"/>
    </row>
    <row r="696" spans="1:25" ht="18.75" x14ac:dyDescent="0.25">
      <c r="A696" s="151">
        <v>47</v>
      </c>
      <c r="B696" s="106" t="str">
        <f>'Funding 2019'!$K$108</f>
        <v>EGMM0019V167</v>
      </c>
      <c r="C696" s="151">
        <v>6100000764</v>
      </c>
      <c r="D696" s="151" t="s">
        <v>542</v>
      </c>
      <c r="E696" s="152" t="s">
        <v>543</v>
      </c>
      <c r="F696" s="166"/>
      <c r="G696" s="166"/>
      <c r="H696" s="166">
        <v>7195208</v>
      </c>
      <c r="J696" s="154">
        <f t="shared" si="253"/>
        <v>0</v>
      </c>
      <c r="K696" s="154">
        <f t="shared" si="254"/>
        <v>0</v>
      </c>
      <c r="L696" s="154">
        <f t="shared" si="255"/>
        <v>443.54629515472817</v>
      </c>
      <c r="N696" s="152" t="s">
        <v>167</v>
      </c>
      <c r="O696" s="155">
        <v>43636</v>
      </c>
      <c r="P696" s="155">
        <v>43608</v>
      </c>
      <c r="Q696" s="156">
        <f t="shared" si="260"/>
        <v>43586</v>
      </c>
      <c r="R696" s="155">
        <v>43617</v>
      </c>
      <c r="S696" s="156">
        <f t="shared" si="261"/>
        <v>43617</v>
      </c>
      <c r="T696" s="140" t="str">
        <f t="shared" ca="1" si="259"/>
        <v/>
      </c>
      <c r="U696" s="139" t="str">
        <f t="shared" si="256"/>
        <v/>
      </c>
      <c r="V696" s="139" t="str">
        <f t="shared" si="257"/>
        <v/>
      </c>
      <c r="W696" s="139" t="str">
        <f t="shared" si="258"/>
        <v/>
      </c>
      <c r="X696" s="327"/>
    </row>
    <row r="697" spans="1:25" ht="18.75" x14ac:dyDescent="0.25">
      <c r="A697" s="151">
        <v>48</v>
      </c>
      <c r="B697" s="106" t="str">
        <f>'Funding 2019'!$K$108</f>
        <v>EGMM0019V167</v>
      </c>
      <c r="C697" s="151">
        <v>2100011657</v>
      </c>
      <c r="D697" s="151">
        <v>4500134856</v>
      </c>
      <c r="E697" s="152" t="s">
        <v>544</v>
      </c>
      <c r="F697" s="166"/>
      <c r="G697" s="166"/>
      <c r="H697" s="166">
        <v>43518625</v>
      </c>
      <c r="J697" s="154">
        <f t="shared" si="253"/>
        <v>0</v>
      </c>
      <c r="K697" s="154">
        <f t="shared" si="254"/>
        <v>0</v>
      </c>
      <c r="L697" s="154">
        <f t="shared" si="255"/>
        <v>2682.6917149549995</v>
      </c>
      <c r="N697" s="152" t="s">
        <v>167</v>
      </c>
      <c r="O697" s="155">
        <v>43624</v>
      </c>
      <c r="P697" s="155">
        <v>43598</v>
      </c>
      <c r="Q697" s="156">
        <f t="shared" si="260"/>
        <v>43586</v>
      </c>
      <c r="R697" s="155">
        <v>43617</v>
      </c>
      <c r="S697" s="156">
        <f t="shared" si="261"/>
        <v>43617</v>
      </c>
      <c r="T697" s="140" t="str">
        <f t="shared" ca="1" si="259"/>
        <v/>
      </c>
      <c r="U697" s="139" t="str">
        <f t="shared" si="256"/>
        <v/>
      </c>
      <c r="V697" s="139" t="str">
        <f t="shared" si="257"/>
        <v/>
      </c>
      <c r="W697" s="139" t="str">
        <f t="shared" si="258"/>
        <v/>
      </c>
      <c r="X697" s="327"/>
    </row>
    <row r="698" spans="1:25" ht="18.75" x14ac:dyDescent="0.25">
      <c r="A698" s="151">
        <v>49</v>
      </c>
      <c r="B698" s="106" t="str">
        <f>'Funding 2019'!$K$108</f>
        <v>EGMM0019V167</v>
      </c>
      <c r="C698" s="151">
        <v>5500011764</v>
      </c>
      <c r="D698" s="151"/>
      <c r="E698" s="152" t="s">
        <v>574</v>
      </c>
      <c r="F698" s="287">
        <v>11236298</v>
      </c>
      <c r="G698" s="166"/>
      <c r="H698" s="166"/>
      <c r="J698" s="154">
        <f t="shared" si="253"/>
        <v>692.65799531500431</v>
      </c>
      <c r="K698" s="154">
        <f t="shared" si="254"/>
        <v>0</v>
      </c>
      <c r="L698" s="154">
        <f t="shared" si="255"/>
        <v>0</v>
      </c>
      <c r="N698" s="152" t="s">
        <v>365</v>
      </c>
      <c r="O698" s="155">
        <v>43700</v>
      </c>
      <c r="P698" s="155">
        <v>43658</v>
      </c>
      <c r="Q698" s="156">
        <f t="shared" si="260"/>
        <v>43647</v>
      </c>
      <c r="R698" s="155"/>
      <c r="S698" s="156" t="str">
        <f t="shared" si="261"/>
        <v/>
      </c>
      <c r="T698" s="140">
        <f t="shared" ca="1" si="259"/>
        <v>73</v>
      </c>
      <c r="U698" s="139" t="str">
        <f t="shared" si="256"/>
        <v/>
      </c>
      <c r="V698" s="139" t="str">
        <f t="shared" si="257"/>
        <v/>
      </c>
      <c r="W698" s="139" t="str">
        <f t="shared" si="258"/>
        <v/>
      </c>
      <c r="X698" s="327"/>
    </row>
    <row r="699" spans="1:25" ht="18.75" x14ac:dyDescent="0.25">
      <c r="A699" s="151">
        <v>50</v>
      </c>
      <c r="B699" s="106" t="str">
        <f>'Funding 2019'!$K$108</f>
        <v>EGMM0019V167</v>
      </c>
      <c r="C699" s="151">
        <v>6100000777</v>
      </c>
      <c r="D699" s="151" t="s">
        <v>726</v>
      </c>
      <c r="E699" s="152" t="s">
        <v>582</v>
      </c>
      <c r="F699" s="166"/>
      <c r="G699" s="166">
        <f>3636360*0</f>
        <v>0</v>
      </c>
      <c r="H699" s="166">
        <v>8296454</v>
      </c>
      <c r="J699" s="154">
        <f t="shared" si="253"/>
        <v>0</v>
      </c>
      <c r="K699" s="154">
        <f t="shared" si="254"/>
        <v>0</v>
      </c>
      <c r="L699" s="154">
        <f t="shared" si="255"/>
        <v>511.43225249660952</v>
      </c>
      <c r="N699" s="152" t="s">
        <v>167</v>
      </c>
      <c r="O699" s="155">
        <v>43707</v>
      </c>
      <c r="P699" s="155">
        <v>43656</v>
      </c>
      <c r="Q699" s="156">
        <f t="shared" si="260"/>
        <v>43647</v>
      </c>
      <c r="R699" s="155">
        <v>43693</v>
      </c>
      <c r="S699" s="156">
        <f t="shared" si="261"/>
        <v>43678</v>
      </c>
      <c r="T699" s="140" t="str">
        <f t="shared" ca="1" si="259"/>
        <v/>
      </c>
      <c r="U699" s="139" t="str">
        <f t="shared" si="256"/>
        <v/>
      </c>
      <c r="V699" s="139" t="str">
        <f t="shared" si="257"/>
        <v/>
      </c>
      <c r="W699" s="139" t="str">
        <f t="shared" si="258"/>
        <v/>
      </c>
      <c r="X699" s="327"/>
    </row>
    <row r="700" spans="1:25" ht="18.75" x14ac:dyDescent="0.25">
      <c r="A700" s="151">
        <v>51</v>
      </c>
      <c r="B700" s="106" t="str">
        <f>'Funding 2019'!$K$108</f>
        <v>EGMM0019V167</v>
      </c>
      <c r="C700" s="151">
        <v>2500003639</v>
      </c>
      <c r="D700" s="151">
        <v>4500135106</v>
      </c>
      <c r="E700" s="152" t="s">
        <v>591</v>
      </c>
      <c r="F700" s="166"/>
      <c r="G700" s="166">
        <f>0*27000000</f>
        <v>0</v>
      </c>
      <c r="H700" s="166">
        <v>27000000</v>
      </c>
      <c r="J700" s="154">
        <f t="shared" si="253"/>
        <v>0</v>
      </c>
      <c r="K700" s="154">
        <f t="shared" si="254"/>
        <v>0</v>
      </c>
      <c r="L700" s="154">
        <f t="shared" si="255"/>
        <v>1664.4063617309826</v>
      </c>
      <c r="N700" s="152"/>
      <c r="O700" s="155">
        <v>43721</v>
      </c>
      <c r="P700" s="155">
        <v>43662</v>
      </c>
      <c r="Q700" s="156">
        <f t="shared" si="260"/>
        <v>43647</v>
      </c>
      <c r="R700" s="155">
        <v>43720</v>
      </c>
      <c r="S700" s="156">
        <f t="shared" si="261"/>
        <v>43709</v>
      </c>
      <c r="T700" s="140" t="str">
        <f t="shared" ca="1" si="259"/>
        <v/>
      </c>
      <c r="U700" s="139" t="str">
        <f t="shared" si="256"/>
        <v/>
      </c>
      <c r="V700" s="139" t="str">
        <f t="shared" si="257"/>
        <v/>
      </c>
      <c r="W700" s="139" t="str">
        <f t="shared" si="258"/>
        <v/>
      </c>
      <c r="X700" s="327"/>
      <c r="Y700" s="328" t="s">
        <v>793</v>
      </c>
    </row>
    <row r="701" spans="1:25" ht="18.75" x14ac:dyDescent="0.25">
      <c r="A701" s="151">
        <v>52</v>
      </c>
      <c r="B701" s="106" t="str">
        <f>'Funding 2019'!$K$108</f>
        <v>EGMM0019V167</v>
      </c>
      <c r="C701" s="151">
        <v>2100011740</v>
      </c>
      <c r="D701" s="151">
        <v>4500135202</v>
      </c>
      <c r="E701" s="152" t="s">
        <v>619</v>
      </c>
      <c r="F701" s="166"/>
      <c r="G701" s="166"/>
      <c r="H701" s="166">
        <v>36838282</v>
      </c>
      <c r="J701" s="154">
        <f t="shared" si="253"/>
        <v>0</v>
      </c>
      <c r="K701" s="154">
        <f t="shared" si="254"/>
        <v>0</v>
      </c>
      <c r="L701" s="154">
        <f t="shared" si="255"/>
        <v>2270.8841080014795</v>
      </c>
      <c r="N701" s="152" t="s">
        <v>552</v>
      </c>
      <c r="O701" s="155">
        <v>43704</v>
      </c>
      <c r="P701" s="155">
        <v>43673</v>
      </c>
      <c r="Q701" s="156">
        <f t="shared" si="260"/>
        <v>43647</v>
      </c>
      <c r="R701" s="155">
        <v>43733</v>
      </c>
      <c r="S701" s="156">
        <f t="shared" si="261"/>
        <v>43709</v>
      </c>
      <c r="T701" s="140" t="str">
        <f t="shared" ca="1" si="259"/>
        <v/>
      </c>
      <c r="U701" s="139" t="str">
        <f t="shared" si="256"/>
        <v/>
      </c>
      <c r="V701" s="139" t="str">
        <f t="shared" si="257"/>
        <v/>
      </c>
      <c r="W701" s="139" t="str">
        <f t="shared" si="258"/>
        <v/>
      </c>
      <c r="X701" s="327"/>
    </row>
    <row r="702" spans="1:25" ht="18.75" x14ac:dyDescent="0.25">
      <c r="A702" s="151">
        <v>53</v>
      </c>
      <c r="B702" s="106" t="str">
        <f>'Funding 2019'!$K$108</f>
        <v>EGMM0019V167</v>
      </c>
      <c r="C702" s="151">
        <v>5500011863</v>
      </c>
      <c r="D702" s="151"/>
      <c r="E702" s="152" t="s">
        <v>643</v>
      </c>
      <c r="F702" s="166"/>
      <c r="G702" s="166"/>
      <c r="H702" s="166">
        <v>864186</v>
      </c>
      <c r="J702" s="154">
        <f t="shared" si="253"/>
        <v>0</v>
      </c>
      <c r="K702" s="154">
        <f t="shared" si="254"/>
        <v>0</v>
      </c>
      <c r="L702" s="154">
        <f t="shared" si="255"/>
        <v>53.27246948588337</v>
      </c>
      <c r="N702" s="152" t="s">
        <v>167</v>
      </c>
      <c r="O702" s="155">
        <v>43721</v>
      </c>
      <c r="P702" s="155">
        <v>43683</v>
      </c>
      <c r="Q702" s="156">
        <f t="shared" si="260"/>
        <v>43678</v>
      </c>
      <c r="R702" s="155">
        <v>43741</v>
      </c>
      <c r="S702" s="156">
        <f t="shared" si="261"/>
        <v>43739</v>
      </c>
      <c r="T702" s="140" t="str">
        <f t="shared" ca="1" si="259"/>
        <v/>
      </c>
      <c r="U702" s="139" t="str">
        <f t="shared" si="256"/>
        <v/>
      </c>
      <c r="V702" s="139" t="str">
        <f t="shared" si="257"/>
        <v/>
      </c>
      <c r="W702" s="139" t="str">
        <f t="shared" si="258"/>
        <v/>
      </c>
      <c r="X702" s="327"/>
      <c r="Y702" s="328" t="s">
        <v>794</v>
      </c>
    </row>
    <row r="703" spans="1:25" ht="18.75" x14ac:dyDescent="0.25">
      <c r="A703" s="151">
        <v>54</v>
      </c>
      <c r="B703" s="106" t="str">
        <f>'Funding 2019'!$K$108</f>
        <v>EGMM0019V167</v>
      </c>
      <c r="C703" s="151">
        <v>6100000787</v>
      </c>
      <c r="D703" s="151" t="s">
        <v>809</v>
      </c>
      <c r="E703" s="152" t="s">
        <v>646</v>
      </c>
      <c r="F703" s="166">
        <f>5548613*0</f>
        <v>0</v>
      </c>
      <c r="G703" s="166"/>
      <c r="H703" s="166">
        <v>11344896</v>
      </c>
      <c r="J703" s="154">
        <f t="shared" si="253"/>
        <v>0</v>
      </c>
      <c r="K703" s="154">
        <f t="shared" si="254"/>
        <v>0</v>
      </c>
      <c r="L703" s="154">
        <f t="shared" si="255"/>
        <v>699.35248428060663</v>
      </c>
      <c r="N703" s="152" t="s">
        <v>167</v>
      </c>
      <c r="O703" s="155">
        <v>43717</v>
      </c>
      <c r="P703" s="155">
        <v>43693</v>
      </c>
      <c r="Q703" s="156">
        <f t="shared" si="260"/>
        <v>43678</v>
      </c>
      <c r="R703" s="155">
        <v>43742</v>
      </c>
      <c r="S703" s="156">
        <f t="shared" si="261"/>
        <v>43739</v>
      </c>
      <c r="T703" s="140" t="str">
        <f t="shared" ca="1" si="259"/>
        <v/>
      </c>
      <c r="U703" s="139" t="str">
        <f t="shared" si="256"/>
        <v/>
      </c>
      <c r="V703" s="139" t="str">
        <f t="shared" si="257"/>
        <v/>
      </c>
      <c r="W703" s="139" t="str">
        <f t="shared" si="258"/>
        <v/>
      </c>
      <c r="X703" s="327"/>
    </row>
    <row r="704" spans="1:25" ht="18.75" x14ac:dyDescent="0.25">
      <c r="A704" s="151">
        <v>55</v>
      </c>
      <c r="B704" s="106" t="str">
        <f>'Funding 2019'!$K$108</f>
        <v>EGMM0019V167</v>
      </c>
      <c r="C704" s="151">
        <v>2100011757</v>
      </c>
      <c r="D704" s="151">
        <v>4500135209</v>
      </c>
      <c r="E704" s="152" t="s">
        <v>662</v>
      </c>
      <c r="F704" s="166">
        <f>54810500*0</f>
        <v>0</v>
      </c>
      <c r="G704" s="166">
        <f>54810500*0</f>
        <v>0</v>
      </c>
      <c r="H704" s="166">
        <v>51521870</v>
      </c>
      <c r="J704" s="154">
        <f t="shared" si="253"/>
        <v>0</v>
      </c>
      <c r="K704" s="154">
        <f t="shared" si="254"/>
        <v>0</v>
      </c>
      <c r="L704" s="154">
        <f t="shared" si="255"/>
        <v>3176.0491924546914</v>
      </c>
      <c r="N704" s="152" t="s">
        <v>523</v>
      </c>
      <c r="O704" s="155">
        <v>43707</v>
      </c>
      <c r="P704" s="155">
        <v>43677</v>
      </c>
      <c r="Q704" s="156">
        <f t="shared" si="260"/>
        <v>43647</v>
      </c>
      <c r="R704" s="155">
        <v>43691</v>
      </c>
      <c r="S704" s="156">
        <f t="shared" si="261"/>
        <v>43678</v>
      </c>
      <c r="T704" s="140" t="str">
        <f t="shared" ca="1" si="259"/>
        <v/>
      </c>
      <c r="U704" s="139" t="str">
        <f t="shared" si="256"/>
        <v/>
      </c>
      <c r="V704" s="139" t="str">
        <f t="shared" si="257"/>
        <v/>
      </c>
      <c r="W704" s="139" t="str">
        <f t="shared" si="258"/>
        <v/>
      </c>
      <c r="X704" s="327"/>
    </row>
    <row r="705" spans="1:25" ht="18.75" x14ac:dyDescent="0.25">
      <c r="A705" s="151">
        <v>56</v>
      </c>
      <c r="B705" s="106" t="str">
        <f>'Funding 2019'!$K$108</f>
        <v>EGMM0019V167</v>
      </c>
      <c r="C705" s="151">
        <v>5500012068</v>
      </c>
      <c r="D705" s="151"/>
      <c r="E705" s="152" t="s">
        <v>894</v>
      </c>
      <c r="F705" s="287">
        <v>9400000</v>
      </c>
      <c r="G705" s="166"/>
      <c r="H705" s="166"/>
      <c r="J705" s="154">
        <f t="shared" si="253"/>
        <v>579.45999260263841</v>
      </c>
      <c r="K705" s="154">
        <f t="shared" si="254"/>
        <v>0</v>
      </c>
      <c r="L705" s="154">
        <f t="shared" si="255"/>
        <v>0</v>
      </c>
      <c r="N705" s="152" t="s">
        <v>822</v>
      </c>
      <c r="O705" s="155">
        <v>43749</v>
      </c>
      <c r="P705" s="155">
        <v>43745</v>
      </c>
      <c r="Q705" s="156">
        <f t="shared" si="260"/>
        <v>43739</v>
      </c>
      <c r="R705" s="155"/>
      <c r="S705" s="156" t="str">
        <f t="shared" si="261"/>
        <v/>
      </c>
      <c r="T705" s="140">
        <f t="shared" ca="1" si="259"/>
        <v>24</v>
      </c>
      <c r="U705" s="139" t="str">
        <f t="shared" si="256"/>
        <v/>
      </c>
      <c r="V705" s="139" t="str">
        <f t="shared" si="257"/>
        <v/>
      </c>
      <c r="W705" s="139" t="str">
        <f t="shared" si="258"/>
        <v/>
      </c>
      <c r="X705" s="327"/>
    </row>
    <row r="706" spans="1:25" ht="18.75" x14ac:dyDescent="0.25">
      <c r="A706" s="151">
        <v>57</v>
      </c>
      <c r="B706" s="106" t="str">
        <f>'Funding 2019'!$K$108</f>
        <v>EGMM0019V167</v>
      </c>
      <c r="C706" s="151">
        <v>6100000788</v>
      </c>
      <c r="D706" s="151" t="s">
        <v>810</v>
      </c>
      <c r="E706" s="152" t="s">
        <v>753</v>
      </c>
      <c r="F706" s="166">
        <f>1106639*0</f>
        <v>0</v>
      </c>
      <c r="G706" s="287">
        <v>1097720</v>
      </c>
      <c r="H706" s="166"/>
      <c r="J706" s="154">
        <f t="shared" si="253"/>
        <v>0</v>
      </c>
      <c r="K706" s="154">
        <f t="shared" si="254"/>
        <v>67.668598199975335</v>
      </c>
      <c r="L706" s="154">
        <f t="shared" si="255"/>
        <v>0</v>
      </c>
      <c r="N706" s="152" t="s">
        <v>167</v>
      </c>
      <c r="O706" s="155">
        <v>43721</v>
      </c>
      <c r="P706" s="155">
        <v>43685</v>
      </c>
      <c r="Q706" s="156">
        <f t="shared" si="260"/>
        <v>43678</v>
      </c>
      <c r="R706" s="155"/>
      <c r="S706" s="156" t="str">
        <f t="shared" si="261"/>
        <v/>
      </c>
      <c r="T706" s="140">
        <f t="shared" ca="1" si="259"/>
        <v>52</v>
      </c>
      <c r="U706" s="139" t="str">
        <f t="shared" si="256"/>
        <v/>
      </c>
      <c r="V706" s="139" t="str">
        <f t="shared" si="257"/>
        <v/>
      </c>
      <c r="W706" s="139" t="str">
        <f t="shared" si="258"/>
        <v/>
      </c>
      <c r="X706" s="327"/>
    </row>
    <row r="707" spans="1:25" ht="18.75" x14ac:dyDescent="0.25">
      <c r="A707" s="151">
        <v>58</v>
      </c>
      <c r="B707" s="106" t="str">
        <f>'Funding 2019'!$K$108</f>
        <v>EGMM0019V167</v>
      </c>
      <c r="C707" s="151">
        <v>2100011763</v>
      </c>
      <c r="D707" s="151">
        <v>4500135198</v>
      </c>
      <c r="E707" s="152" t="s">
        <v>703</v>
      </c>
      <c r="F707" s="166"/>
      <c r="G707" s="166"/>
      <c r="H707" s="166">
        <v>60306000</v>
      </c>
      <c r="J707" s="154">
        <f t="shared" si="253"/>
        <v>0</v>
      </c>
      <c r="K707" s="154">
        <f t="shared" si="254"/>
        <v>0</v>
      </c>
      <c r="L707" s="154">
        <f t="shared" si="255"/>
        <v>3717.5440759462458</v>
      </c>
      <c r="N707" s="152" t="s">
        <v>198</v>
      </c>
      <c r="O707" s="318">
        <v>43798</v>
      </c>
      <c r="P707" s="155">
        <v>43685</v>
      </c>
      <c r="Q707" s="156">
        <f t="shared" si="260"/>
        <v>43678</v>
      </c>
      <c r="R707" s="155">
        <v>43704</v>
      </c>
      <c r="S707" s="156">
        <f t="shared" si="261"/>
        <v>43678</v>
      </c>
      <c r="T707" s="140" t="str">
        <f t="shared" ca="1" si="259"/>
        <v/>
      </c>
      <c r="U707" s="139" t="str">
        <f t="shared" si="256"/>
        <v/>
      </c>
      <c r="V707" s="139" t="str">
        <f t="shared" si="257"/>
        <v/>
      </c>
      <c r="W707" s="139" t="str">
        <f t="shared" si="258"/>
        <v/>
      </c>
      <c r="X707" s="327"/>
    </row>
    <row r="708" spans="1:25" ht="18.75" x14ac:dyDescent="0.25">
      <c r="A708" s="151">
        <v>59</v>
      </c>
      <c r="B708" s="106" t="str">
        <f>'Funding 2019'!$K$108</f>
        <v>EGMM0019V167</v>
      </c>
      <c r="C708" s="151">
        <v>4400000979</v>
      </c>
      <c r="D708" s="151">
        <v>7500000933</v>
      </c>
      <c r="E708" s="152" t="s">
        <v>704</v>
      </c>
      <c r="F708" s="166"/>
      <c r="G708" s="287">
        <v>55462000</v>
      </c>
      <c r="H708" s="166"/>
      <c r="J708" s="154">
        <f t="shared" si="253"/>
        <v>0</v>
      </c>
      <c r="K708" s="154">
        <f t="shared" si="254"/>
        <v>3418.9372457156946</v>
      </c>
      <c r="L708" s="154">
        <f t="shared" si="255"/>
        <v>0</v>
      </c>
      <c r="N708" s="152" t="s">
        <v>549</v>
      </c>
      <c r="O708" s="155">
        <v>43721</v>
      </c>
      <c r="P708" s="155">
        <v>43690</v>
      </c>
      <c r="Q708" s="156">
        <f t="shared" si="260"/>
        <v>43678</v>
      </c>
      <c r="R708" s="155"/>
      <c r="S708" s="156" t="str">
        <f t="shared" si="261"/>
        <v/>
      </c>
      <c r="T708" s="140">
        <f t="shared" ca="1" si="259"/>
        <v>52</v>
      </c>
      <c r="U708" s="139" t="str">
        <f t="shared" si="256"/>
        <v/>
      </c>
      <c r="V708" s="139" t="str">
        <f t="shared" si="257"/>
        <v/>
      </c>
      <c r="W708" s="139" t="str">
        <f t="shared" si="258"/>
        <v/>
      </c>
      <c r="X708" s="327"/>
    </row>
    <row r="709" spans="1:25" ht="18.75" x14ac:dyDescent="0.25">
      <c r="A709" s="151">
        <v>60</v>
      </c>
      <c r="B709" s="106" t="str">
        <f>'Funding 2019'!$K$108</f>
        <v>EGMM0019V167</v>
      </c>
      <c r="C709" s="177">
        <v>6100000769</v>
      </c>
      <c r="D709" s="177" t="s">
        <v>755</v>
      </c>
      <c r="E709" s="178" t="s">
        <v>712</v>
      </c>
      <c r="F709" s="280"/>
      <c r="G709" s="280"/>
      <c r="H709" s="280">
        <v>6984735</v>
      </c>
      <c r="J709" s="154">
        <f t="shared" si="253"/>
        <v>0</v>
      </c>
      <c r="K709" s="154">
        <f t="shared" si="254"/>
        <v>0</v>
      </c>
      <c r="L709" s="154">
        <f t="shared" si="255"/>
        <v>430.5717544075946</v>
      </c>
      <c r="N709" s="152" t="s">
        <v>167</v>
      </c>
      <c r="O709" s="155">
        <v>43647</v>
      </c>
      <c r="P709" s="155">
        <v>43647</v>
      </c>
      <c r="Q709" s="156">
        <f t="shared" si="260"/>
        <v>43647</v>
      </c>
      <c r="R709" s="155">
        <v>43673</v>
      </c>
      <c r="S709" s="156">
        <f t="shared" si="261"/>
        <v>43647</v>
      </c>
      <c r="T709" s="140" t="str">
        <f t="shared" ca="1" si="259"/>
        <v/>
      </c>
      <c r="U709" s="139" t="str">
        <f t="shared" si="256"/>
        <v/>
      </c>
      <c r="V709" s="139" t="str">
        <f t="shared" si="257"/>
        <v/>
      </c>
      <c r="W709" s="139" t="str">
        <f t="shared" si="258"/>
        <v/>
      </c>
      <c r="X709" s="327"/>
    </row>
    <row r="710" spans="1:25" ht="18.75" x14ac:dyDescent="0.25">
      <c r="A710" s="151">
        <v>61</v>
      </c>
      <c r="B710" s="106" t="str">
        <f>'Funding 2019'!$K$108</f>
        <v>EGMM0019V167</v>
      </c>
      <c r="C710" s="151">
        <v>4400000993</v>
      </c>
      <c r="D710" s="151">
        <v>7500000950</v>
      </c>
      <c r="E710" s="152" t="s">
        <v>744</v>
      </c>
      <c r="F710" s="166">
        <f>300000*0</f>
        <v>0</v>
      </c>
      <c r="G710" s="287">
        <v>300000</v>
      </c>
      <c r="H710" s="166"/>
      <c r="J710" s="154">
        <f t="shared" si="253"/>
        <v>0</v>
      </c>
      <c r="K710" s="154">
        <f t="shared" si="254"/>
        <v>18.493404019233139</v>
      </c>
      <c r="L710" s="154">
        <f t="shared" si="255"/>
        <v>0</v>
      </c>
      <c r="N710" s="152" t="s">
        <v>549</v>
      </c>
      <c r="O710" s="155">
        <v>43721</v>
      </c>
      <c r="P710" s="155">
        <v>43698</v>
      </c>
      <c r="Q710" s="156">
        <f t="shared" si="260"/>
        <v>43678</v>
      </c>
      <c r="R710" s="155"/>
      <c r="S710" s="156" t="str">
        <f t="shared" si="261"/>
        <v/>
      </c>
      <c r="T710" s="140">
        <f t="shared" ca="1" si="259"/>
        <v>52</v>
      </c>
      <c r="U710" s="139" t="str">
        <f t="shared" si="256"/>
        <v/>
      </c>
      <c r="V710" s="139" t="str">
        <f t="shared" si="257"/>
        <v/>
      </c>
      <c r="W710" s="139" t="str">
        <f t="shared" si="258"/>
        <v/>
      </c>
      <c r="X710" s="327"/>
    </row>
    <row r="711" spans="1:25" ht="18.75" x14ac:dyDescent="0.25">
      <c r="A711" s="151">
        <v>62</v>
      </c>
      <c r="B711" s="106" t="str">
        <f>'Funding 2019'!$K$108</f>
        <v>EGMM0019V167</v>
      </c>
      <c r="C711" s="151">
        <v>5500011981</v>
      </c>
      <c r="D711" s="151"/>
      <c r="E711" s="152" t="s">
        <v>808</v>
      </c>
      <c r="F711" s="287">
        <v>4800000</v>
      </c>
      <c r="G711" s="166"/>
      <c r="H711" s="166"/>
      <c r="J711" s="154">
        <f t="shared" si="253"/>
        <v>295.89446430773023</v>
      </c>
      <c r="K711" s="154">
        <f t="shared" si="254"/>
        <v>0</v>
      </c>
      <c r="L711" s="154">
        <f t="shared" si="255"/>
        <v>0</v>
      </c>
      <c r="N711" s="152" t="s">
        <v>523</v>
      </c>
      <c r="O711" s="155">
        <v>43747</v>
      </c>
      <c r="P711" s="155">
        <v>43717</v>
      </c>
      <c r="Q711" s="156">
        <f t="shared" si="260"/>
        <v>43709</v>
      </c>
      <c r="R711" s="155"/>
      <c r="S711" s="156" t="str">
        <f t="shared" si="261"/>
        <v/>
      </c>
      <c r="T711" s="140">
        <f t="shared" ca="1" si="259"/>
        <v>26</v>
      </c>
      <c r="U711" s="139" t="str">
        <f t="shared" si="256"/>
        <v/>
      </c>
      <c r="V711" s="139" t="str">
        <f t="shared" si="257"/>
        <v/>
      </c>
      <c r="W711" s="139" t="str">
        <f t="shared" si="258"/>
        <v/>
      </c>
      <c r="X711" s="327"/>
    </row>
    <row r="712" spans="1:25" ht="18.75" x14ac:dyDescent="0.25">
      <c r="A712" s="151">
        <v>63</v>
      </c>
      <c r="B712" s="106" t="str">
        <f>'Funding 2019'!$K$108</f>
        <v>EGMM0019V167</v>
      </c>
      <c r="C712" s="151">
        <v>6100000803</v>
      </c>
      <c r="D712" s="151" t="s">
        <v>873</v>
      </c>
      <c r="E712" s="152" t="s">
        <v>853</v>
      </c>
      <c r="F712" s="166"/>
      <c r="G712" s="287">
        <v>6163968</v>
      </c>
      <c r="H712" s="166"/>
      <c r="J712" s="154">
        <f t="shared" ref="J712:L714" si="262">F712/$J$2</f>
        <v>0</v>
      </c>
      <c r="K712" s="154">
        <f t="shared" si="262"/>
        <v>379.97583528541486</v>
      </c>
      <c r="L712" s="154">
        <f t="shared" si="262"/>
        <v>0</v>
      </c>
      <c r="N712" s="152" t="s">
        <v>729</v>
      </c>
      <c r="O712" s="155">
        <v>43752</v>
      </c>
      <c r="P712" s="155">
        <v>43731</v>
      </c>
      <c r="Q712" s="156">
        <f t="shared" si="260"/>
        <v>43709</v>
      </c>
      <c r="R712" s="155"/>
      <c r="S712" s="156" t="str">
        <f t="shared" si="261"/>
        <v/>
      </c>
      <c r="T712" s="140">
        <f t="shared" ca="1" si="259"/>
        <v>21</v>
      </c>
      <c r="U712" s="139" t="str">
        <f t="shared" si="256"/>
        <v/>
      </c>
      <c r="V712" s="139" t="str">
        <f t="shared" si="257"/>
        <v/>
      </c>
      <c r="W712" s="139" t="str">
        <f t="shared" si="258"/>
        <v/>
      </c>
      <c r="X712" s="327"/>
    </row>
    <row r="713" spans="1:25" ht="18.75" x14ac:dyDescent="0.25">
      <c r="A713" s="151">
        <v>64</v>
      </c>
      <c r="B713" s="106" t="str">
        <f>'Funding 2019'!$K$108</f>
        <v>EGMM0019V167</v>
      </c>
      <c r="C713" s="151">
        <v>4400001023</v>
      </c>
      <c r="D713" s="151">
        <v>7500000974</v>
      </c>
      <c r="E713" s="152" t="s">
        <v>782</v>
      </c>
      <c r="F713" s="166">
        <f>3000000*0</f>
        <v>0</v>
      </c>
      <c r="G713" s="287">
        <v>3000000</v>
      </c>
      <c r="H713" s="166"/>
      <c r="J713" s="154">
        <f t="shared" si="262"/>
        <v>0</v>
      </c>
      <c r="K713" s="154">
        <f t="shared" si="262"/>
        <v>184.93404019233139</v>
      </c>
      <c r="L713" s="154">
        <f t="shared" si="262"/>
        <v>0</v>
      </c>
      <c r="N713" s="152" t="s">
        <v>244</v>
      </c>
      <c r="O713" s="155">
        <v>43728</v>
      </c>
      <c r="P713" s="155">
        <v>43712</v>
      </c>
      <c r="Q713" s="156">
        <f t="shared" si="260"/>
        <v>43709</v>
      </c>
      <c r="R713" s="155"/>
      <c r="S713" s="156" t="str">
        <f t="shared" si="261"/>
        <v/>
      </c>
      <c r="T713" s="140">
        <f t="shared" ca="1" si="259"/>
        <v>45</v>
      </c>
      <c r="U713" s="139" t="str">
        <f t="shared" si="256"/>
        <v/>
      </c>
      <c r="V713" s="139" t="str">
        <f t="shared" si="257"/>
        <v/>
      </c>
      <c r="W713" s="139" t="str">
        <f t="shared" si="258"/>
        <v/>
      </c>
      <c r="X713" s="327"/>
    </row>
    <row r="714" spans="1:25" ht="18.75" x14ac:dyDescent="0.25">
      <c r="A714" s="157"/>
      <c r="B714" s="158"/>
      <c r="C714" s="157"/>
      <c r="D714" s="157"/>
      <c r="E714" s="159"/>
      <c r="F714" s="160">
        <f>SUM(F646:F713)</f>
        <v>47020298</v>
      </c>
      <c r="G714" s="160">
        <f>SUM(G646:G713)</f>
        <v>91894688</v>
      </c>
      <c r="H714" s="160">
        <f>SUM(H646:H713)</f>
        <v>2392926368</v>
      </c>
      <c r="J714" s="161">
        <f t="shared" si="262"/>
        <v>2898.5512267291333</v>
      </c>
      <c r="K714" s="161">
        <f t="shared" si="262"/>
        <v>5664.8186413512512</v>
      </c>
      <c r="L714" s="161">
        <f t="shared" si="262"/>
        <v>147511.18037233388</v>
      </c>
      <c r="N714" s="159"/>
      <c r="O714" s="162"/>
      <c r="P714" s="162"/>
      <c r="Q714" s="156" t="str">
        <f t="shared" si="260"/>
        <v/>
      </c>
      <c r="R714" s="162"/>
      <c r="S714" s="156" t="str">
        <f t="shared" si="261"/>
        <v/>
      </c>
      <c r="T714" s="140" t="str">
        <f t="shared" ca="1" si="259"/>
        <v/>
      </c>
      <c r="U714" s="139" t="str">
        <f t="shared" si="256"/>
        <v/>
      </c>
      <c r="V714" s="139" t="str">
        <f t="shared" si="257"/>
        <v/>
      </c>
      <c r="W714" s="139" t="str">
        <f t="shared" si="258"/>
        <v/>
      </c>
      <c r="X714" s="327"/>
    </row>
    <row r="715" spans="1:25" ht="18.75" x14ac:dyDescent="0.25">
      <c r="Q715" s="156" t="str">
        <f t="shared" si="260"/>
        <v/>
      </c>
      <c r="S715" s="156" t="str">
        <f t="shared" si="261"/>
        <v/>
      </c>
      <c r="T715" s="140" t="str">
        <f t="shared" ca="1" si="259"/>
        <v/>
      </c>
      <c r="U715" s="139" t="str">
        <f t="shared" si="256"/>
        <v/>
      </c>
      <c r="V715" s="139" t="str">
        <f t="shared" si="257"/>
        <v/>
      </c>
      <c r="W715" s="139" t="str">
        <f t="shared" si="258"/>
        <v/>
      </c>
      <c r="X715" s="327"/>
    </row>
    <row r="716" spans="1:25" ht="18.75" x14ac:dyDescent="0.25">
      <c r="A716" s="163" t="str">
        <f>'Funding 2019'!L119</f>
        <v>One Time Cost Related to Product</v>
      </c>
      <c r="B716" s="113" t="str">
        <f>'Funding 2019'!L110</f>
        <v>V167 - Local A-Team, Special Tools</v>
      </c>
      <c r="C716" s="147"/>
      <c r="D716" s="147"/>
      <c r="E716" s="148"/>
      <c r="F716" s="148"/>
      <c r="G716" s="148"/>
      <c r="H716" s="148"/>
      <c r="J716" s="149">
        <f t="shared" ref="J716:L717" si="263">F716/$J$2</f>
        <v>0</v>
      </c>
      <c r="K716" s="149">
        <f t="shared" si="263"/>
        <v>0</v>
      </c>
      <c r="L716" s="149">
        <f t="shared" si="263"/>
        <v>0</v>
      </c>
      <c r="N716" s="148"/>
      <c r="O716" s="150"/>
      <c r="P716" s="150"/>
      <c r="Q716" s="156" t="str">
        <f t="shared" si="260"/>
        <v/>
      </c>
      <c r="R716" s="150"/>
      <c r="S716" s="156" t="str">
        <f t="shared" si="261"/>
        <v/>
      </c>
      <c r="T716" s="140" t="str">
        <f t="shared" ca="1" si="259"/>
        <v/>
      </c>
      <c r="U716" s="139" t="str">
        <f t="shared" si="256"/>
        <v/>
      </c>
      <c r="V716" s="139" t="str">
        <f t="shared" si="257"/>
        <v/>
      </c>
      <c r="W716" s="139" t="str">
        <f t="shared" si="258"/>
        <v/>
      </c>
      <c r="X716" s="327"/>
    </row>
    <row r="717" spans="1:25" ht="18.75" x14ac:dyDescent="0.25">
      <c r="A717" s="151">
        <v>1</v>
      </c>
      <c r="B717" s="106" t="str">
        <f>'Funding 2019'!$K$110</f>
        <v>EGMMLA19V167</v>
      </c>
      <c r="C717" s="151">
        <v>2100011900</v>
      </c>
      <c r="D717" s="151"/>
      <c r="E717" s="152" t="s">
        <v>928</v>
      </c>
      <c r="F717" s="166">
        <v>213654882</v>
      </c>
      <c r="G717" s="166"/>
      <c r="H717" s="336"/>
      <c r="J717" s="154">
        <f t="shared" si="263"/>
        <v>13170.686845025275</v>
      </c>
      <c r="K717" s="154">
        <f t="shared" si="263"/>
        <v>0</v>
      </c>
      <c r="L717" s="154">
        <f t="shared" si="263"/>
        <v>0</v>
      </c>
      <c r="N717" s="152" t="s">
        <v>244</v>
      </c>
      <c r="O717" s="155">
        <v>43798</v>
      </c>
      <c r="P717" s="155">
        <v>43767</v>
      </c>
      <c r="Q717" s="156">
        <f t="shared" si="260"/>
        <v>43739</v>
      </c>
      <c r="R717" s="155"/>
      <c r="S717" s="156" t="str">
        <f t="shared" si="261"/>
        <v/>
      </c>
      <c r="T717" s="140" t="str">
        <f t="shared" ca="1" si="259"/>
        <v/>
      </c>
      <c r="U717" s="139" t="str">
        <f t="shared" si="256"/>
        <v/>
      </c>
      <c r="V717" s="139" t="str">
        <f t="shared" si="257"/>
        <v/>
      </c>
      <c r="W717" s="139" t="str">
        <f t="shared" si="258"/>
        <v/>
      </c>
      <c r="X717" s="327"/>
    </row>
    <row r="718" spans="1:25" ht="18.75" x14ac:dyDescent="0.25">
      <c r="A718" s="151">
        <v>2</v>
      </c>
      <c r="B718" s="106"/>
      <c r="C718" s="151"/>
      <c r="D718" s="151"/>
      <c r="E718" s="152"/>
      <c r="F718" s="166"/>
      <c r="G718" s="166"/>
      <c r="H718" s="336"/>
      <c r="J718" s="154">
        <f t="shared" ref="J718:J727" si="264">F718/$J$2</f>
        <v>0</v>
      </c>
      <c r="K718" s="154">
        <f t="shared" ref="K718:K727" si="265">G718/$J$2</f>
        <v>0</v>
      </c>
      <c r="L718" s="154">
        <f t="shared" ref="L718:L727" si="266">H718/$J$2</f>
        <v>0</v>
      </c>
      <c r="N718" s="152"/>
      <c r="O718" s="155"/>
      <c r="P718" s="155"/>
      <c r="Q718" s="156" t="str">
        <f t="shared" si="260"/>
        <v/>
      </c>
      <c r="R718" s="155"/>
      <c r="S718" s="156" t="str">
        <f t="shared" si="261"/>
        <v/>
      </c>
      <c r="T718" s="140" t="str">
        <f t="shared" ca="1" si="259"/>
        <v/>
      </c>
      <c r="U718" s="139" t="str">
        <f t="shared" ref="U718:U781" si="267">IF(A718="","",IF(AND(J718&gt;0,Q718=""), "RED",""))</f>
        <v/>
      </c>
      <c r="V718" s="139" t="str">
        <f t="shared" ref="V718:V781" si="268">IF(A718="","",IF(AND(K718&gt;0,Q718=""), "BLUE",""))</f>
        <v/>
      </c>
      <c r="W718" s="139" t="str">
        <f t="shared" ref="W718:W781" si="269">IF(A718="","",IF(AND(L718&gt;0,S718=""), "YELLOW",""))</f>
        <v/>
      </c>
      <c r="X718" s="327"/>
    </row>
    <row r="719" spans="1:25" ht="18.75" x14ac:dyDescent="0.25">
      <c r="A719" s="151">
        <v>3</v>
      </c>
      <c r="B719" s="106" t="str">
        <f>'Funding 2019'!$K$110</f>
        <v>EGMMLA19V167</v>
      </c>
      <c r="C719" s="151">
        <v>2100011562</v>
      </c>
      <c r="D719" s="151" t="s">
        <v>393</v>
      </c>
      <c r="E719" s="152" t="s">
        <v>338</v>
      </c>
      <c r="F719" s="166"/>
      <c r="G719" s="287"/>
      <c r="H719" s="287">
        <f>48922741*0</f>
        <v>0</v>
      </c>
      <c r="J719" s="154">
        <f t="shared" si="264"/>
        <v>0</v>
      </c>
      <c r="K719" s="154">
        <f t="shared" si="265"/>
        <v>0</v>
      </c>
      <c r="L719" s="154">
        <f t="shared" si="266"/>
        <v>0</v>
      </c>
      <c r="N719" s="152" t="s">
        <v>244</v>
      </c>
      <c r="O719" s="155">
        <v>43614</v>
      </c>
      <c r="P719" s="155">
        <v>43518</v>
      </c>
      <c r="Q719" s="156">
        <f t="shared" si="260"/>
        <v>43497</v>
      </c>
      <c r="R719" s="155">
        <v>43766</v>
      </c>
      <c r="S719" s="156">
        <f t="shared" si="261"/>
        <v>43739</v>
      </c>
      <c r="T719" s="140" t="str">
        <f t="shared" ca="1" si="259"/>
        <v/>
      </c>
      <c r="U719" s="139" t="str">
        <f t="shared" si="267"/>
        <v/>
      </c>
      <c r="V719" s="139" t="str">
        <f t="shared" si="268"/>
        <v/>
      </c>
      <c r="W719" s="139" t="str">
        <f t="shared" si="269"/>
        <v/>
      </c>
      <c r="X719" s="327"/>
    </row>
    <row r="720" spans="1:25" ht="18.75" x14ac:dyDescent="0.25">
      <c r="A720" s="151">
        <v>4</v>
      </c>
      <c r="B720" s="331" t="str">
        <f>'Funding 2019'!$K$110</f>
        <v>EGMMLA19V167</v>
      </c>
      <c r="C720" s="283">
        <v>2100011579</v>
      </c>
      <c r="D720" s="283" t="s">
        <v>392</v>
      </c>
      <c r="E720" s="284" t="s">
        <v>347</v>
      </c>
      <c r="F720" s="280">
        <f>69250000*0</f>
        <v>0</v>
      </c>
      <c r="G720" s="376">
        <v>4252500</v>
      </c>
      <c r="H720" s="411">
        <f>51322500+6750000</f>
        <v>58072500</v>
      </c>
      <c r="J720" s="154">
        <f t="shared" si="264"/>
        <v>0</v>
      </c>
      <c r="K720" s="154">
        <f t="shared" si="265"/>
        <v>262.14400197262978</v>
      </c>
      <c r="L720" s="154">
        <f t="shared" si="266"/>
        <v>3579.8606830230551</v>
      </c>
      <c r="N720" s="152" t="s">
        <v>244</v>
      </c>
      <c r="O720" s="155">
        <v>43597</v>
      </c>
      <c r="P720" s="155">
        <v>43521</v>
      </c>
      <c r="Q720" s="156">
        <f t="shared" si="260"/>
        <v>43497</v>
      </c>
      <c r="R720" s="155">
        <v>43556</v>
      </c>
      <c r="S720" s="156">
        <f t="shared" si="261"/>
        <v>43556</v>
      </c>
      <c r="T720" s="140">
        <f t="shared" ref="T720:T785" ca="1" si="270">IF(R720="",IF(O720="",IF(P720="","",IF(P720-TODAY()&lt;=0,TODAY()-P720,"")),IF(O720-TODAY()&lt;=0,TODAY()-O720,"")),IF(SUM(F720:G720)&lt;&gt;0,IF(O720="",IF(P720="","",IF(P720-TODAY()&lt;=0,TODAY()-P720,"")),IF(O720-TODAY()&lt;=0,TODAY()-O720,"")),""))</f>
        <v>176</v>
      </c>
      <c r="U720" s="139" t="str">
        <f t="shared" si="267"/>
        <v/>
      </c>
      <c r="V720" s="139" t="str">
        <f t="shared" si="268"/>
        <v/>
      </c>
      <c r="W720" s="139" t="str">
        <f t="shared" si="269"/>
        <v/>
      </c>
      <c r="X720" s="327"/>
      <c r="Y720" s="139" t="s">
        <v>807</v>
      </c>
    </row>
    <row r="721" spans="1:25" ht="18.75" x14ac:dyDescent="0.25">
      <c r="A721" s="151">
        <v>5</v>
      </c>
      <c r="B721" s="106" t="str">
        <f>'Funding 2019'!$K$110</f>
        <v>EGMMLA19V167</v>
      </c>
      <c r="C721" s="151">
        <v>5500011396</v>
      </c>
      <c r="D721" s="151"/>
      <c r="E721" s="152" t="s">
        <v>394</v>
      </c>
      <c r="F721" s="166">
        <f>5625000*0</f>
        <v>0</v>
      </c>
      <c r="G721" s="166"/>
      <c r="H721" s="336">
        <v>35006187</v>
      </c>
      <c r="J721" s="154">
        <f t="shared" si="264"/>
        <v>0</v>
      </c>
      <c r="K721" s="154">
        <f t="shared" si="265"/>
        <v>0</v>
      </c>
      <c r="L721" s="154">
        <f t="shared" si="266"/>
        <v>2157.9451978794232</v>
      </c>
      <c r="N721" s="152" t="s">
        <v>244</v>
      </c>
      <c r="O721" s="155"/>
      <c r="P721" s="155">
        <v>43620</v>
      </c>
      <c r="Q721" s="156">
        <f t="shared" si="260"/>
        <v>43617</v>
      </c>
      <c r="R721" s="155">
        <v>43588</v>
      </c>
      <c r="S721" s="156">
        <f t="shared" si="261"/>
        <v>43586</v>
      </c>
      <c r="T721" s="140" t="str">
        <f t="shared" ca="1" si="270"/>
        <v/>
      </c>
      <c r="U721" s="139" t="str">
        <f t="shared" si="267"/>
        <v/>
      </c>
      <c r="V721" s="139" t="str">
        <f t="shared" si="268"/>
        <v/>
      </c>
      <c r="W721" s="139" t="str">
        <f t="shared" si="269"/>
        <v/>
      </c>
      <c r="X721" s="327"/>
    </row>
    <row r="722" spans="1:25" ht="18.75" x14ac:dyDescent="0.25">
      <c r="A722" s="151">
        <v>6</v>
      </c>
      <c r="B722" s="106" t="str">
        <f>'Funding 2019'!$K$110</f>
        <v>EGMMLA19V167</v>
      </c>
      <c r="C722" s="151">
        <v>3100007254</v>
      </c>
      <c r="D722" s="151"/>
      <c r="E722" s="152" t="s">
        <v>395</v>
      </c>
      <c r="F722" s="166">
        <f>23750000*0</f>
        <v>0</v>
      </c>
      <c r="G722" s="166"/>
      <c r="H722" s="411">
        <v>897698704</v>
      </c>
      <c r="J722" s="154">
        <f t="shared" si="264"/>
        <v>0</v>
      </c>
      <c r="K722" s="154">
        <f t="shared" si="265"/>
        <v>0</v>
      </c>
      <c r="L722" s="154">
        <f t="shared" si="266"/>
        <v>55338.349402046602</v>
      </c>
      <c r="N722" s="152" t="s">
        <v>244</v>
      </c>
      <c r="O722" s="155">
        <v>43646</v>
      </c>
      <c r="P722" s="155">
        <v>43525</v>
      </c>
      <c r="Q722" s="156">
        <f t="shared" si="260"/>
        <v>43525</v>
      </c>
      <c r="R722" s="155">
        <v>43617</v>
      </c>
      <c r="S722" s="156">
        <f t="shared" si="261"/>
        <v>43617</v>
      </c>
      <c r="T722" s="140" t="str">
        <f t="shared" ca="1" si="270"/>
        <v/>
      </c>
      <c r="U722" s="139" t="str">
        <f t="shared" si="267"/>
        <v/>
      </c>
      <c r="V722" s="139" t="str">
        <f t="shared" si="268"/>
        <v/>
      </c>
      <c r="W722" s="139" t="str">
        <f t="shared" si="269"/>
        <v/>
      </c>
      <c r="X722" s="327"/>
    </row>
    <row r="723" spans="1:25" ht="18.75" x14ac:dyDescent="0.25">
      <c r="A723" s="151">
        <v>17</v>
      </c>
      <c r="B723" s="106" t="str">
        <f>'Funding 2019'!$K$110</f>
        <v>EGMMLA19V167</v>
      </c>
      <c r="C723" s="151">
        <v>3100007274</v>
      </c>
      <c r="D723" s="151"/>
      <c r="E723" s="152" t="s">
        <v>396</v>
      </c>
      <c r="F723" s="287">
        <f>30000000</f>
        <v>30000000</v>
      </c>
      <c r="G723" s="166"/>
      <c r="H723" s="336"/>
      <c r="J723" s="154">
        <f t="shared" si="264"/>
        <v>1849.3404019233139</v>
      </c>
      <c r="K723" s="154">
        <f t="shared" si="265"/>
        <v>0</v>
      </c>
      <c r="L723" s="154">
        <f t="shared" si="266"/>
        <v>0</v>
      </c>
      <c r="N723" s="152" t="s">
        <v>244</v>
      </c>
      <c r="O723" s="155">
        <v>43646</v>
      </c>
      <c r="P723" s="155">
        <v>43552</v>
      </c>
      <c r="Q723" s="156">
        <f t="shared" si="260"/>
        <v>43525</v>
      </c>
      <c r="R723" s="155">
        <v>43733</v>
      </c>
      <c r="S723" s="156">
        <f t="shared" si="261"/>
        <v>43709</v>
      </c>
      <c r="T723" s="140">
        <f t="shared" ca="1" si="270"/>
        <v>127</v>
      </c>
      <c r="U723" s="139" t="str">
        <f t="shared" si="267"/>
        <v/>
      </c>
      <c r="V723" s="139" t="str">
        <f t="shared" si="268"/>
        <v/>
      </c>
      <c r="W723" s="139" t="str">
        <f t="shared" si="269"/>
        <v/>
      </c>
      <c r="X723" s="327"/>
    </row>
    <row r="724" spans="1:25" ht="18.75" x14ac:dyDescent="0.25">
      <c r="A724" s="151">
        <v>23</v>
      </c>
      <c r="B724" s="106" t="str">
        <f>'Funding 2019'!$K$110</f>
        <v>EGMMLA19V167</v>
      </c>
      <c r="C724" s="151"/>
      <c r="D724" s="151" t="s">
        <v>455</v>
      </c>
      <c r="E724" s="152" t="s">
        <v>456</v>
      </c>
      <c r="F724" s="166"/>
      <c r="G724" s="166"/>
      <c r="H724" s="411">
        <v>4728800</v>
      </c>
      <c r="J724" s="154">
        <f t="shared" si="264"/>
        <v>0</v>
      </c>
      <c r="K724" s="154">
        <f t="shared" si="265"/>
        <v>0</v>
      </c>
      <c r="L724" s="154">
        <f t="shared" si="266"/>
        <v>291.50536308716556</v>
      </c>
      <c r="N724" s="152" t="s">
        <v>244</v>
      </c>
      <c r="O724" s="155"/>
      <c r="P724" s="155">
        <v>43598</v>
      </c>
      <c r="Q724" s="156">
        <f t="shared" si="260"/>
        <v>43586</v>
      </c>
      <c r="R724" s="155">
        <v>43586</v>
      </c>
      <c r="S724" s="156">
        <f t="shared" si="261"/>
        <v>43586</v>
      </c>
      <c r="T724" s="140" t="str">
        <f t="shared" ca="1" si="270"/>
        <v/>
      </c>
      <c r="U724" s="139" t="str">
        <f t="shared" si="267"/>
        <v/>
      </c>
      <c r="V724" s="139" t="str">
        <f t="shared" si="268"/>
        <v/>
      </c>
      <c r="W724" s="139" t="str">
        <f t="shared" si="269"/>
        <v/>
      </c>
      <c r="X724" s="327"/>
    </row>
    <row r="725" spans="1:25" ht="18.75" x14ac:dyDescent="0.25">
      <c r="A725" s="151">
        <v>24</v>
      </c>
      <c r="B725" s="331" t="str">
        <f>'Funding 2019'!$K$110</f>
        <v>EGMMLA19V167</v>
      </c>
      <c r="C725" s="283">
        <v>6100000762</v>
      </c>
      <c r="D725" s="283" t="s">
        <v>547</v>
      </c>
      <c r="E725" s="284" t="s">
        <v>548</v>
      </c>
      <c r="F725" s="280"/>
      <c r="G725" s="376">
        <v>293254</v>
      </c>
      <c r="H725" s="411">
        <v>30662036</v>
      </c>
      <c r="J725" s="154">
        <f t="shared" si="264"/>
        <v>0</v>
      </c>
      <c r="K725" s="154">
        <f t="shared" si="265"/>
        <v>18.077549007520652</v>
      </c>
      <c r="L725" s="154">
        <f t="shared" si="266"/>
        <v>1890.1513993342376</v>
      </c>
      <c r="N725" s="152" t="s">
        <v>549</v>
      </c>
      <c r="O725" s="155">
        <v>43658</v>
      </c>
      <c r="P725" s="155">
        <v>43628</v>
      </c>
      <c r="Q725" s="156">
        <f t="shared" si="260"/>
        <v>43617</v>
      </c>
      <c r="R725" s="155">
        <v>43617</v>
      </c>
      <c r="S725" s="156">
        <f t="shared" si="261"/>
        <v>43617</v>
      </c>
      <c r="T725" s="140">
        <f t="shared" ca="1" si="270"/>
        <v>115</v>
      </c>
      <c r="U725" s="139" t="str">
        <f t="shared" si="267"/>
        <v/>
      </c>
      <c r="V725" s="139" t="str">
        <f t="shared" si="268"/>
        <v/>
      </c>
      <c r="W725" s="139" t="str">
        <f t="shared" si="269"/>
        <v/>
      </c>
      <c r="X725" s="327"/>
      <c r="Y725" s="139" t="s">
        <v>807</v>
      </c>
    </row>
    <row r="726" spans="1:25" ht="18.75" x14ac:dyDescent="0.25">
      <c r="A726" s="151">
        <v>25</v>
      </c>
      <c r="B726" s="106" t="str">
        <f>'Funding 2019'!$K$110</f>
        <v>EGMMLA19V167</v>
      </c>
      <c r="C726" s="151">
        <v>5500011808</v>
      </c>
      <c r="D726" s="151"/>
      <c r="E726" s="152" t="s">
        <v>616</v>
      </c>
      <c r="F726" s="166">
        <f>2023160*0</f>
        <v>0</v>
      </c>
      <c r="G726" s="166">
        <f>2023160*0</f>
        <v>0</v>
      </c>
      <c r="H726" s="336"/>
      <c r="J726" s="154">
        <f t="shared" si="264"/>
        <v>0</v>
      </c>
      <c r="K726" s="154">
        <f t="shared" si="265"/>
        <v>0</v>
      </c>
      <c r="L726" s="154">
        <f t="shared" si="266"/>
        <v>0</v>
      </c>
      <c r="N726" s="152" t="s">
        <v>549</v>
      </c>
      <c r="O726" s="155">
        <v>43682</v>
      </c>
      <c r="P726" s="155">
        <v>43670</v>
      </c>
      <c r="Q726" s="156">
        <f t="shared" ref="Q726:Q789" si="271">IF(P726="","",IF(YEAR(P726)&lt;=2018,DATE(2018,12,31),EOMONTH(P726,-1)+1))</f>
        <v>43647</v>
      </c>
      <c r="R726" s="155">
        <v>43717</v>
      </c>
      <c r="S726" s="156">
        <f t="shared" ref="S726:S789" si="272">IF(R726="","",IF(YEAR(R726)&lt;=2018,DATE(2018,12,31),EOMONTH(R726,-1)+1))</f>
        <v>43709</v>
      </c>
      <c r="T726" s="140" t="str">
        <f t="shared" ca="1" si="270"/>
        <v/>
      </c>
      <c r="U726" s="139" t="str">
        <f t="shared" si="267"/>
        <v/>
      </c>
      <c r="V726" s="139" t="str">
        <f t="shared" si="268"/>
        <v/>
      </c>
      <c r="W726" s="139" t="str">
        <f t="shared" si="269"/>
        <v/>
      </c>
      <c r="X726" s="327"/>
    </row>
    <row r="727" spans="1:25" ht="18.75" x14ac:dyDescent="0.25">
      <c r="A727" s="151">
        <v>26</v>
      </c>
      <c r="B727" s="106" t="str">
        <f>'Funding 2019'!$K$110</f>
        <v>EGMMLA19V167</v>
      </c>
      <c r="C727" s="151">
        <v>4400001047</v>
      </c>
      <c r="D727" s="151">
        <v>7500001032</v>
      </c>
      <c r="E727" s="152" t="s">
        <v>895</v>
      </c>
      <c r="F727" s="166"/>
      <c r="G727" s="287"/>
      <c r="H727" s="287">
        <v>7550000</v>
      </c>
      <c r="J727" s="154">
        <f t="shared" si="264"/>
        <v>0</v>
      </c>
      <c r="K727" s="154">
        <f t="shared" si="265"/>
        <v>0</v>
      </c>
      <c r="L727" s="154">
        <f t="shared" si="266"/>
        <v>465.41733448403403</v>
      </c>
      <c r="N727" s="152" t="s">
        <v>549</v>
      </c>
      <c r="O727" s="155">
        <v>43766</v>
      </c>
      <c r="P727" s="155">
        <v>43745</v>
      </c>
      <c r="Q727" s="156">
        <f t="shared" si="271"/>
        <v>43739</v>
      </c>
      <c r="R727" s="155">
        <v>43766</v>
      </c>
      <c r="S727" s="156">
        <f t="shared" si="272"/>
        <v>43739</v>
      </c>
      <c r="T727" s="140" t="str">
        <f t="shared" ca="1" si="270"/>
        <v/>
      </c>
      <c r="U727" s="139" t="str">
        <f t="shared" si="267"/>
        <v/>
      </c>
      <c r="V727" s="139" t="str">
        <f t="shared" si="268"/>
        <v/>
      </c>
      <c r="W727" s="139" t="str">
        <f t="shared" si="269"/>
        <v/>
      </c>
      <c r="X727" s="327"/>
    </row>
    <row r="728" spans="1:25" ht="18.75" x14ac:dyDescent="0.25">
      <c r="A728" s="157"/>
      <c r="B728" s="158"/>
      <c r="C728" s="157"/>
      <c r="D728" s="157"/>
      <c r="E728" s="159"/>
      <c r="F728" s="160">
        <f>SUM(F716:F727)</f>
        <v>243654882</v>
      </c>
      <c r="G728" s="160">
        <f>SUM(G716:G727)</f>
        <v>4545754</v>
      </c>
      <c r="H728" s="160">
        <f>SUM(H716:H727)</f>
        <v>1033718227</v>
      </c>
      <c r="J728" s="161">
        <f>F728/$J$2</f>
        <v>15020.027246948588</v>
      </c>
      <c r="K728" s="161">
        <f>G728/$J$2</f>
        <v>280.22155098015043</v>
      </c>
      <c r="L728" s="161">
        <f>H728/$J$2</f>
        <v>63723.229379854522</v>
      </c>
      <c r="N728" s="159"/>
      <c r="O728" s="162"/>
      <c r="P728" s="162"/>
      <c r="Q728" s="156" t="str">
        <f t="shared" si="271"/>
        <v/>
      </c>
      <c r="R728" s="162"/>
      <c r="S728" s="156" t="str">
        <f t="shared" si="272"/>
        <v/>
      </c>
      <c r="T728" s="140" t="str">
        <f t="shared" ca="1" si="270"/>
        <v/>
      </c>
      <c r="U728" s="139" t="str">
        <f t="shared" si="267"/>
        <v/>
      </c>
      <c r="V728" s="139" t="str">
        <f t="shared" si="268"/>
        <v/>
      </c>
      <c r="W728" s="139" t="str">
        <f t="shared" si="269"/>
        <v/>
      </c>
      <c r="X728" s="327"/>
    </row>
    <row r="729" spans="1:25" ht="18.75" x14ac:dyDescent="0.25">
      <c r="Q729" s="156" t="str">
        <f t="shared" si="271"/>
        <v/>
      </c>
      <c r="S729" s="156" t="str">
        <f t="shared" si="272"/>
        <v/>
      </c>
      <c r="T729" s="140" t="str">
        <f t="shared" ca="1" si="270"/>
        <v/>
      </c>
      <c r="U729" s="139" t="str">
        <f t="shared" si="267"/>
        <v/>
      </c>
      <c r="V729" s="139" t="str">
        <f t="shared" si="268"/>
        <v/>
      </c>
      <c r="W729" s="139" t="str">
        <f t="shared" si="269"/>
        <v/>
      </c>
      <c r="X729" s="327"/>
    </row>
    <row r="730" spans="1:25" ht="18.75" x14ac:dyDescent="0.25">
      <c r="A730" s="163" t="str">
        <f>'Funding 2019'!L119</f>
        <v>One Time Cost Related to Product</v>
      </c>
      <c r="B730" s="113" t="str">
        <f>'Funding 2019'!L109</f>
        <v>V167 -TA</v>
      </c>
      <c r="C730" s="147"/>
      <c r="D730" s="147"/>
      <c r="E730" s="148"/>
      <c r="F730" s="148"/>
      <c r="G730" s="148"/>
      <c r="H730" s="148"/>
      <c r="J730" s="149">
        <f t="shared" ref="J730:L733" si="273">F730/$J$2</f>
        <v>0</v>
      </c>
      <c r="K730" s="149">
        <f t="shared" si="273"/>
        <v>0</v>
      </c>
      <c r="L730" s="149">
        <f t="shared" si="273"/>
        <v>0</v>
      </c>
      <c r="N730" s="148"/>
      <c r="O730" s="150"/>
      <c r="P730" s="150"/>
      <c r="Q730" s="156" t="str">
        <f t="shared" si="271"/>
        <v/>
      </c>
      <c r="R730" s="150"/>
      <c r="S730" s="156" t="str">
        <f t="shared" si="272"/>
        <v/>
      </c>
      <c r="T730" s="140" t="str">
        <f t="shared" ca="1" si="270"/>
        <v/>
      </c>
      <c r="U730" s="139" t="str">
        <f t="shared" si="267"/>
        <v/>
      </c>
      <c r="V730" s="139" t="str">
        <f t="shared" si="268"/>
        <v/>
      </c>
      <c r="W730" s="139" t="str">
        <f t="shared" si="269"/>
        <v/>
      </c>
      <c r="X730" s="327"/>
    </row>
    <row r="731" spans="1:25" ht="18.75" x14ac:dyDescent="0.25">
      <c r="A731" s="151">
        <v>1</v>
      </c>
      <c r="B731" s="106" t="str">
        <f>'Funding 2019'!$K$109</f>
        <v>EGMMTA19V167</v>
      </c>
      <c r="C731" s="151">
        <v>5300000258</v>
      </c>
      <c r="D731" s="151">
        <v>4500135205</v>
      </c>
      <c r="E731" s="152" t="s">
        <v>694</v>
      </c>
      <c r="F731" s="166"/>
      <c r="G731" s="166">
        <v>2960160154</v>
      </c>
      <c r="H731" s="166"/>
      <c r="J731" s="154">
        <f t="shared" si="273"/>
        <v>0</v>
      </c>
      <c r="K731" s="154">
        <f t="shared" si="273"/>
        <v>182478.12563185798</v>
      </c>
      <c r="L731" s="154">
        <f t="shared" si="273"/>
        <v>0</v>
      </c>
      <c r="N731" s="152" t="s">
        <v>549</v>
      </c>
      <c r="O731" s="318">
        <v>43799</v>
      </c>
      <c r="P731" s="155">
        <v>43685</v>
      </c>
      <c r="Q731" s="156">
        <f t="shared" si="271"/>
        <v>43678</v>
      </c>
      <c r="R731" s="155"/>
      <c r="S731" s="156" t="str">
        <f t="shared" si="272"/>
        <v/>
      </c>
      <c r="T731" s="140" t="str">
        <f t="shared" ca="1" si="270"/>
        <v/>
      </c>
      <c r="U731" s="139" t="str">
        <f t="shared" si="267"/>
        <v/>
      </c>
      <c r="V731" s="139" t="str">
        <f t="shared" si="268"/>
        <v/>
      </c>
      <c r="W731" s="139" t="str">
        <f t="shared" si="269"/>
        <v/>
      </c>
      <c r="X731" s="327"/>
    </row>
    <row r="732" spans="1:25" ht="18.75" x14ac:dyDescent="0.25">
      <c r="A732" s="151">
        <v>2</v>
      </c>
      <c r="B732" s="106" t="str">
        <f>'Funding 2019'!$K$109</f>
        <v>EGMMTA19V167</v>
      </c>
      <c r="C732" s="151"/>
      <c r="D732" s="151"/>
      <c r="E732" s="152"/>
      <c r="F732" s="166"/>
      <c r="G732" s="166"/>
      <c r="H732" s="166"/>
      <c r="J732" s="154">
        <f t="shared" si="273"/>
        <v>0</v>
      </c>
      <c r="K732" s="154">
        <f t="shared" si="273"/>
        <v>0</v>
      </c>
      <c r="L732" s="154">
        <f t="shared" si="273"/>
        <v>0</v>
      </c>
      <c r="N732" s="152"/>
      <c r="O732" s="155"/>
      <c r="P732" s="155"/>
      <c r="Q732" s="156" t="str">
        <f t="shared" si="271"/>
        <v/>
      </c>
      <c r="R732" s="155"/>
      <c r="S732" s="156" t="str">
        <f t="shared" si="272"/>
        <v/>
      </c>
      <c r="T732" s="140" t="str">
        <f t="shared" ca="1" si="270"/>
        <v/>
      </c>
      <c r="U732" s="139" t="str">
        <f t="shared" si="267"/>
        <v/>
      </c>
      <c r="V732" s="139" t="str">
        <f t="shared" si="268"/>
        <v/>
      </c>
      <c r="W732" s="139" t="str">
        <f t="shared" si="269"/>
        <v/>
      </c>
      <c r="X732" s="327"/>
    </row>
    <row r="733" spans="1:25" ht="18.75" x14ac:dyDescent="0.25">
      <c r="A733" s="157"/>
      <c r="B733" s="158"/>
      <c r="C733" s="157"/>
      <c r="D733" s="157"/>
      <c r="E733" s="159"/>
      <c r="F733" s="160">
        <f>SUM(F730:F732)</f>
        <v>0</v>
      </c>
      <c r="G733" s="160">
        <f>SUM(G730:G732)</f>
        <v>2960160154</v>
      </c>
      <c r="H733" s="160">
        <f>SUM(H730:H732)</f>
        <v>0</v>
      </c>
      <c r="J733" s="161">
        <f t="shared" si="273"/>
        <v>0</v>
      </c>
      <c r="K733" s="161">
        <f t="shared" si="273"/>
        <v>182478.12563185798</v>
      </c>
      <c r="L733" s="161">
        <f t="shared" si="273"/>
        <v>0</v>
      </c>
      <c r="N733" s="159"/>
      <c r="O733" s="162"/>
      <c r="P733" s="162"/>
      <c r="Q733" s="156" t="str">
        <f t="shared" si="271"/>
        <v/>
      </c>
      <c r="R733" s="162"/>
      <c r="S733" s="156" t="str">
        <f t="shared" si="272"/>
        <v/>
      </c>
      <c r="T733" s="140" t="str">
        <f t="shared" ca="1" si="270"/>
        <v/>
      </c>
      <c r="U733" s="139" t="str">
        <f t="shared" si="267"/>
        <v/>
      </c>
      <c r="V733" s="139" t="str">
        <f t="shared" si="268"/>
        <v/>
      </c>
      <c r="W733" s="139" t="str">
        <f t="shared" si="269"/>
        <v/>
      </c>
      <c r="X733" s="327"/>
    </row>
    <row r="734" spans="1:25" ht="18.75" x14ac:dyDescent="0.25">
      <c r="Q734" s="156" t="str">
        <f t="shared" si="271"/>
        <v/>
      </c>
      <c r="S734" s="156" t="str">
        <f t="shared" si="272"/>
        <v/>
      </c>
      <c r="T734" s="140" t="str">
        <f t="shared" ca="1" si="270"/>
        <v/>
      </c>
      <c r="U734" s="139" t="str">
        <f t="shared" si="267"/>
        <v/>
      </c>
      <c r="V734" s="139" t="str">
        <f t="shared" si="268"/>
        <v/>
      </c>
      <c r="W734" s="139" t="str">
        <f t="shared" si="269"/>
        <v/>
      </c>
      <c r="X734" s="327"/>
    </row>
    <row r="735" spans="1:25" ht="18.75" x14ac:dyDescent="0.25">
      <c r="A735" s="163" t="str">
        <f>'Funding 2019'!L119</f>
        <v>One Time Cost Related to Product</v>
      </c>
      <c r="B735" s="113" t="str">
        <f>'Funding 2019'!L111</f>
        <v>V177 - TE</v>
      </c>
      <c r="C735" s="147"/>
      <c r="D735" s="147"/>
      <c r="E735" s="148"/>
      <c r="F735" s="148"/>
      <c r="G735" s="148"/>
      <c r="H735" s="148"/>
      <c r="J735" s="149">
        <f t="shared" ref="J735:L740" si="274">F735/$J$2</f>
        <v>0</v>
      </c>
      <c r="K735" s="149">
        <f t="shared" si="274"/>
        <v>0</v>
      </c>
      <c r="L735" s="149">
        <f t="shared" si="274"/>
        <v>0</v>
      </c>
      <c r="N735" s="148"/>
      <c r="O735" s="150"/>
      <c r="P735" s="150"/>
      <c r="Q735" s="156" t="str">
        <f t="shared" si="271"/>
        <v/>
      </c>
      <c r="R735" s="150"/>
      <c r="S735" s="156" t="str">
        <f t="shared" si="272"/>
        <v/>
      </c>
      <c r="T735" s="140" t="str">
        <f t="shared" ca="1" si="270"/>
        <v/>
      </c>
      <c r="U735" s="139" t="str">
        <f t="shared" si="267"/>
        <v/>
      </c>
      <c r="V735" s="139" t="str">
        <f t="shared" si="268"/>
        <v/>
      </c>
      <c r="W735" s="139" t="str">
        <f t="shared" si="269"/>
        <v/>
      </c>
      <c r="X735" s="327"/>
    </row>
    <row r="736" spans="1:25" ht="18.75" x14ac:dyDescent="0.25">
      <c r="A736" s="151">
        <v>1</v>
      </c>
      <c r="B736" s="106" t="str">
        <f>'Funding 2019'!$K$111</f>
        <v>EGMM0019V177</v>
      </c>
      <c r="C736" s="151">
        <v>5300000250</v>
      </c>
      <c r="D736" s="151">
        <v>4500135441</v>
      </c>
      <c r="E736" s="152" t="s">
        <v>501</v>
      </c>
      <c r="F736" s="153">
        <f>3845514900*0</f>
        <v>0</v>
      </c>
      <c r="G736" s="183"/>
      <c r="H736" s="183">
        <v>3821348300</v>
      </c>
      <c r="J736" s="154">
        <f t="shared" si="274"/>
        <v>0</v>
      </c>
      <c r="K736" s="154">
        <f t="shared" si="274"/>
        <v>0</v>
      </c>
      <c r="L736" s="154">
        <f t="shared" si="274"/>
        <v>235565.79336703243</v>
      </c>
      <c r="N736" s="152" t="s">
        <v>248</v>
      </c>
      <c r="O736" s="318">
        <v>43799</v>
      </c>
      <c r="P736" s="155">
        <v>43643</v>
      </c>
      <c r="Q736" s="156">
        <f t="shared" si="271"/>
        <v>43617</v>
      </c>
      <c r="R736" s="155">
        <v>43763</v>
      </c>
      <c r="S736" s="156">
        <f t="shared" si="272"/>
        <v>43739</v>
      </c>
      <c r="T736" s="140" t="str">
        <f t="shared" ca="1" si="270"/>
        <v/>
      </c>
      <c r="U736" s="139" t="str">
        <f t="shared" si="267"/>
        <v/>
      </c>
      <c r="V736" s="139" t="str">
        <f t="shared" si="268"/>
        <v/>
      </c>
      <c r="W736" s="139" t="str">
        <f t="shared" si="269"/>
        <v/>
      </c>
      <c r="X736" s="327"/>
    </row>
    <row r="737" spans="1:25" ht="18.75" x14ac:dyDescent="0.25">
      <c r="A737" s="151">
        <v>2</v>
      </c>
      <c r="B737" s="106" t="str">
        <f>'Funding 2019'!$K$111</f>
        <v>EGMM0019V177</v>
      </c>
      <c r="C737" s="151">
        <v>6100000757</v>
      </c>
      <c r="D737" s="151">
        <v>330419805</v>
      </c>
      <c r="E737" s="152" t="s">
        <v>502</v>
      </c>
      <c r="F737" s="153"/>
      <c r="G737" s="153">
        <f>3553322*0</f>
        <v>0</v>
      </c>
      <c r="H737" s="183">
        <v>9710206</v>
      </c>
      <c r="J737" s="154">
        <f t="shared" si="274"/>
        <v>0</v>
      </c>
      <c r="K737" s="154">
        <f t="shared" si="274"/>
        <v>0</v>
      </c>
      <c r="L737" s="154">
        <f t="shared" si="274"/>
        <v>598.58254222660582</v>
      </c>
      <c r="N737" s="152" t="s">
        <v>248</v>
      </c>
      <c r="O737" s="155">
        <v>43721</v>
      </c>
      <c r="P737" s="155">
        <v>43565</v>
      </c>
      <c r="Q737" s="156">
        <f t="shared" si="271"/>
        <v>43556</v>
      </c>
      <c r="R737" s="155">
        <v>43717</v>
      </c>
      <c r="S737" s="156">
        <f t="shared" si="272"/>
        <v>43709</v>
      </c>
      <c r="T737" s="140" t="str">
        <f t="shared" ca="1" si="270"/>
        <v/>
      </c>
      <c r="U737" s="139" t="str">
        <f t="shared" si="267"/>
        <v/>
      </c>
      <c r="V737" s="139" t="str">
        <f t="shared" si="268"/>
        <v/>
      </c>
      <c r="W737" s="139" t="str">
        <f t="shared" si="269"/>
        <v/>
      </c>
      <c r="X737" s="327"/>
      <c r="Y737" s="139" t="s">
        <v>796</v>
      </c>
    </row>
    <row r="738" spans="1:25" ht="18.75" x14ac:dyDescent="0.25">
      <c r="A738" s="151">
        <v>3</v>
      </c>
      <c r="B738" s="106" t="str">
        <f>'Funding 2019'!$K$111</f>
        <v>EGMM0019V177</v>
      </c>
      <c r="C738" s="151">
        <v>6100000781</v>
      </c>
      <c r="D738" s="151" t="s">
        <v>818</v>
      </c>
      <c r="E738" s="152" t="s">
        <v>597</v>
      </c>
      <c r="F738" s="153"/>
      <c r="G738" s="183">
        <v>2808078</v>
      </c>
      <c r="H738" s="183">
        <v>6280416</v>
      </c>
      <c r="J738" s="154">
        <f t="shared" si="274"/>
        <v>0</v>
      </c>
      <c r="K738" s="154">
        <f t="shared" si="274"/>
        <v>173.1030699050672</v>
      </c>
      <c r="L738" s="154">
        <f t="shared" si="274"/>
        <v>387.15423498952043</v>
      </c>
      <c r="N738" s="152" t="s">
        <v>165</v>
      </c>
      <c r="O738" s="318">
        <v>43810</v>
      </c>
      <c r="P738" s="155">
        <v>43665</v>
      </c>
      <c r="Q738" s="156">
        <f t="shared" si="271"/>
        <v>43647</v>
      </c>
      <c r="R738" s="155">
        <v>43717</v>
      </c>
      <c r="S738" s="156">
        <f t="shared" si="272"/>
        <v>43709</v>
      </c>
      <c r="T738" s="140" t="str">
        <f t="shared" ca="1" si="270"/>
        <v/>
      </c>
      <c r="U738" s="139" t="str">
        <f t="shared" si="267"/>
        <v/>
      </c>
      <c r="V738" s="139" t="str">
        <f t="shared" si="268"/>
        <v/>
      </c>
      <c r="W738" s="139" t="str">
        <f t="shared" si="269"/>
        <v/>
      </c>
      <c r="X738" s="327"/>
    </row>
    <row r="739" spans="1:25" ht="18.75" x14ac:dyDescent="0.25">
      <c r="A739" s="151">
        <v>4</v>
      </c>
      <c r="B739" s="106" t="str">
        <f>'Funding 2019'!$K$111</f>
        <v>EGMM0019V177</v>
      </c>
      <c r="C739" s="151"/>
      <c r="D739" s="151"/>
      <c r="E739" s="152"/>
      <c r="F739" s="153"/>
      <c r="G739" s="153"/>
      <c r="H739" s="153"/>
      <c r="J739" s="154">
        <f t="shared" si="274"/>
        <v>0</v>
      </c>
      <c r="K739" s="154">
        <f t="shared" si="274"/>
        <v>0</v>
      </c>
      <c r="L739" s="154">
        <f t="shared" si="274"/>
        <v>0</v>
      </c>
      <c r="N739" s="152"/>
      <c r="O739" s="155"/>
      <c r="P739" s="155"/>
      <c r="Q739" s="156" t="str">
        <f t="shared" si="271"/>
        <v/>
      </c>
      <c r="R739" s="155"/>
      <c r="S739" s="156" t="str">
        <f t="shared" si="272"/>
        <v/>
      </c>
      <c r="T739" s="140" t="str">
        <f t="shared" ca="1" si="270"/>
        <v/>
      </c>
      <c r="U739" s="139" t="str">
        <f t="shared" si="267"/>
        <v/>
      </c>
      <c r="V739" s="139" t="str">
        <f t="shared" si="268"/>
        <v/>
      </c>
      <c r="W739" s="139" t="str">
        <f t="shared" si="269"/>
        <v/>
      </c>
      <c r="X739" s="327"/>
    </row>
    <row r="740" spans="1:25" ht="18.75" x14ac:dyDescent="0.25">
      <c r="A740" s="157"/>
      <c r="B740" s="158"/>
      <c r="C740" s="157"/>
      <c r="D740" s="157"/>
      <c r="E740" s="159"/>
      <c r="F740" s="160">
        <f>SUM(F735:F739)</f>
        <v>0</v>
      </c>
      <c r="G740" s="160">
        <f>SUM(G735:G739)</f>
        <v>2808078</v>
      </c>
      <c r="H740" s="160">
        <f>SUM(H735:H739)</f>
        <v>3837338922</v>
      </c>
      <c r="J740" s="161">
        <f t="shared" si="274"/>
        <v>0</v>
      </c>
      <c r="K740" s="161">
        <f t="shared" si="274"/>
        <v>173.1030699050672</v>
      </c>
      <c r="L740" s="161">
        <f t="shared" si="274"/>
        <v>236551.53014424857</v>
      </c>
      <c r="N740" s="159"/>
      <c r="O740" s="162"/>
      <c r="P740" s="162"/>
      <c r="Q740" s="156" t="str">
        <f t="shared" si="271"/>
        <v/>
      </c>
      <c r="R740" s="162"/>
      <c r="S740" s="156" t="str">
        <f t="shared" si="272"/>
        <v/>
      </c>
      <c r="T740" s="140" t="str">
        <f t="shared" ca="1" si="270"/>
        <v/>
      </c>
      <c r="U740" s="139" t="str">
        <f t="shared" si="267"/>
        <v/>
      </c>
      <c r="V740" s="139" t="str">
        <f t="shared" si="268"/>
        <v/>
      </c>
      <c r="W740" s="139" t="str">
        <f t="shared" si="269"/>
        <v/>
      </c>
      <c r="X740" s="327"/>
    </row>
    <row r="741" spans="1:25" ht="18.75" x14ac:dyDescent="0.25">
      <c r="Q741" s="156" t="str">
        <f t="shared" si="271"/>
        <v/>
      </c>
      <c r="S741" s="156" t="str">
        <f t="shared" si="272"/>
        <v/>
      </c>
      <c r="T741" s="140" t="str">
        <f t="shared" ca="1" si="270"/>
        <v/>
      </c>
      <c r="U741" s="139" t="str">
        <f t="shared" si="267"/>
        <v/>
      </c>
      <c r="V741" s="139" t="str">
        <f t="shared" si="268"/>
        <v/>
      </c>
      <c r="W741" s="139" t="str">
        <f t="shared" si="269"/>
        <v/>
      </c>
      <c r="X741" s="327"/>
    </row>
    <row r="742" spans="1:25" ht="18.75" x14ac:dyDescent="0.25">
      <c r="A742" s="163" t="str">
        <f>'Funding 2019'!L119</f>
        <v>One Time Cost Related to Product</v>
      </c>
      <c r="B742" s="113" t="str">
        <f>'Funding 2019'!L112</f>
        <v>V223 - TE</v>
      </c>
      <c r="C742" s="147"/>
      <c r="D742" s="147"/>
      <c r="E742" s="148"/>
      <c r="F742" s="148"/>
      <c r="G742" s="148"/>
      <c r="H742" s="148"/>
      <c r="J742" s="149">
        <f t="shared" ref="J742:L747" si="275">F742/$J$2</f>
        <v>0</v>
      </c>
      <c r="K742" s="149">
        <f t="shared" si="275"/>
        <v>0</v>
      </c>
      <c r="L742" s="149">
        <f t="shared" si="275"/>
        <v>0</v>
      </c>
      <c r="N742" s="148"/>
      <c r="O742" s="150"/>
      <c r="P742" s="150"/>
      <c r="Q742" s="156" t="str">
        <f t="shared" si="271"/>
        <v/>
      </c>
      <c r="R742" s="150"/>
      <c r="S742" s="156" t="str">
        <f t="shared" si="272"/>
        <v/>
      </c>
      <c r="T742" s="140" t="str">
        <f t="shared" ca="1" si="270"/>
        <v/>
      </c>
      <c r="U742" s="139" t="str">
        <f t="shared" si="267"/>
        <v/>
      </c>
      <c r="V742" s="139" t="str">
        <f t="shared" si="268"/>
        <v/>
      </c>
      <c r="W742" s="139" t="str">
        <f t="shared" si="269"/>
        <v/>
      </c>
      <c r="X742" s="327"/>
    </row>
    <row r="743" spans="1:25" ht="18.75" x14ac:dyDescent="0.25">
      <c r="A743" s="151">
        <v>1</v>
      </c>
      <c r="B743" s="106" t="str">
        <f>'Funding 2019'!$K$112</f>
        <v>EGMM0019V223</v>
      </c>
      <c r="C743" s="151"/>
      <c r="D743" s="151"/>
      <c r="E743" s="152"/>
      <c r="F743" s="153"/>
      <c r="G743" s="153"/>
      <c r="H743" s="153"/>
      <c r="J743" s="154">
        <f t="shared" si="275"/>
        <v>0</v>
      </c>
      <c r="K743" s="154">
        <f t="shared" si="275"/>
        <v>0</v>
      </c>
      <c r="L743" s="154">
        <f t="shared" si="275"/>
        <v>0</v>
      </c>
      <c r="N743" s="152"/>
      <c r="O743" s="155"/>
      <c r="P743" s="155"/>
      <c r="Q743" s="156" t="str">
        <f t="shared" si="271"/>
        <v/>
      </c>
      <c r="R743" s="155"/>
      <c r="S743" s="156" t="str">
        <f t="shared" si="272"/>
        <v/>
      </c>
      <c r="T743" s="140" t="str">
        <f t="shared" ca="1" si="270"/>
        <v/>
      </c>
      <c r="U743" s="139" t="str">
        <f t="shared" si="267"/>
        <v/>
      </c>
      <c r="V743" s="139" t="str">
        <f t="shared" si="268"/>
        <v/>
      </c>
      <c r="W743" s="139" t="str">
        <f t="shared" si="269"/>
        <v/>
      </c>
      <c r="X743" s="327"/>
    </row>
    <row r="744" spans="1:25" ht="18.75" x14ac:dyDescent="0.25">
      <c r="A744" s="151">
        <v>2</v>
      </c>
      <c r="B744" s="106" t="str">
        <f>'Funding 2019'!$K$112</f>
        <v>EGMM0019V223</v>
      </c>
      <c r="C744" s="151"/>
      <c r="D744" s="151"/>
      <c r="E744" s="152"/>
      <c r="F744" s="153"/>
      <c r="G744" s="153"/>
      <c r="H744" s="153"/>
      <c r="J744" s="154">
        <f t="shared" si="275"/>
        <v>0</v>
      </c>
      <c r="K744" s="154">
        <f t="shared" si="275"/>
        <v>0</v>
      </c>
      <c r="L744" s="154">
        <f t="shared" si="275"/>
        <v>0</v>
      </c>
      <c r="N744" s="152"/>
      <c r="O744" s="155"/>
      <c r="P744" s="155"/>
      <c r="Q744" s="156" t="str">
        <f t="shared" si="271"/>
        <v/>
      </c>
      <c r="R744" s="155"/>
      <c r="S744" s="156" t="str">
        <f t="shared" si="272"/>
        <v/>
      </c>
      <c r="T744" s="140" t="str">
        <f t="shared" ca="1" si="270"/>
        <v/>
      </c>
      <c r="U744" s="139" t="str">
        <f t="shared" si="267"/>
        <v/>
      </c>
      <c r="V744" s="139" t="str">
        <f t="shared" si="268"/>
        <v/>
      </c>
      <c r="W744" s="139" t="str">
        <f t="shared" si="269"/>
        <v/>
      </c>
      <c r="X744" s="327"/>
    </row>
    <row r="745" spans="1:25" ht="18.75" x14ac:dyDescent="0.25">
      <c r="A745" s="151">
        <v>3</v>
      </c>
      <c r="B745" s="106" t="str">
        <f>'Funding 2019'!$K$112</f>
        <v>EGMM0019V223</v>
      </c>
      <c r="C745" s="151"/>
      <c r="D745" s="151"/>
      <c r="E745" s="152"/>
      <c r="F745" s="153"/>
      <c r="G745" s="153"/>
      <c r="H745" s="153"/>
      <c r="J745" s="154">
        <f t="shared" si="275"/>
        <v>0</v>
      </c>
      <c r="K745" s="154">
        <f t="shared" si="275"/>
        <v>0</v>
      </c>
      <c r="L745" s="154">
        <f t="shared" si="275"/>
        <v>0</v>
      </c>
      <c r="N745" s="152"/>
      <c r="O745" s="155"/>
      <c r="P745" s="155"/>
      <c r="Q745" s="156" t="str">
        <f t="shared" si="271"/>
        <v/>
      </c>
      <c r="R745" s="155"/>
      <c r="S745" s="156" t="str">
        <f t="shared" si="272"/>
        <v/>
      </c>
      <c r="T745" s="140" t="str">
        <f t="shared" ca="1" si="270"/>
        <v/>
      </c>
      <c r="U745" s="139" t="str">
        <f t="shared" si="267"/>
        <v/>
      </c>
      <c r="V745" s="139" t="str">
        <f t="shared" si="268"/>
        <v/>
      </c>
      <c r="W745" s="139" t="str">
        <f t="shared" si="269"/>
        <v/>
      </c>
      <c r="X745" s="327"/>
    </row>
    <row r="746" spans="1:25" ht="18.75" x14ac:dyDescent="0.25">
      <c r="A746" s="151">
        <v>4</v>
      </c>
      <c r="B746" s="106" t="str">
        <f>'Funding 2019'!$K$112</f>
        <v>EGMM0019V223</v>
      </c>
      <c r="C746" s="151"/>
      <c r="D746" s="151"/>
      <c r="E746" s="152"/>
      <c r="F746" s="153"/>
      <c r="G746" s="153"/>
      <c r="H746" s="153"/>
      <c r="J746" s="154">
        <f t="shared" si="275"/>
        <v>0</v>
      </c>
      <c r="K746" s="154">
        <f t="shared" si="275"/>
        <v>0</v>
      </c>
      <c r="L746" s="154">
        <f t="shared" si="275"/>
        <v>0</v>
      </c>
      <c r="N746" s="152"/>
      <c r="O746" s="155"/>
      <c r="P746" s="155"/>
      <c r="Q746" s="156" t="str">
        <f t="shared" si="271"/>
        <v/>
      </c>
      <c r="R746" s="155"/>
      <c r="S746" s="156" t="str">
        <f t="shared" si="272"/>
        <v/>
      </c>
      <c r="T746" s="140" t="str">
        <f t="shared" ca="1" si="270"/>
        <v/>
      </c>
      <c r="U746" s="139" t="str">
        <f t="shared" si="267"/>
        <v/>
      </c>
      <c r="V746" s="139" t="str">
        <f t="shared" si="268"/>
        <v/>
      </c>
      <c r="W746" s="139" t="str">
        <f t="shared" si="269"/>
        <v/>
      </c>
      <c r="X746" s="327"/>
    </row>
    <row r="747" spans="1:25" ht="18.75" x14ac:dyDescent="0.25">
      <c r="A747" s="157"/>
      <c r="B747" s="158"/>
      <c r="C747" s="157"/>
      <c r="D747" s="157"/>
      <c r="E747" s="159"/>
      <c r="F747" s="160">
        <f>SUM(F742:F746)</f>
        <v>0</v>
      </c>
      <c r="G747" s="160">
        <f>SUM(G742:G746)</f>
        <v>0</v>
      </c>
      <c r="H747" s="160">
        <f>SUM(H742:H746)</f>
        <v>0</v>
      </c>
      <c r="J747" s="161">
        <f t="shared" si="275"/>
        <v>0</v>
      </c>
      <c r="K747" s="161">
        <f t="shared" si="275"/>
        <v>0</v>
      </c>
      <c r="L747" s="161">
        <f t="shared" si="275"/>
        <v>0</v>
      </c>
      <c r="N747" s="159"/>
      <c r="O747" s="162"/>
      <c r="P747" s="162"/>
      <c r="Q747" s="156" t="str">
        <f t="shared" si="271"/>
        <v/>
      </c>
      <c r="R747" s="162"/>
      <c r="S747" s="156" t="str">
        <f t="shared" si="272"/>
        <v/>
      </c>
      <c r="T747" s="140" t="str">
        <f t="shared" ca="1" si="270"/>
        <v/>
      </c>
      <c r="U747" s="139" t="str">
        <f t="shared" si="267"/>
        <v/>
      </c>
      <c r="V747" s="139" t="str">
        <f t="shared" si="268"/>
        <v/>
      </c>
      <c r="W747" s="139" t="str">
        <f t="shared" si="269"/>
        <v/>
      </c>
      <c r="X747" s="327"/>
    </row>
    <row r="748" spans="1:25" ht="18.75" x14ac:dyDescent="0.25">
      <c r="Q748" s="156" t="str">
        <f t="shared" si="271"/>
        <v/>
      </c>
      <c r="S748" s="156" t="str">
        <f t="shared" si="272"/>
        <v/>
      </c>
      <c r="T748" s="140" t="str">
        <f t="shared" ca="1" si="270"/>
        <v/>
      </c>
      <c r="U748" s="139" t="str">
        <f t="shared" si="267"/>
        <v/>
      </c>
      <c r="V748" s="139" t="str">
        <f t="shared" si="268"/>
        <v/>
      </c>
      <c r="W748" s="139" t="str">
        <f t="shared" si="269"/>
        <v/>
      </c>
      <c r="X748" s="327"/>
    </row>
    <row r="749" spans="1:25" ht="18.75" x14ac:dyDescent="0.25">
      <c r="A749" s="163" t="str">
        <f>'Funding 2019'!L119</f>
        <v>One Time Cost Related to Product</v>
      </c>
      <c r="B749" s="113" t="str">
        <f>'Funding 2019'!L113</f>
        <v>X167 - One Time Cost</v>
      </c>
      <c r="C749" s="147"/>
      <c r="D749" s="147"/>
      <c r="E749" s="148"/>
      <c r="F749" s="148"/>
      <c r="G749" s="148"/>
      <c r="H749" s="148"/>
      <c r="J749" s="149">
        <f t="shared" ref="J749:L750" si="276">F749/$J$2</f>
        <v>0</v>
      </c>
      <c r="K749" s="149">
        <f t="shared" si="276"/>
        <v>0</v>
      </c>
      <c r="L749" s="149">
        <f t="shared" si="276"/>
        <v>0</v>
      </c>
      <c r="N749" s="148"/>
      <c r="O749" s="150"/>
      <c r="P749" s="150"/>
      <c r="Q749" s="156" t="str">
        <f t="shared" si="271"/>
        <v/>
      </c>
      <c r="R749" s="150"/>
      <c r="S749" s="156" t="str">
        <f t="shared" si="272"/>
        <v/>
      </c>
      <c r="T749" s="140" t="str">
        <f t="shared" ca="1" si="270"/>
        <v/>
      </c>
      <c r="U749" s="139" t="str">
        <f t="shared" si="267"/>
        <v/>
      </c>
      <c r="V749" s="139" t="str">
        <f t="shared" si="268"/>
        <v/>
      </c>
      <c r="W749" s="139" t="str">
        <f t="shared" si="269"/>
        <v/>
      </c>
      <c r="X749" s="327"/>
    </row>
    <row r="750" spans="1:25" ht="18.75" x14ac:dyDescent="0.25">
      <c r="A750" s="151">
        <v>1</v>
      </c>
      <c r="B750" s="106" t="str">
        <f>'Funding 2019'!$K$113</f>
        <v>EGMM0019X167</v>
      </c>
      <c r="C750" s="151">
        <v>2100011769</v>
      </c>
      <c r="D750" s="151">
        <v>4500135212</v>
      </c>
      <c r="E750" s="152" t="s">
        <v>696</v>
      </c>
      <c r="F750" s="166">
        <f>81468000*0</f>
        <v>0</v>
      </c>
      <c r="G750" s="166"/>
      <c r="H750" s="287">
        <v>57467988</v>
      </c>
      <c r="J750" s="154">
        <f t="shared" si="276"/>
        <v>0</v>
      </c>
      <c r="K750" s="154">
        <f t="shared" si="276"/>
        <v>0</v>
      </c>
      <c r="L750" s="154">
        <f t="shared" si="276"/>
        <v>3542.5957341881394</v>
      </c>
      <c r="N750" s="152" t="s">
        <v>198</v>
      </c>
      <c r="O750" s="155">
        <v>43769</v>
      </c>
      <c r="P750" s="155">
        <v>43686</v>
      </c>
      <c r="Q750" s="156">
        <f t="shared" si="271"/>
        <v>43678</v>
      </c>
      <c r="R750" s="155">
        <v>43725</v>
      </c>
      <c r="S750" s="156">
        <f t="shared" si="272"/>
        <v>43709</v>
      </c>
      <c r="T750" s="140" t="str">
        <f t="shared" ca="1" si="270"/>
        <v/>
      </c>
      <c r="U750" s="139" t="str">
        <f t="shared" si="267"/>
        <v/>
      </c>
      <c r="V750" s="139" t="str">
        <f t="shared" si="268"/>
        <v/>
      </c>
      <c r="W750" s="139" t="str">
        <f t="shared" si="269"/>
        <v/>
      </c>
      <c r="X750" s="327"/>
    </row>
    <row r="751" spans="1:25" ht="18.75" x14ac:dyDescent="0.25">
      <c r="A751" s="151">
        <v>2</v>
      </c>
      <c r="B751" s="106" t="str">
        <f>'Funding 2019'!$K$113</f>
        <v>EGMM0019X167</v>
      </c>
      <c r="C751" s="151">
        <v>5500011891</v>
      </c>
      <c r="D751" s="151"/>
      <c r="E751" s="152" t="s">
        <v>710</v>
      </c>
      <c r="F751" s="166"/>
      <c r="G751" s="166"/>
      <c r="H751" s="166"/>
      <c r="J751" s="154">
        <f t="shared" ref="J751:J758" si="277">F751/$J$2</f>
        <v>0</v>
      </c>
      <c r="K751" s="154">
        <f t="shared" ref="K751:K758" si="278">G751/$J$2</f>
        <v>0</v>
      </c>
      <c r="L751" s="154">
        <f t="shared" ref="L751:L758" si="279">H751/$J$2</f>
        <v>0</v>
      </c>
      <c r="N751" s="152"/>
      <c r="O751" s="155"/>
      <c r="P751" s="155"/>
      <c r="Q751" s="156" t="str">
        <f t="shared" si="271"/>
        <v/>
      </c>
      <c r="R751" s="155"/>
      <c r="S751" s="156" t="str">
        <f t="shared" si="272"/>
        <v/>
      </c>
      <c r="T751" s="140" t="str">
        <f t="shared" ca="1" si="270"/>
        <v/>
      </c>
      <c r="U751" s="139" t="str">
        <f t="shared" si="267"/>
        <v/>
      </c>
      <c r="V751" s="139" t="str">
        <f t="shared" si="268"/>
        <v/>
      </c>
      <c r="W751" s="139" t="str">
        <f t="shared" si="269"/>
        <v/>
      </c>
      <c r="X751" s="327"/>
    </row>
    <row r="752" spans="1:25" ht="18.75" x14ac:dyDescent="0.25">
      <c r="A752" s="151">
        <v>3</v>
      </c>
      <c r="B752" s="106" t="str">
        <f>'Funding 2019'!$K$113</f>
        <v>EGMM0019X167</v>
      </c>
      <c r="C752" s="151">
        <v>5500011874</v>
      </c>
      <c r="D752" s="151"/>
      <c r="E752" s="152" t="s">
        <v>721</v>
      </c>
      <c r="F752" s="166"/>
      <c r="G752" s="166"/>
      <c r="H752" s="166"/>
      <c r="J752" s="154">
        <f t="shared" si="277"/>
        <v>0</v>
      </c>
      <c r="K752" s="154">
        <f t="shared" si="278"/>
        <v>0</v>
      </c>
      <c r="L752" s="154">
        <f t="shared" si="279"/>
        <v>0</v>
      </c>
      <c r="N752" s="152"/>
      <c r="O752" s="155"/>
      <c r="P752" s="155"/>
      <c r="Q752" s="156" t="str">
        <f t="shared" si="271"/>
        <v/>
      </c>
      <c r="R752" s="155"/>
      <c r="S752" s="156" t="str">
        <f t="shared" si="272"/>
        <v/>
      </c>
      <c r="T752" s="140" t="str">
        <f t="shared" ca="1" si="270"/>
        <v/>
      </c>
      <c r="U752" s="139" t="str">
        <f t="shared" si="267"/>
        <v/>
      </c>
      <c r="V752" s="139" t="str">
        <f t="shared" si="268"/>
        <v/>
      </c>
      <c r="W752" s="139" t="str">
        <f t="shared" si="269"/>
        <v/>
      </c>
      <c r="X752" s="327"/>
    </row>
    <row r="753" spans="1:25" ht="18.75" x14ac:dyDescent="0.25">
      <c r="A753" s="151">
        <v>4</v>
      </c>
      <c r="B753" s="106" t="str">
        <f>'Funding 2019'!$K$113</f>
        <v>EGMM0019X167</v>
      </c>
      <c r="C753" s="151">
        <v>5500011885</v>
      </c>
      <c r="D753" s="151"/>
      <c r="E753" s="152" t="s">
        <v>752</v>
      </c>
      <c r="F753" s="166"/>
      <c r="G753" s="166"/>
      <c r="H753" s="166">
        <v>30070000</v>
      </c>
      <c r="J753" s="154">
        <f t="shared" si="277"/>
        <v>0</v>
      </c>
      <c r="K753" s="154">
        <f t="shared" si="278"/>
        <v>0</v>
      </c>
      <c r="L753" s="154">
        <f t="shared" si="279"/>
        <v>1853.6555295278017</v>
      </c>
      <c r="N753" s="152" t="s">
        <v>523</v>
      </c>
      <c r="O753" s="155">
        <v>43716</v>
      </c>
      <c r="P753" s="155">
        <v>43691</v>
      </c>
      <c r="Q753" s="156">
        <f t="shared" si="271"/>
        <v>43678</v>
      </c>
      <c r="R753" s="155">
        <v>43718</v>
      </c>
      <c r="S753" s="156">
        <f t="shared" si="272"/>
        <v>43709</v>
      </c>
      <c r="T753" s="140" t="str">
        <f t="shared" ca="1" si="270"/>
        <v/>
      </c>
      <c r="U753" s="139" t="str">
        <f t="shared" si="267"/>
        <v/>
      </c>
      <c r="V753" s="139" t="str">
        <f t="shared" si="268"/>
        <v/>
      </c>
      <c r="W753" s="139" t="str">
        <f t="shared" si="269"/>
        <v/>
      </c>
      <c r="X753" s="327"/>
    </row>
    <row r="754" spans="1:25" ht="18.75" x14ac:dyDescent="0.25">
      <c r="A754" s="151">
        <v>5</v>
      </c>
      <c r="B754" s="331" t="str">
        <f>'Funding 2019'!$K$113</f>
        <v>EGMM0019X167</v>
      </c>
      <c r="C754" s="283">
        <v>5500011935</v>
      </c>
      <c r="D754" s="283"/>
      <c r="E754" s="284" t="s">
        <v>756</v>
      </c>
      <c r="F754" s="280"/>
      <c r="G754" s="280"/>
      <c r="H754" s="280">
        <v>15200000</v>
      </c>
      <c r="I754" s="329"/>
      <c r="J754" s="330">
        <f t="shared" si="277"/>
        <v>0</v>
      </c>
      <c r="K754" s="330">
        <f t="shared" si="278"/>
        <v>0</v>
      </c>
      <c r="L754" s="330">
        <f t="shared" si="279"/>
        <v>936.99913697447914</v>
      </c>
      <c r="M754" s="329"/>
      <c r="N754" s="284" t="s">
        <v>198</v>
      </c>
      <c r="O754" s="318">
        <v>43735</v>
      </c>
      <c r="P754" s="318">
        <v>43705</v>
      </c>
      <c r="Q754" s="156">
        <f t="shared" si="271"/>
        <v>43678</v>
      </c>
      <c r="R754" s="318">
        <v>43754</v>
      </c>
      <c r="S754" s="156">
        <f t="shared" si="272"/>
        <v>43739</v>
      </c>
      <c r="T754" s="407" t="str">
        <f t="shared" ca="1" si="270"/>
        <v/>
      </c>
      <c r="U754" s="139" t="str">
        <f t="shared" si="267"/>
        <v/>
      </c>
      <c r="V754" s="139" t="str">
        <f t="shared" si="268"/>
        <v/>
      </c>
      <c r="W754" s="139" t="str">
        <f t="shared" si="269"/>
        <v/>
      </c>
      <c r="X754" s="327"/>
      <c r="Y754" s="408" t="s">
        <v>889</v>
      </c>
    </row>
    <row r="755" spans="1:25" ht="18.75" x14ac:dyDescent="0.25">
      <c r="A755" s="151">
        <v>6</v>
      </c>
      <c r="B755" s="106" t="str">
        <f>'Funding 2019'!$K$113</f>
        <v>EGMM0019X167</v>
      </c>
      <c r="C755" s="151">
        <v>2100011782</v>
      </c>
      <c r="D755" s="151">
        <v>4500135264</v>
      </c>
      <c r="E755" s="152" t="s">
        <v>742</v>
      </c>
      <c r="F755" s="166"/>
      <c r="G755" s="166"/>
      <c r="H755" s="287">
        <v>25740000</v>
      </c>
      <c r="J755" s="154">
        <f t="shared" si="277"/>
        <v>0</v>
      </c>
      <c r="K755" s="154">
        <f t="shared" si="278"/>
        <v>0</v>
      </c>
      <c r="L755" s="154">
        <f t="shared" si="279"/>
        <v>1586.7340648502034</v>
      </c>
      <c r="N755" s="152" t="s">
        <v>177</v>
      </c>
      <c r="O755" s="155">
        <v>43721</v>
      </c>
      <c r="P755" s="155">
        <v>43697</v>
      </c>
      <c r="Q755" s="156">
        <f t="shared" si="271"/>
        <v>43678</v>
      </c>
      <c r="R755" s="155">
        <v>43721</v>
      </c>
      <c r="S755" s="156">
        <f t="shared" si="272"/>
        <v>43709</v>
      </c>
      <c r="T755" s="140" t="str">
        <f t="shared" ca="1" si="270"/>
        <v/>
      </c>
      <c r="U755" s="139" t="str">
        <f t="shared" si="267"/>
        <v/>
      </c>
      <c r="V755" s="139" t="str">
        <f t="shared" si="268"/>
        <v/>
      </c>
      <c r="W755" s="139" t="str">
        <f t="shared" si="269"/>
        <v/>
      </c>
      <c r="X755" s="327"/>
    </row>
    <row r="756" spans="1:25" ht="18.75" x14ac:dyDescent="0.25">
      <c r="A756" s="151">
        <v>7</v>
      </c>
      <c r="B756" s="331" t="str">
        <f>'Funding 2019'!$K$113</f>
        <v>EGMM0019X167</v>
      </c>
      <c r="C756" s="283">
        <v>5500011943</v>
      </c>
      <c r="D756" s="283"/>
      <c r="E756" s="284" t="s">
        <v>757</v>
      </c>
      <c r="F756" s="280"/>
      <c r="G756" s="280"/>
      <c r="H756" s="280">
        <v>4724000</v>
      </c>
      <c r="I756" s="329"/>
      <c r="J756" s="330">
        <f t="shared" si="277"/>
        <v>0</v>
      </c>
      <c r="K756" s="330">
        <f t="shared" si="278"/>
        <v>0</v>
      </c>
      <c r="L756" s="330">
        <f t="shared" si="279"/>
        <v>291.20946862285786</v>
      </c>
      <c r="M756" s="329"/>
      <c r="N756" s="284" t="s">
        <v>729</v>
      </c>
      <c r="O756" s="318">
        <v>43724</v>
      </c>
      <c r="P756" s="318">
        <v>43706</v>
      </c>
      <c r="Q756" s="156">
        <f t="shared" si="271"/>
        <v>43678</v>
      </c>
      <c r="R756" s="318">
        <v>43754</v>
      </c>
      <c r="S756" s="156">
        <f t="shared" si="272"/>
        <v>43739</v>
      </c>
      <c r="T756" s="407" t="str">
        <f t="shared" ca="1" si="270"/>
        <v/>
      </c>
      <c r="U756" s="139" t="str">
        <f t="shared" si="267"/>
        <v/>
      </c>
      <c r="V756" s="139" t="str">
        <f t="shared" si="268"/>
        <v/>
      </c>
      <c r="W756" s="139" t="str">
        <f t="shared" si="269"/>
        <v/>
      </c>
      <c r="X756" s="327"/>
      <c r="Y756" s="408" t="s">
        <v>891</v>
      </c>
    </row>
    <row r="757" spans="1:25" ht="18.75" x14ac:dyDescent="0.25">
      <c r="A757" s="151">
        <v>8</v>
      </c>
      <c r="B757" s="106" t="str">
        <f>'Funding 2019'!$K$113</f>
        <v>EGMM0019X167</v>
      </c>
      <c r="C757" s="151">
        <v>2100011891</v>
      </c>
      <c r="D757" s="151"/>
      <c r="E757" s="152" t="s">
        <v>912</v>
      </c>
      <c r="F757" s="166">
        <v>25003460</v>
      </c>
      <c r="G757" s="166"/>
      <c r="H757" s="166"/>
      <c r="J757" s="154">
        <f t="shared" si="277"/>
        <v>1541.3302921957836</v>
      </c>
      <c r="K757" s="154">
        <f t="shared" si="278"/>
        <v>0</v>
      </c>
      <c r="L757" s="154">
        <f t="shared" si="279"/>
        <v>0</v>
      </c>
      <c r="N757" s="152" t="s">
        <v>729</v>
      </c>
      <c r="O757" s="155">
        <v>43791</v>
      </c>
      <c r="P757" s="155">
        <v>43738</v>
      </c>
      <c r="Q757" s="156">
        <f t="shared" si="271"/>
        <v>43709</v>
      </c>
      <c r="R757" s="155"/>
      <c r="S757" s="156" t="str">
        <f t="shared" si="272"/>
        <v/>
      </c>
      <c r="T757" s="140" t="str">
        <f t="shared" ca="1" si="270"/>
        <v/>
      </c>
      <c r="U757" s="139" t="str">
        <f t="shared" si="267"/>
        <v/>
      </c>
      <c r="V757" s="139" t="str">
        <f t="shared" si="268"/>
        <v/>
      </c>
      <c r="W757" s="139" t="str">
        <f t="shared" si="269"/>
        <v/>
      </c>
      <c r="X757" s="327"/>
    </row>
    <row r="758" spans="1:25" ht="18.75" x14ac:dyDescent="0.25">
      <c r="A758" s="151">
        <v>9</v>
      </c>
      <c r="B758" s="106" t="str">
        <f>'Funding 2019'!$K$113</f>
        <v>EGMM0019X167</v>
      </c>
      <c r="C758" s="151">
        <v>5500011955</v>
      </c>
      <c r="D758" s="151"/>
      <c r="E758" s="152" t="s">
        <v>770</v>
      </c>
      <c r="F758" s="166"/>
      <c r="G758" s="166"/>
      <c r="H758" s="294">
        <v>10792080</v>
      </c>
      <c r="J758" s="154">
        <f t="shared" si="277"/>
        <v>0</v>
      </c>
      <c r="K758" s="154">
        <f t="shared" si="278"/>
        <v>0</v>
      </c>
      <c r="L758" s="154">
        <f t="shared" si="279"/>
        <v>665.27431882628525</v>
      </c>
      <c r="N758" s="152" t="s">
        <v>729</v>
      </c>
      <c r="O758" s="318">
        <v>43780</v>
      </c>
      <c r="P758" s="155">
        <v>43710</v>
      </c>
      <c r="Q758" s="156">
        <f t="shared" si="271"/>
        <v>43709</v>
      </c>
      <c r="R758" s="155">
        <v>43760</v>
      </c>
      <c r="S758" s="156">
        <f t="shared" si="272"/>
        <v>43739</v>
      </c>
      <c r="T758" s="140" t="str">
        <f t="shared" ca="1" si="270"/>
        <v/>
      </c>
      <c r="U758" s="139" t="str">
        <f t="shared" si="267"/>
        <v/>
      </c>
      <c r="V758" s="139" t="str">
        <f t="shared" si="268"/>
        <v/>
      </c>
      <c r="W758" s="139" t="str">
        <f t="shared" si="269"/>
        <v/>
      </c>
      <c r="X758" s="327"/>
    </row>
    <row r="759" spans="1:25" ht="18.75" x14ac:dyDescent="0.25">
      <c r="A759" s="151">
        <v>10</v>
      </c>
      <c r="B759" s="106" t="str">
        <f>'Funding 2019'!$K$113</f>
        <v>EGMM0019X167</v>
      </c>
      <c r="C759" s="151">
        <v>2100011849</v>
      </c>
      <c r="D759" s="151">
        <v>4500135430</v>
      </c>
      <c r="E759" s="152" t="s">
        <v>903</v>
      </c>
      <c r="F759" s="166"/>
      <c r="G759" s="287">
        <v>48900658</v>
      </c>
      <c r="H759" s="287">
        <v>49962062</v>
      </c>
      <c r="J759" s="154">
        <f t="shared" ref="J759:L767" si="280">F759/$J$2</f>
        <v>0</v>
      </c>
      <c r="K759" s="154">
        <f t="shared" si="280"/>
        <v>3014.4654173344838</v>
      </c>
      <c r="L759" s="154">
        <f t="shared" si="280"/>
        <v>3079.8953273332513</v>
      </c>
      <c r="N759" s="152" t="s">
        <v>822</v>
      </c>
      <c r="O759" s="318">
        <v>43776</v>
      </c>
      <c r="P759" s="318">
        <v>43759</v>
      </c>
      <c r="Q759" s="156">
        <f t="shared" si="271"/>
        <v>43739</v>
      </c>
      <c r="R759" s="155">
        <v>43766</v>
      </c>
      <c r="S759" s="156">
        <f t="shared" si="272"/>
        <v>43739</v>
      </c>
      <c r="T759" s="140" t="str">
        <f t="shared" ca="1" si="270"/>
        <v/>
      </c>
      <c r="U759" s="139" t="str">
        <f t="shared" si="267"/>
        <v/>
      </c>
      <c r="V759" s="139" t="str">
        <f t="shared" si="268"/>
        <v/>
      </c>
      <c r="W759" s="139" t="str">
        <f t="shared" si="269"/>
        <v/>
      </c>
      <c r="X759" s="327"/>
    </row>
    <row r="760" spans="1:25" ht="18.75" x14ac:dyDescent="0.25">
      <c r="A760" s="151">
        <v>11</v>
      </c>
      <c r="B760" s="106" t="str">
        <f>'Funding 2019'!$K$113</f>
        <v>EGMM0019X167</v>
      </c>
      <c r="C760" s="151">
        <v>6100000799</v>
      </c>
      <c r="D760" s="151" t="s">
        <v>852</v>
      </c>
      <c r="E760" s="152" t="s">
        <v>839</v>
      </c>
      <c r="F760" s="166"/>
      <c r="G760" s="166"/>
      <c r="H760" s="287">
        <v>12945620</v>
      </c>
      <c r="J760" s="154">
        <f t="shared" si="280"/>
        <v>0</v>
      </c>
      <c r="K760" s="154">
        <f t="shared" si="280"/>
        <v>0</v>
      </c>
      <c r="L760" s="154">
        <f t="shared" si="280"/>
        <v>798.02860313154974</v>
      </c>
      <c r="N760" s="152" t="s">
        <v>729</v>
      </c>
      <c r="O760" s="318">
        <v>43787</v>
      </c>
      <c r="P760" s="155">
        <v>43724</v>
      </c>
      <c r="Q760" s="156">
        <f t="shared" si="271"/>
        <v>43709</v>
      </c>
      <c r="R760" s="155">
        <v>43759</v>
      </c>
      <c r="S760" s="156">
        <f t="shared" si="272"/>
        <v>43739</v>
      </c>
      <c r="T760" s="140" t="str">
        <f t="shared" ca="1" si="270"/>
        <v/>
      </c>
      <c r="U760" s="139" t="str">
        <f t="shared" si="267"/>
        <v/>
      </c>
      <c r="V760" s="139" t="str">
        <f t="shared" si="268"/>
        <v/>
      </c>
      <c r="W760" s="139" t="str">
        <f t="shared" si="269"/>
        <v/>
      </c>
      <c r="X760" s="327"/>
    </row>
    <row r="761" spans="1:25" ht="18.75" x14ac:dyDescent="0.25">
      <c r="A761" s="151">
        <v>12</v>
      </c>
      <c r="B761" s="106" t="str">
        <f>'Funding 2019'!$K$113</f>
        <v>EGMM0019X167</v>
      </c>
      <c r="C761" s="151">
        <v>5500011989</v>
      </c>
      <c r="D761" s="151"/>
      <c r="E761" s="152"/>
      <c r="F761" s="166"/>
      <c r="G761" s="166"/>
      <c r="H761" s="294">
        <v>4902000</v>
      </c>
      <c r="J761" s="154">
        <f t="shared" si="280"/>
        <v>0</v>
      </c>
      <c r="K761" s="154">
        <f t="shared" si="280"/>
        <v>0</v>
      </c>
      <c r="L761" s="154">
        <f t="shared" si="280"/>
        <v>302.1822216742695</v>
      </c>
      <c r="N761" s="152"/>
      <c r="O761" s="318">
        <v>43749</v>
      </c>
      <c r="P761" s="318">
        <v>43720</v>
      </c>
      <c r="Q761" s="156">
        <f t="shared" si="271"/>
        <v>43709</v>
      </c>
      <c r="R761" s="155">
        <v>43760</v>
      </c>
      <c r="S761" s="156">
        <f t="shared" si="272"/>
        <v>43739</v>
      </c>
      <c r="T761" s="140" t="str">
        <f t="shared" ca="1" si="270"/>
        <v/>
      </c>
      <c r="U761" s="139" t="str">
        <f t="shared" si="267"/>
        <v/>
      </c>
      <c r="V761" s="139" t="str">
        <f t="shared" si="268"/>
        <v/>
      </c>
      <c r="W761" s="139" t="str">
        <f t="shared" si="269"/>
        <v/>
      </c>
      <c r="X761" s="327"/>
    </row>
    <row r="762" spans="1:25" ht="18.75" x14ac:dyDescent="0.25">
      <c r="A762" s="151">
        <v>13</v>
      </c>
      <c r="B762" s="106" t="str">
        <f>'Funding 2019'!$K$113</f>
        <v>EGMM0019X167</v>
      </c>
      <c r="C762" s="151">
        <v>6100000810</v>
      </c>
      <c r="D762" s="151" t="s">
        <v>913</v>
      </c>
      <c r="E762" s="152" t="s">
        <v>914</v>
      </c>
      <c r="F762" s="166"/>
      <c r="G762" s="287">
        <v>225043</v>
      </c>
      <c r="H762" s="294"/>
      <c r="J762" s="154">
        <f t="shared" ref="J762" si="281">F762/$J$2</f>
        <v>0</v>
      </c>
      <c r="K762" s="154">
        <f t="shared" ref="K762" si="282">G762/$J$2</f>
        <v>13.872703735667612</v>
      </c>
      <c r="L762" s="154">
        <f t="shared" ref="L762" si="283">H762/$J$2</f>
        <v>0</v>
      </c>
      <c r="N762" s="152" t="s">
        <v>729</v>
      </c>
      <c r="O762" s="318">
        <v>43784</v>
      </c>
      <c r="P762" s="318">
        <v>43762</v>
      </c>
      <c r="Q762" s="156">
        <f t="shared" si="271"/>
        <v>43739</v>
      </c>
      <c r="R762" s="155"/>
      <c r="S762" s="156" t="str">
        <f t="shared" si="272"/>
        <v/>
      </c>
      <c r="T762" s="140"/>
      <c r="U762" s="139" t="str">
        <f t="shared" si="267"/>
        <v/>
      </c>
      <c r="V762" s="139" t="str">
        <f t="shared" si="268"/>
        <v/>
      </c>
      <c r="W762" s="139" t="str">
        <f t="shared" si="269"/>
        <v/>
      </c>
      <c r="X762" s="327"/>
    </row>
    <row r="763" spans="1:25" ht="18.75" x14ac:dyDescent="0.25">
      <c r="A763" s="151">
        <v>14</v>
      </c>
      <c r="B763" s="106" t="str">
        <f>'Funding 2019'!$K$113</f>
        <v>EGMM0019X167</v>
      </c>
      <c r="C763" s="151">
        <v>6100000802</v>
      </c>
      <c r="D763" s="151" t="s">
        <v>904</v>
      </c>
      <c r="E763" s="152" t="s">
        <v>854</v>
      </c>
      <c r="F763" s="166"/>
      <c r="G763" s="287">
        <v>638928</v>
      </c>
      <c r="H763" s="166"/>
      <c r="J763" s="154">
        <f t="shared" si="280"/>
        <v>0</v>
      </c>
      <c r="K763" s="154">
        <f t="shared" si="280"/>
        <v>39.386512144001969</v>
      </c>
      <c r="L763" s="154">
        <f t="shared" si="280"/>
        <v>0</v>
      </c>
      <c r="N763" s="152" t="s">
        <v>729</v>
      </c>
      <c r="O763" s="318">
        <v>43740</v>
      </c>
      <c r="P763" s="318">
        <v>43731</v>
      </c>
      <c r="Q763" s="156">
        <f t="shared" si="271"/>
        <v>43709</v>
      </c>
      <c r="R763" s="155"/>
      <c r="S763" s="156" t="str">
        <f t="shared" si="272"/>
        <v/>
      </c>
      <c r="T763" s="140">
        <f t="shared" ca="1" si="270"/>
        <v>33</v>
      </c>
      <c r="U763" s="139" t="str">
        <f t="shared" si="267"/>
        <v/>
      </c>
      <c r="V763" s="139" t="str">
        <f t="shared" si="268"/>
        <v/>
      </c>
      <c r="W763" s="139" t="str">
        <f t="shared" si="269"/>
        <v/>
      </c>
      <c r="X763" s="327"/>
    </row>
    <row r="764" spans="1:25" ht="18.75" x14ac:dyDescent="0.25">
      <c r="A764" s="151">
        <v>15</v>
      </c>
      <c r="B764" s="106" t="str">
        <f>'Funding 2019'!$K$113</f>
        <v>EGMM0019X167</v>
      </c>
      <c r="C764" s="151">
        <v>6100000805</v>
      </c>
      <c r="D764" s="151" t="s">
        <v>905</v>
      </c>
      <c r="E764" s="152" t="s">
        <v>906</v>
      </c>
      <c r="F764" s="166"/>
      <c r="G764" s="287">
        <v>5871420</v>
      </c>
      <c r="H764" s="166"/>
      <c r="J764" s="154">
        <f t="shared" ref="J764" si="284">F764/$J$2</f>
        <v>0</v>
      </c>
      <c r="K764" s="154">
        <f t="shared" ref="K764" si="285">G764/$J$2</f>
        <v>361.94180742201951</v>
      </c>
      <c r="L764" s="154">
        <f t="shared" ref="L764" si="286">H764/$J$2</f>
        <v>0</v>
      </c>
      <c r="N764" s="152" t="s">
        <v>729</v>
      </c>
      <c r="O764" s="318">
        <v>43777</v>
      </c>
      <c r="P764" s="318">
        <v>43760</v>
      </c>
      <c r="Q764" s="156">
        <f t="shared" si="271"/>
        <v>43739</v>
      </c>
      <c r="R764" s="155"/>
      <c r="S764" s="156" t="str">
        <f t="shared" si="272"/>
        <v/>
      </c>
      <c r="T764" s="140" t="str">
        <f t="shared" ca="1" si="270"/>
        <v/>
      </c>
      <c r="U764" s="139" t="str">
        <f t="shared" si="267"/>
        <v/>
      </c>
      <c r="V764" s="139" t="str">
        <f t="shared" si="268"/>
        <v/>
      </c>
      <c r="W764" s="139" t="str">
        <f t="shared" si="269"/>
        <v/>
      </c>
      <c r="X764" s="327"/>
    </row>
    <row r="765" spans="1:25" ht="18.75" x14ac:dyDescent="0.25">
      <c r="A765" s="151">
        <v>16</v>
      </c>
      <c r="B765" s="106" t="str">
        <f>'Funding 2019'!$K$113</f>
        <v>EGMM0019X167</v>
      </c>
      <c r="C765" s="151">
        <v>6100000807</v>
      </c>
      <c r="D765" s="151" t="s">
        <v>907</v>
      </c>
      <c r="E765" s="152" t="s">
        <v>908</v>
      </c>
      <c r="F765" s="166"/>
      <c r="G765" s="287">
        <v>51107995</v>
      </c>
      <c r="H765" s="166"/>
      <c r="J765" s="154">
        <f t="shared" ref="J765:J766" si="287">F765/$J$2</f>
        <v>0</v>
      </c>
      <c r="K765" s="154">
        <f t="shared" ref="K765:K766" si="288">G765/$J$2</f>
        <v>3150.5360004931576</v>
      </c>
      <c r="L765" s="154">
        <f t="shared" ref="L765:L766" si="289">H765/$J$2</f>
        <v>0</v>
      </c>
      <c r="N765" s="152" t="s">
        <v>729</v>
      </c>
      <c r="O765" s="318">
        <v>43777</v>
      </c>
      <c r="P765" s="318">
        <v>43759</v>
      </c>
      <c r="Q765" s="156">
        <f t="shared" si="271"/>
        <v>43739</v>
      </c>
      <c r="R765" s="155"/>
      <c r="S765" s="156" t="str">
        <f t="shared" si="272"/>
        <v/>
      </c>
      <c r="T765" s="140" t="str">
        <f t="shared" ca="1" si="270"/>
        <v/>
      </c>
      <c r="U765" s="139" t="str">
        <f t="shared" si="267"/>
        <v/>
      </c>
      <c r="V765" s="139" t="str">
        <f t="shared" si="268"/>
        <v/>
      </c>
      <c r="W765" s="139" t="str">
        <f t="shared" si="269"/>
        <v/>
      </c>
      <c r="X765" s="327"/>
    </row>
    <row r="766" spans="1:25" ht="18.75" x14ac:dyDescent="0.25">
      <c r="A766" s="151">
        <v>17</v>
      </c>
      <c r="B766" s="106" t="str">
        <f>'Funding 2019'!$K$113</f>
        <v>EGMM0019X167</v>
      </c>
      <c r="C766" s="151">
        <v>5500011895</v>
      </c>
      <c r="D766" s="151"/>
      <c r="E766" s="152" t="s">
        <v>725</v>
      </c>
      <c r="F766" s="166"/>
      <c r="G766" s="166"/>
      <c r="H766" s="166">
        <v>4200000</v>
      </c>
      <c r="J766" s="154">
        <f t="shared" si="287"/>
        <v>0</v>
      </c>
      <c r="K766" s="154">
        <f t="shared" si="288"/>
        <v>0</v>
      </c>
      <c r="L766" s="154">
        <f t="shared" si="289"/>
        <v>258.90765626926395</v>
      </c>
      <c r="N766" s="152" t="s">
        <v>194</v>
      </c>
      <c r="O766" s="155">
        <v>43726</v>
      </c>
      <c r="P766" s="155">
        <v>43691</v>
      </c>
      <c r="Q766" s="156">
        <f t="shared" si="271"/>
        <v>43678</v>
      </c>
      <c r="R766" s="155">
        <v>43754</v>
      </c>
      <c r="S766" s="156">
        <f t="shared" si="272"/>
        <v>43739</v>
      </c>
      <c r="T766" s="140" t="str">
        <f t="shared" ca="1" si="270"/>
        <v/>
      </c>
      <c r="U766" s="139" t="str">
        <f t="shared" si="267"/>
        <v/>
      </c>
      <c r="V766" s="139" t="str">
        <f t="shared" si="268"/>
        <v/>
      </c>
      <c r="W766" s="139" t="str">
        <f t="shared" si="269"/>
        <v/>
      </c>
      <c r="X766" s="327"/>
      <c r="Y766" s="408" t="s">
        <v>890</v>
      </c>
    </row>
    <row r="767" spans="1:25" ht="18.75" x14ac:dyDescent="0.25">
      <c r="A767" s="157"/>
      <c r="B767" s="158"/>
      <c r="C767" s="157"/>
      <c r="D767" s="157"/>
      <c r="E767" s="159"/>
      <c r="F767" s="160">
        <f>SUM(F749:F766)</f>
        <v>25003460</v>
      </c>
      <c r="G767" s="160">
        <f>SUM(G749:G766)</f>
        <v>106744044</v>
      </c>
      <c r="H767" s="160">
        <f>SUM(H749:H766)</f>
        <v>216003750</v>
      </c>
      <c r="J767" s="161">
        <f t="shared" si="280"/>
        <v>1541.3302921957836</v>
      </c>
      <c r="K767" s="161">
        <f t="shared" si="280"/>
        <v>6580.2024411293305</v>
      </c>
      <c r="L767" s="161">
        <f t="shared" si="280"/>
        <v>13315.482061398101</v>
      </c>
      <c r="N767" s="159"/>
      <c r="O767" s="162"/>
      <c r="P767" s="162"/>
      <c r="Q767" s="156" t="str">
        <f t="shared" si="271"/>
        <v/>
      </c>
      <c r="R767" s="162"/>
      <c r="S767" s="156" t="str">
        <f t="shared" si="272"/>
        <v/>
      </c>
      <c r="T767" s="140" t="str">
        <f t="shared" ca="1" si="270"/>
        <v/>
      </c>
      <c r="U767" s="139" t="str">
        <f t="shared" si="267"/>
        <v/>
      </c>
      <c r="V767" s="139" t="str">
        <f t="shared" si="268"/>
        <v/>
      </c>
      <c r="W767" s="139" t="str">
        <f t="shared" si="269"/>
        <v/>
      </c>
      <c r="X767" s="327"/>
    </row>
    <row r="768" spans="1:25" ht="18.75" x14ac:dyDescent="0.25">
      <c r="Q768" s="156" t="str">
        <f t="shared" si="271"/>
        <v/>
      </c>
      <c r="S768" s="156" t="str">
        <f t="shared" si="272"/>
        <v/>
      </c>
      <c r="T768" s="140" t="str">
        <f t="shared" ca="1" si="270"/>
        <v/>
      </c>
      <c r="U768" s="139" t="str">
        <f t="shared" si="267"/>
        <v/>
      </c>
      <c r="V768" s="139" t="str">
        <f t="shared" si="268"/>
        <v/>
      </c>
      <c r="W768" s="139" t="str">
        <f t="shared" si="269"/>
        <v/>
      </c>
      <c r="X768" s="327"/>
    </row>
    <row r="769" spans="1:24" ht="18.75" x14ac:dyDescent="0.25">
      <c r="A769" s="163" t="str">
        <f>'Funding 2019'!L119</f>
        <v>One Time Cost Related to Product</v>
      </c>
      <c r="B769" s="113" t="str">
        <f>'Funding 2019'!$L$110</f>
        <v>V167 - Local A-Team, Special Tools</v>
      </c>
      <c r="C769" s="147"/>
      <c r="D769" s="147"/>
      <c r="E769" s="148"/>
      <c r="F769" s="148"/>
      <c r="G769" s="148"/>
      <c r="H769" s="148"/>
      <c r="J769" s="149">
        <f t="shared" ref="J769:J778" si="290">F769/$J$2</f>
        <v>0</v>
      </c>
      <c r="K769" s="149">
        <f t="shared" ref="K769:K778" si="291">G769/$J$2</f>
        <v>0</v>
      </c>
      <c r="L769" s="149">
        <f t="shared" ref="L769:L778" si="292">H769/$J$2</f>
        <v>0</v>
      </c>
      <c r="N769" s="148"/>
      <c r="O769" s="150"/>
      <c r="P769" s="150"/>
      <c r="Q769" s="156" t="str">
        <f t="shared" si="271"/>
        <v/>
      </c>
      <c r="R769" s="150"/>
      <c r="S769" s="156" t="str">
        <f t="shared" si="272"/>
        <v/>
      </c>
      <c r="T769" s="140" t="str">
        <f t="shared" ca="1" si="270"/>
        <v/>
      </c>
      <c r="U769" s="139" t="str">
        <f t="shared" si="267"/>
        <v/>
      </c>
      <c r="V769" s="139" t="str">
        <f t="shared" si="268"/>
        <v/>
      </c>
      <c r="W769" s="139" t="str">
        <f t="shared" si="269"/>
        <v/>
      </c>
      <c r="X769" s="327"/>
    </row>
    <row r="770" spans="1:24" ht="18.75" x14ac:dyDescent="0.25">
      <c r="A770" s="151">
        <v>1</v>
      </c>
      <c r="B770" s="106" t="str">
        <f>'Funding 2019'!$K$114</f>
        <v>EGMMLA19X167</v>
      </c>
      <c r="C770" s="151">
        <v>6100000790</v>
      </c>
      <c r="D770" s="151" t="s">
        <v>823</v>
      </c>
      <c r="E770" s="152" t="s">
        <v>739</v>
      </c>
      <c r="F770" s="166">
        <f>60190656*0</f>
        <v>0</v>
      </c>
      <c r="G770" s="171">
        <v>21332511</v>
      </c>
      <c r="H770" s="171">
        <v>31428122</v>
      </c>
      <c r="J770" s="154">
        <f t="shared" si="290"/>
        <v>0</v>
      </c>
      <c r="K770" s="154">
        <f t="shared" si="291"/>
        <v>1315.0358155591173</v>
      </c>
      <c r="L770" s="154">
        <f t="shared" si="292"/>
        <v>1937.3765257058317</v>
      </c>
      <c r="N770" s="152" t="s">
        <v>729</v>
      </c>
      <c r="O770" s="155">
        <v>43752</v>
      </c>
      <c r="P770" s="155">
        <v>43697</v>
      </c>
      <c r="Q770" s="156">
        <f t="shared" si="271"/>
        <v>43678</v>
      </c>
      <c r="R770" s="155">
        <v>43761</v>
      </c>
      <c r="S770" s="156">
        <f t="shared" si="272"/>
        <v>43739</v>
      </c>
      <c r="T770" s="140">
        <f t="shared" ca="1" si="270"/>
        <v>21</v>
      </c>
      <c r="U770" s="139" t="str">
        <f t="shared" si="267"/>
        <v/>
      </c>
      <c r="V770" s="139" t="str">
        <f t="shared" si="268"/>
        <v/>
      </c>
      <c r="W770" s="139" t="str">
        <f t="shared" si="269"/>
        <v/>
      </c>
      <c r="X770" s="327"/>
    </row>
    <row r="771" spans="1:24" ht="18.75" x14ac:dyDescent="0.25">
      <c r="A771" s="151">
        <v>2</v>
      </c>
      <c r="B771" s="106" t="str">
        <f>'Funding 2019'!$K$114</f>
        <v>EGMMLA19X167</v>
      </c>
      <c r="C771" s="151">
        <v>6100000791</v>
      </c>
      <c r="D771" s="151" t="s">
        <v>826</v>
      </c>
      <c r="E771" s="152" t="s">
        <v>740</v>
      </c>
      <c r="F771" s="166">
        <f>87308417*0</f>
        <v>0</v>
      </c>
      <c r="G771" s="183"/>
      <c r="H771" s="171">
        <v>43483504</v>
      </c>
      <c r="J771" s="154">
        <f t="shared" si="290"/>
        <v>0</v>
      </c>
      <c r="K771" s="154">
        <f t="shared" si="291"/>
        <v>0</v>
      </c>
      <c r="L771" s="154">
        <f t="shared" si="292"/>
        <v>2680.5266921464677</v>
      </c>
      <c r="N771" s="152" t="s">
        <v>741</v>
      </c>
      <c r="O771" s="155">
        <v>43756</v>
      </c>
      <c r="P771" s="155">
        <v>43697</v>
      </c>
      <c r="Q771" s="156">
        <f t="shared" si="271"/>
        <v>43678</v>
      </c>
      <c r="R771" s="155">
        <v>43748</v>
      </c>
      <c r="S771" s="156">
        <f t="shared" si="272"/>
        <v>43739</v>
      </c>
      <c r="T771" s="140" t="str">
        <f t="shared" ca="1" si="270"/>
        <v/>
      </c>
      <c r="U771" s="139" t="str">
        <f t="shared" si="267"/>
        <v/>
      </c>
      <c r="V771" s="139" t="str">
        <f t="shared" si="268"/>
        <v/>
      </c>
      <c r="W771" s="139" t="str">
        <f t="shared" si="269"/>
        <v/>
      </c>
      <c r="X771" s="327"/>
    </row>
    <row r="772" spans="1:24" ht="18.75" x14ac:dyDescent="0.25">
      <c r="A772" s="151">
        <v>3</v>
      </c>
      <c r="B772" s="106" t="str">
        <f>'Funding 2019'!$K$114</f>
        <v>EGMMLA19X167</v>
      </c>
      <c r="C772" s="151">
        <v>4400000992</v>
      </c>
      <c r="D772" s="151">
        <v>7500000951</v>
      </c>
      <c r="E772" s="152" t="s">
        <v>743</v>
      </c>
      <c r="F772" s="166">
        <f>28780500*0</f>
        <v>0</v>
      </c>
      <c r="G772" s="171">
        <v>28780500</v>
      </c>
      <c r="H772" s="166"/>
      <c r="J772" s="154">
        <f t="shared" si="290"/>
        <v>0</v>
      </c>
      <c r="K772" s="154">
        <f t="shared" si="291"/>
        <v>1774.1647145851314</v>
      </c>
      <c r="L772" s="154">
        <f t="shared" si="292"/>
        <v>0</v>
      </c>
      <c r="N772" s="152" t="s">
        <v>549</v>
      </c>
      <c r="O772" s="155">
        <v>43728</v>
      </c>
      <c r="P772" s="155">
        <v>43698</v>
      </c>
      <c r="Q772" s="156">
        <f t="shared" si="271"/>
        <v>43678</v>
      </c>
      <c r="R772" s="155">
        <v>43759</v>
      </c>
      <c r="S772" s="156">
        <f t="shared" si="272"/>
        <v>43739</v>
      </c>
      <c r="T772" s="140">
        <f t="shared" ca="1" si="270"/>
        <v>45</v>
      </c>
      <c r="U772" s="139" t="str">
        <f t="shared" si="267"/>
        <v/>
      </c>
      <c r="V772" s="139" t="str">
        <f t="shared" si="268"/>
        <v/>
      </c>
      <c r="W772" s="139" t="str">
        <f t="shared" si="269"/>
        <v/>
      </c>
      <c r="X772" s="327"/>
    </row>
    <row r="773" spans="1:24" ht="18.75" x14ac:dyDescent="0.25">
      <c r="A773" s="151">
        <v>4</v>
      </c>
      <c r="B773" s="106" t="str">
        <f>'Funding 2019'!$K$114</f>
        <v>EGMMLA19X167</v>
      </c>
      <c r="C773" s="151">
        <v>6100000797</v>
      </c>
      <c r="D773" s="151" t="s">
        <v>825</v>
      </c>
      <c r="E773" s="152" t="s">
        <v>767</v>
      </c>
      <c r="F773" s="166">
        <f>62785470*0</f>
        <v>0</v>
      </c>
      <c r="G773" s="171">
        <v>20421804</v>
      </c>
      <c r="H773" s="171">
        <v>40542866</v>
      </c>
      <c r="J773" s="154">
        <f t="shared" si="290"/>
        <v>0</v>
      </c>
      <c r="K773" s="154">
        <f t="shared" si="291"/>
        <v>1258.8955739119715</v>
      </c>
      <c r="L773" s="154">
        <f t="shared" si="292"/>
        <v>2499.2520034521021</v>
      </c>
      <c r="N773" s="152" t="s">
        <v>244</v>
      </c>
      <c r="O773" s="155">
        <v>43735</v>
      </c>
      <c r="P773" s="155">
        <v>43710</v>
      </c>
      <c r="Q773" s="156">
        <f t="shared" si="271"/>
        <v>43709</v>
      </c>
      <c r="R773" s="155">
        <v>43766</v>
      </c>
      <c r="S773" s="156">
        <f t="shared" si="272"/>
        <v>43739</v>
      </c>
      <c r="T773" s="140">
        <f t="shared" ca="1" si="270"/>
        <v>38</v>
      </c>
      <c r="U773" s="139" t="str">
        <f t="shared" si="267"/>
        <v/>
      </c>
      <c r="V773" s="139" t="str">
        <f t="shared" si="268"/>
        <v/>
      </c>
      <c r="W773" s="139" t="str">
        <f t="shared" si="269"/>
        <v/>
      </c>
      <c r="X773" s="327"/>
    </row>
    <row r="774" spans="1:24" ht="18.75" x14ac:dyDescent="0.25">
      <c r="A774" s="151">
        <v>5</v>
      </c>
      <c r="B774" s="106" t="str">
        <f>'Funding 2019'!$K$114</f>
        <v>EGMMLA19X167</v>
      </c>
      <c r="C774" s="151">
        <v>5300000266</v>
      </c>
      <c r="D774" s="151"/>
      <c r="E774" s="152" t="s">
        <v>874</v>
      </c>
      <c r="F774" s="166">
        <v>2655000000</v>
      </c>
      <c r="G774" s="166"/>
      <c r="H774" s="166"/>
      <c r="J774" s="154">
        <f t="shared" si="290"/>
        <v>163666.62557021328</v>
      </c>
      <c r="K774" s="154">
        <f t="shared" si="291"/>
        <v>0</v>
      </c>
      <c r="L774" s="154">
        <f t="shared" si="292"/>
        <v>0</v>
      </c>
      <c r="N774" s="152" t="s">
        <v>244</v>
      </c>
      <c r="O774" s="155">
        <v>43812</v>
      </c>
      <c r="P774" s="155">
        <v>43739</v>
      </c>
      <c r="Q774" s="156">
        <f t="shared" si="271"/>
        <v>43739</v>
      </c>
      <c r="R774" s="155"/>
      <c r="S774" s="156" t="str">
        <f t="shared" si="272"/>
        <v/>
      </c>
      <c r="T774" s="140" t="str">
        <f t="shared" ca="1" si="270"/>
        <v/>
      </c>
      <c r="U774" s="139" t="str">
        <f t="shared" si="267"/>
        <v/>
      </c>
      <c r="V774" s="139" t="str">
        <f t="shared" si="268"/>
        <v/>
      </c>
      <c r="W774" s="139" t="str">
        <f t="shared" si="269"/>
        <v/>
      </c>
      <c r="X774" s="327"/>
    </row>
    <row r="775" spans="1:24" ht="18.75" x14ac:dyDescent="0.25">
      <c r="A775" s="151">
        <v>6</v>
      </c>
      <c r="B775" s="106" t="str">
        <f>'Funding 2019'!$K$114</f>
        <v>EGMMLA19X167</v>
      </c>
      <c r="C775" s="151">
        <v>4400001056</v>
      </c>
      <c r="D775" s="151">
        <v>7500001009</v>
      </c>
      <c r="E775" s="152" t="s">
        <v>875</v>
      </c>
      <c r="F775" s="166"/>
      <c r="G775" s="171">
        <v>291841000</v>
      </c>
      <c r="H775" s="166"/>
      <c r="J775" s="154">
        <f t="shared" si="290"/>
        <v>0</v>
      </c>
      <c r="K775" s="154">
        <f t="shared" si="291"/>
        <v>17990.445074590061</v>
      </c>
      <c r="L775" s="154">
        <f t="shared" si="292"/>
        <v>0</v>
      </c>
      <c r="N775" s="152" t="s">
        <v>244</v>
      </c>
      <c r="O775" s="155">
        <v>43770</v>
      </c>
      <c r="P775" s="155">
        <v>43733</v>
      </c>
      <c r="Q775" s="156">
        <f t="shared" si="271"/>
        <v>43709</v>
      </c>
      <c r="R775" s="155"/>
      <c r="S775" s="156" t="str">
        <f t="shared" si="272"/>
        <v/>
      </c>
      <c r="T775" s="140">
        <f t="shared" ca="1" si="270"/>
        <v>3</v>
      </c>
      <c r="U775" s="139" t="str">
        <f t="shared" si="267"/>
        <v/>
      </c>
      <c r="V775" s="139" t="str">
        <f t="shared" si="268"/>
        <v/>
      </c>
      <c r="W775" s="139" t="str">
        <f t="shared" si="269"/>
        <v/>
      </c>
      <c r="X775" s="327"/>
    </row>
    <row r="776" spans="1:24" ht="18.75" x14ac:dyDescent="0.25">
      <c r="A776" s="151">
        <v>7</v>
      </c>
      <c r="B776" s="106" t="str">
        <f>'Funding 2019'!$K$114</f>
        <v>EGMMLA19X167</v>
      </c>
      <c r="C776" s="151">
        <v>2100011834</v>
      </c>
      <c r="D776" s="151"/>
      <c r="E776" s="152" t="s">
        <v>898</v>
      </c>
      <c r="F776" s="166">
        <v>213654882</v>
      </c>
      <c r="G776" s="166"/>
      <c r="H776" s="166"/>
      <c r="J776" s="154">
        <f t="shared" si="290"/>
        <v>13170.686845025275</v>
      </c>
      <c r="K776" s="154">
        <f t="shared" si="291"/>
        <v>0</v>
      </c>
      <c r="L776" s="154">
        <f t="shared" si="292"/>
        <v>0</v>
      </c>
      <c r="N776" s="152" t="s">
        <v>244</v>
      </c>
      <c r="O776" s="155">
        <v>43798</v>
      </c>
      <c r="P776" s="155">
        <v>43759</v>
      </c>
      <c r="Q776" s="156">
        <f t="shared" si="271"/>
        <v>43739</v>
      </c>
      <c r="R776" s="155"/>
      <c r="S776" s="156" t="str">
        <f t="shared" si="272"/>
        <v/>
      </c>
      <c r="T776" s="140" t="str">
        <f t="shared" ca="1" si="270"/>
        <v/>
      </c>
      <c r="U776" s="139" t="str">
        <f t="shared" si="267"/>
        <v/>
      </c>
      <c r="V776" s="139" t="str">
        <f t="shared" si="268"/>
        <v/>
      </c>
      <c r="W776" s="139" t="str">
        <f t="shared" si="269"/>
        <v/>
      </c>
      <c r="X776" s="327"/>
    </row>
    <row r="777" spans="1:24" ht="18.75" x14ac:dyDescent="0.25">
      <c r="A777" s="151">
        <v>8</v>
      </c>
      <c r="B777" s="106" t="str">
        <f>'Funding 2019'!$K$114</f>
        <v>EGMMLA19X167</v>
      </c>
      <c r="C777" s="151">
        <v>6100000794</v>
      </c>
      <c r="D777" s="151" t="s">
        <v>824</v>
      </c>
      <c r="E777" s="152" t="s">
        <v>763</v>
      </c>
      <c r="F777" s="166">
        <v>11041056</v>
      </c>
      <c r="G777" s="171">
        <v>14566929</v>
      </c>
      <c r="H777" s="166"/>
      <c r="J777" s="154">
        <f t="shared" si="290"/>
        <v>680.62236468992728</v>
      </c>
      <c r="K777" s="154">
        <f t="shared" si="291"/>
        <v>897.9736777216126</v>
      </c>
      <c r="L777" s="154">
        <f t="shared" si="292"/>
        <v>0</v>
      </c>
      <c r="N777" s="152" t="s">
        <v>244</v>
      </c>
      <c r="O777" s="155">
        <v>43735</v>
      </c>
      <c r="P777" s="155">
        <v>43707</v>
      </c>
      <c r="Q777" s="156">
        <f t="shared" si="271"/>
        <v>43678</v>
      </c>
      <c r="R777" s="155"/>
      <c r="S777" s="156" t="str">
        <f t="shared" si="272"/>
        <v/>
      </c>
      <c r="T777" s="140">
        <f t="shared" ca="1" si="270"/>
        <v>38</v>
      </c>
      <c r="U777" s="139" t="str">
        <f t="shared" si="267"/>
        <v/>
      </c>
      <c r="V777" s="139" t="str">
        <f t="shared" si="268"/>
        <v/>
      </c>
      <c r="W777" s="139" t="str">
        <f t="shared" si="269"/>
        <v/>
      </c>
      <c r="X777" s="327"/>
    </row>
    <row r="778" spans="1:24" ht="18.75" x14ac:dyDescent="0.25">
      <c r="A778" s="157"/>
      <c r="B778" s="158"/>
      <c r="C778" s="157"/>
      <c r="D778" s="157"/>
      <c r="E778" s="159"/>
      <c r="F778" s="160">
        <f>SUM(F770:F777)</f>
        <v>2879695938</v>
      </c>
      <c r="G778" s="160">
        <f>SUM(G770:G777)</f>
        <v>376942744</v>
      </c>
      <c r="H778" s="160">
        <f>SUM(H770:H777)</f>
        <v>115454492</v>
      </c>
      <c r="J778" s="161">
        <f t="shared" si="290"/>
        <v>177517.9347799285</v>
      </c>
      <c r="K778" s="161">
        <f t="shared" si="291"/>
        <v>23236.514856367896</v>
      </c>
      <c r="L778" s="161">
        <f t="shared" si="292"/>
        <v>7117.1552213044015</v>
      </c>
      <c r="N778" s="159"/>
      <c r="O778" s="162"/>
      <c r="P778" s="162"/>
      <c r="Q778" s="156" t="str">
        <f t="shared" si="271"/>
        <v/>
      </c>
      <c r="R778" s="162"/>
      <c r="S778" s="156" t="str">
        <f t="shared" si="272"/>
        <v/>
      </c>
      <c r="T778" s="140" t="str">
        <f t="shared" ca="1" si="270"/>
        <v/>
      </c>
      <c r="U778" s="139" t="str">
        <f t="shared" si="267"/>
        <v/>
      </c>
      <c r="V778" s="139" t="str">
        <f t="shared" si="268"/>
        <v/>
      </c>
      <c r="W778" s="139" t="str">
        <f t="shared" si="269"/>
        <v/>
      </c>
      <c r="X778" s="327"/>
    </row>
    <row r="779" spans="1:24" ht="18.75" x14ac:dyDescent="0.25">
      <c r="Q779" s="156" t="str">
        <f t="shared" si="271"/>
        <v/>
      </c>
      <c r="S779" s="156" t="str">
        <f t="shared" si="272"/>
        <v/>
      </c>
      <c r="T779" s="140" t="str">
        <f t="shared" ca="1" si="270"/>
        <v/>
      </c>
      <c r="U779" s="139" t="str">
        <f t="shared" si="267"/>
        <v/>
      </c>
      <c r="V779" s="139" t="str">
        <f t="shared" si="268"/>
        <v/>
      </c>
      <c r="W779" s="139" t="str">
        <f t="shared" si="269"/>
        <v/>
      </c>
      <c r="X779" s="327"/>
    </row>
    <row r="780" spans="1:24" ht="18.75" x14ac:dyDescent="0.25">
      <c r="Q780" s="156" t="str">
        <f t="shared" si="271"/>
        <v/>
      </c>
      <c r="S780" s="156" t="str">
        <f t="shared" si="272"/>
        <v/>
      </c>
      <c r="T780" s="140" t="str">
        <f t="shared" ca="1" si="270"/>
        <v/>
      </c>
      <c r="U780" s="139" t="str">
        <f t="shared" si="267"/>
        <v/>
      </c>
      <c r="V780" s="139" t="str">
        <f t="shared" si="268"/>
        <v/>
      </c>
      <c r="W780" s="139" t="str">
        <f t="shared" si="269"/>
        <v/>
      </c>
      <c r="X780" s="327"/>
    </row>
    <row r="781" spans="1:24" ht="18.75" x14ac:dyDescent="0.25">
      <c r="A781" s="163" t="str">
        <f>'Funding 2019'!L119</f>
        <v>One Time Cost Related to Product</v>
      </c>
      <c r="B781" s="113" t="str">
        <f>'Funding 2019'!L116</f>
        <v>X167 - TE</v>
      </c>
      <c r="C781" s="147"/>
      <c r="D781" s="147"/>
      <c r="E781" s="148"/>
      <c r="F781" s="148"/>
      <c r="G781" s="148"/>
      <c r="H781" s="148"/>
      <c r="J781" s="149">
        <f t="shared" ref="J781:L786" si="293">F781/$J$2</f>
        <v>0</v>
      </c>
      <c r="K781" s="149">
        <f t="shared" si="293"/>
        <v>0</v>
      </c>
      <c r="L781" s="149">
        <f t="shared" si="293"/>
        <v>0</v>
      </c>
      <c r="N781" s="148"/>
      <c r="O781" s="150"/>
      <c r="P781" s="150"/>
      <c r="Q781" s="156" t="str">
        <f t="shared" si="271"/>
        <v/>
      </c>
      <c r="R781" s="150"/>
      <c r="S781" s="156" t="str">
        <f t="shared" si="272"/>
        <v/>
      </c>
      <c r="T781" s="140" t="str">
        <f t="shared" ca="1" si="270"/>
        <v/>
      </c>
      <c r="U781" s="139" t="str">
        <f t="shared" si="267"/>
        <v/>
      </c>
      <c r="V781" s="139" t="str">
        <f t="shared" si="268"/>
        <v/>
      </c>
      <c r="W781" s="139" t="str">
        <f t="shared" si="269"/>
        <v/>
      </c>
      <c r="X781" s="327"/>
    </row>
    <row r="782" spans="1:24" ht="18.75" x14ac:dyDescent="0.25">
      <c r="A782" s="151">
        <v>1</v>
      </c>
      <c r="B782" s="106" t="str">
        <f>'Funding 2019'!$K$116</f>
        <v>EGMMTE19X167</v>
      </c>
      <c r="C782" s="151">
        <v>5300000249</v>
      </c>
      <c r="D782" s="151">
        <v>4500135207</v>
      </c>
      <c r="E782" s="152" t="s">
        <v>503</v>
      </c>
      <c r="F782" s="153">
        <f>1419176000*0</f>
        <v>0</v>
      </c>
      <c r="G782" s="153">
        <v>1408792000</v>
      </c>
      <c r="H782" s="153"/>
      <c r="J782" s="154">
        <f t="shared" si="293"/>
        <v>0</v>
      </c>
      <c r="K782" s="154">
        <f t="shared" si="293"/>
        <v>86844.532116878312</v>
      </c>
      <c r="L782" s="154">
        <f t="shared" si="293"/>
        <v>0</v>
      </c>
      <c r="N782" s="152" t="s">
        <v>248</v>
      </c>
      <c r="O782" s="318">
        <v>43799</v>
      </c>
      <c r="P782" s="155">
        <v>43643</v>
      </c>
      <c r="Q782" s="156">
        <f t="shared" si="271"/>
        <v>43617</v>
      </c>
      <c r="R782" s="155"/>
      <c r="S782" s="156" t="str">
        <f t="shared" si="272"/>
        <v/>
      </c>
      <c r="T782" s="140" t="str">
        <f t="shared" ca="1" si="270"/>
        <v/>
      </c>
      <c r="U782" s="139" t="str">
        <f t="shared" ref="U782:U793" si="294">IF(A782="","",IF(AND(J782&gt;0,Q782=""), "RED",""))</f>
        <v/>
      </c>
      <c r="V782" s="139" t="str">
        <f t="shared" ref="V782:V793" si="295">IF(A782="","",IF(AND(K782&gt;0,Q782=""), "BLUE",""))</f>
        <v/>
      </c>
      <c r="W782" s="139" t="str">
        <f t="shared" ref="W782:W793" si="296">IF(A782="","",IF(AND(L782&gt;0,S782=""), "YELLOW",""))</f>
        <v/>
      </c>
      <c r="X782" s="327"/>
    </row>
    <row r="783" spans="1:24" ht="18.75" x14ac:dyDescent="0.25">
      <c r="A783" s="151">
        <v>2</v>
      </c>
      <c r="B783" s="106" t="str">
        <f>'Funding 2019'!$K$116</f>
        <v>EGMMTE19X167</v>
      </c>
      <c r="C783" s="151"/>
      <c r="D783" s="151"/>
      <c r="E783" s="152"/>
      <c r="F783" s="153"/>
      <c r="G783" s="153"/>
      <c r="H783" s="153"/>
      <c r="J783" s="154">
        <f t="shared" si="293"/>
        <v>0</v>
      </c>
      <c r="K783" s="154">
        <f t="shared" si="293"/>
        <v>0</v>
      </c>
      <c r="L783" s="154">
        <f t="shared" si="293"/>
        <v>0</v>
      </c>
      <c r="N783" s="152"/>
      <c r="O783" s="155"/>
      <c r="P783" s="155"/>
      <c r="Q783" s="156" t="str">
        <f t="shared" si="271"/>
        <v/>
      </c>
      <c r="R783" s="155"/>
      <c r="S783" s="156" t="str">
        <f t="shared" si="272"/>
        <v/>
      </c>
      <c r="T783" s="140" t="str">
        <f t="shared" ca="1" si="270"/>
        <v/>
      </c>
      <c r="U783" s="139" t="str">
        <f t="shared" si="294"/>
        <v/>
      </c>
      <c r="V783" s="139" t="str">
        <f t="shared" si="295"/>
        <v/>
      </c>
      <c r="W783" s="139" t="str">
        <f t="shared" si="296"/>
        <v/>
      </c>
      <c r="X783" s="327"/>
    </row>
    <row r="784" spans="1:24" ht="18.75" x14ac:dyDescent="0.25">
      <c r="A784" s="151">
        <v>3</v>
      </c>
      <c r="B784" s="106" t="str">
        <f>'Funding 2019'!$K$116</f>
        <v>EGMMTE19X167</v>
      </c>
      <c r="C784" s="151"/>
      <c r="D784" s="151"/>
      <c r="E784" s="152"/>
      <c r="F784" s="153"/>
      <c r="G784" s="153"/>
      <c r="H784" s="153"/>
      <c r="J784" s="154">
        <f t="shared" si="293"/>
        <v>0</v>
      </c>
      <c r="K784" s="154">
        <f t="shared" si="293"/>
        <v>0</v>
      </c>
      <c r="L784" s="154">
        <f t="shared" si="293"/>
        <v>0</v>
      </c>
      <c r="N784" s="152"/>
      <c r="O784" s="155"/>
      <c r="P784" s="155"/>
      <c r="Q784" s="156" t="str">
        <f t="shared" si="271"/>
        <v/>
      </c>
      <c r="R784" s="155"/>
      <c r="S784" s="156" t="str">
        <f t="shared" si="272"/>
        <v/>
      </c>
      <c r="T784" s="140" t="str">
        <f t="shared" ca="1" si="270"/>
        <v/>
      </c>
      <c r="U784" s="139" t="str">
        <f t="shared" si="294"/>
        <v/>
      </c>
      <c r="V784" s="139" t="str">
        <f t="shared" si="295"/>
        <v/>
      </c>
      <c r="W784" s="139" t="str">
        <f t="shared" si="296"/>
        <v/>
      </c>
      <c r="X784" s="327"/>
    </row>
    <row r="785" spans="1:24" ht="18.75" x14ac:dyDescent="0.25">
      <c r="A785" s="151">
        <v>4</v>
      </c>
      <c r="B785" s="106" t="str">
        <f>'Funding 2019'!$K$116</f>
        <v>EGMMTE19X167</v>
      </c>
      <c r="C785" s="151"/>
      <c r="D785" s="151"/>
      <c r="E785" s="152"/>
      <c r="F785" s="153"/>
      <c r="G785" s="153"/>
      <c r="H785" s="153"/>
      <c r="J785" s="154">
        <f t="shared" si="293"/>
        <v>0</v>
      </c>
      <c r="K785" s="154">
        <f t="shared" si="293"/>
        <v>0</v>
      </c>
      <c r="L785" s="154">
        <f t="shared" si="293"/>
        <v>0</v>
      </c>
      <c r="N785" s="152"/>
      <c r="O785" s="155"/>
      <c r="P785" s="155"/>
      <c r="Q785" s="156" t="str">
        <f t="shared" si="271"/>
        <v/>
      </c>
      <c r="R785" s="155"/>
      <c r="S785" s="156" t="str">
        <f t="shared" si="272"/>
        <v/>
      </c>
      <c r="T785" s="140" t="str">
        <f t="shared" ca="1" si="270"/>
        <v/>
      </c>
      <c r="U785" s="139" t="str">
        <f t="shared" si="294"/>
        <v/>
      </c>
      <c r="V785" s="139" t="str">
        <f t="shared" si="295"/>
        <v/>
      </c>
      <c r="W785" s="139" t="str">
        <f t="shared" si="296"/>
        <v/>
      </c>
      <c r="X785" s="327"/>
    </row>
    <row r="786" spans="1:24" ht="18.75" x14ac:dyDescent="0.25">
      <c r="A786" s="157"/>
      <c r="B786" s="158"/>
      <c r="C786" s="157"/>
      <c r="D786" s="157"/>
      <c r="E786" s="159"/>
      <c r="F786" s="160">
        <f>SUM(F781:F785)</f>
        <v>0</v>
      </c>
      <c r="G786" s="160">
        <f>SUM(G781:G785)</f>
        <v>1408792000</v>
      </c>
      <c r="H786" s="160">
        <f>SUM(H781:H785)</f>
        <v>0</v>
      </c>
      <c r="J786" s="161">
        <f t="shared" si="293"/>
        <v>0</v>
      </c>
      <c r="K786" s="161">
        <f t="shared" si="293"/>
        <v>86844.532116878312</v>
      </c>
      <c r="L786" s="161">
        <f t="shared" si="293"/>
        <v>0</v>
      </c>
      <c r="N786" s="159"/>
      <c r="O786" s="162"/>
      <c r="P786" s="162"/>
      <c r="Q786" s="156" t="str">
        <f t="shared" si="271"/>
        <v/>
      </c>
      <c r="R786" s="162"/>
      <c r="S786" s="156" t="str">
        <f t="shared" si="272"/>
        <v/>
      </c>
      <c r="T786" s="140" t="str">
        <f t="shared" ref="T786:T793" ca="1" si="297">IF(R786="",IF(O786="",IF(P786="","",IF(P786-TODAY()&lt;=0,TODAY()-P786,"")),IF(O786-TODAY()&lt;=0,TODAY()-O786,"")),IF(SUM(F786:G786)&lt;&gt;0,IF(O786="",IF(P786="","",IF(P786-TODAY()&lt;=0,TODAY()-P786,"")),IF(O786-TODAY()&lt;=0,TODAY()-O786,"")),""))</f>
        <v/>
      </c>
      <c r="U786" s="139" t="str">
        <f t="shared" si="294"/>
        <v/>
      </c>
      <c r="V786" s="139" t="str">
        <f t="shared" si="295"/>
        <v/>
      </c>
      <c r="W786" s="139" t="str">
        <f t="shared" si="296"/>
        <v/>
      </c>
      <c r="X786" s="327"/>
    </row>
    <row r="787" spans="1:24" ht="18.75" x14ac:dyDescent="0.25">
      <c r="Q787" s="156" t="str">
        <f t="shared" si="271"/>
        <v/>
      </c>
      <c r="S787" s="156" t="str">
        <f t="shared" si="272"/>
        <v/>
      </c>
      <c r="T787" s="140" t="str">
        <f t="shared" ca="1" si="297"/>
        <v/>
      </c>
      <c r="U787" s="139" t="str">
        <f t="shared" si="294"/>
        <v/>
      </c>
      <c r="V787" s="139" t="str">
        <f t="shared" si="295"/>
        <v/>
      </c>
      <c r="W787" s="139" t="str">
        <f t="shared" si="296"/>
        <v/>
      </c>
      <c r="X787" s="327"/>
    </row>
    <row r="788" spans="1:24" ht="18.75" x14ac:dyDescent="0.25">
      <c r="A788" s="163" t="str">
        <f>'Funding 2019'!L119</f>
        <v>One Time Cost Related to Product</v>
      </c>
      <c r="B788" s="113" t="str">
        <f>'Funding 2019'!L117</f>
        <v>X167 - TA</v>
      </c>
      <c r="C788" s="147"/>
      <c r="D788" s="147"/>
      <c r="E788" s="148"/>
      <c r="F788" s="148"/>
      <c r="G788" s="148"/>
      <c r="H788" s="148"/>
      <c r="J788" s="149">
        <f t="shared" ref="J788:L793" si="298">F788/$J$2</f>
        <v>0</v>
      </c>
      <c r="K788" s="149">
        <f t="shared" si="298"/>
        <v>0</v>
      </c>
      <c r="L788" s="149">
        <f t="shared" si="298"/>
        <v>0</v>
      </c>
      <c r="N788" s="148"/>
      <c r="O788" s="150"/>
      <c r="P788" s="150"/>
      <c r="Q788" s="156" t="str">
        <f t="shared" si="271"/>
        <v/>
      </c>
      <c r="R788" s="150"/>
      <c r="S788" s="156" t="str">
        <f t="shared" si="272"/>
        <v/>
      </c>
      <c r="T788" s="140" t="str">
        <f t="shared" ca="1" si="297"/>
        <v/>
      </c>
      <c r="U788" s="139" t="str">
        <f t="shared" si="294"/>
        <v/>
      </c>
      <c r="V788" s="139" t="str">
        <f t="shared" si="295"/>
        <v/>
      </c>
      <c r="W788" s="139" t="str">
        <f t="shared" si="296"/>
        <v/>
      </c>
      <c r="X788" s="327"/>
    </row>
    <row r="789" spans="1:24" ht="18.75" x14ac:dyDescent="0.25">
      <c r="A789" s="151">
        <v>1</v>
      </c>
      <c r="B789" s="106" t="str">
        <f>'Funding 2019'!$K$117</f>
        <v>EGMMTA19X167</v>
      </c>
      <c r="C789" s="151">
        <v>5300000265</v>
      </c>
      <c r="D789" s="151">
        <v>4500135345</v>
      </c>
      <c r="E789" s="152" t="s">
        <v>858</v>
      </c>
      <c r="F789" s="153"/>
      <c r="G789" s="153">
        <v>775950000</v>
      </c>
      <c r="H789" s="153"/>
      <c r="J789" s="154">
        <f t="shared" si="298"/>
        <v>0</v>
      </c>
      <c r="K789" s="154">
        <f t="shared" si="298"/>
        <v>47833.189495746519</v>
      </c>
      <c r="L789" s="154">
        <f t="shared" si="298"/>
        <v>0</v>
      </c>
      <c r="N789" s="152" t="s">
        <v>244</v>
      </c>
      <c r="O789" s="155">
        <v>43769</v>
      </c>
      <c r="P789" s="155">
        <v>43735</v>
      </c>
      <c r="Q789" s="156">
        <f t="shared" si="271"/>
        <v>43709</v>
      </c>
      <c r="R789" s="155"/>
      <c r="S789" s="156" t="str">
        <f t="shared" si="272"/>
        <v/>
      </c>
      <c r="T789" s="140">
        <f t="shared" ca="1" si="297"/>
        <v>4</v>
      </c>
      <c r="U789" s="139" t="str">
        <f t="shared" si="294"/>
        <v/>
      </c>
      <c r="V789" s="139" t="str">
        <f t="shared" si="295"/>
        <v/>
      </c>
      <c r="W789" s="139" t="str">
        <f t="shared" si="296"/>
        <v/>
      </c>
      <c r="X789" s="327"/>
    </row>
    <row r="790" spans="1:24" ht="18.75" x14ac:dyDescent="0.25">
      <c r="A790" s="151">
        <v>2</v>
      </c>
      <c r="B790" s="106" t="str">
        <f>'Funding 2019'!$K$117</f>
        <v>EGMMTA19X167</v>
      </c>
      <c r="C790" s="151"/>
      <c r="D790" s="151"/>
      <c r="E790" s="152"/>
      <c r="F790" s="153"/>
      <c r="G790" s="153"/>
      <c r="H790" s="153"/>
      <c r="J790" s="154">
        <f t="shared" si="298"/>
        <v>0</v>
      </c>
      <c r="K790" s="154">
        <f t="shared" si="298"/>
        <v>0</v>
      </c>
      <c r="L790" s="154">
        <f t="shared" si="298"/>
        <v>0</v>
      </c>
      <c r="N790" s="152"/>
      <c r="O790" s="155"/>
      <c r="P790" s="155"/>
      <c r="Q790" s="156" t="str">
        <f t="shared" ref="Q790:Q793" si="299">IF(P790="","",IF(YEAR(P790)&lt;=2018,DATE(2018,12,31),EOMONTH(P790,-1)+1))</f>
        <v/>
      </c>
      <c r="R790" s="155"/>
      <c r="S790" s="156" t="str">
        <f t="shared" ref="S790:S793" si="300">IF(R790="","",IF(YEAR(R790)&lt;=2018,DATE(2018,12,31),EOMONTH(R790,-1)+1))</f>
        <v/>
      </c>
      <c r="T790" s="140" t="str">
        <f t="shared" ca="1" si="297"/>
        <v/>
      </c>
      <c r="U790" s="139" t="str">
        <f t="shared" si="294"/>
        <v/>
      </c>
      <c r="V790" s="139" t="str">
        <f t="shared" si="295"/>
        <v/>
      </c>
      <c r="W790" s="139" t="str">
        <f t="shared" si="296"/>
        <v/>
      </c>
      <c r="X790" s="327"/>
    </row>
    <row r="791" spans="1:24" ht="18.75" x14ac:dyDescent="0.25">
      <c r="A791" s="151">
        <v>3</v>
      </c>
      <c r="B791" s="106" t="str">
        <f>'Funding 2019'!$K$117</f>
        <v>EGMMTA19X167</v>
      </c>
      <c r="C791" s="151"/>
      <c r="D791" s="151"/>
      <c r="E791" s="152"/>
      <c r="F791" s="153"/>
      <c r="G791" s="153"/>
      <c r="H791" s="153"/>
      <c r="J791" s="154">
        <f t="shared" si="298"/>
        <v>0</v>
      </c>
      <c r="K791" s="154">
        <f t="shared" si="298"/>
        <v>0</v>
      </c>
      <c r="L791" s="154">
        <f t="shared" si="298"/>
        <v>0</v>
      </c>
      <c r="N791" s="152"/>
      <c r="O791" s="155"/>
      <c r="P791" s="155"/>
      <c r="Q791" s="156" t="str">
        <f t="shared" si="299"/>
        <v/>
      </c>
      <c r="R791" s="155"/>
      <c r="S791" s="156" t="str">
        <f t="shared" si="300"/>
        <v/>
      </c>
      <c r="T791" s="140" t="str">
        <f t="shared" ca="1" si="297"/>
        <v/>
      </c>
      <c r="U791" s="139" t="str">
        <f t="shared" si="294"/>
        <v/>
      </c>
      <c r="V791" s="139" t="str">
        <f t="shared" si="295"/>
        <v/>
      </c>
      <c r="W791" s="139" t="str">
        <f t="shared" si="296"/>
        <v/>
      </c>
      <c r="X791" s="327"/>
    </row>
    <row r="792" spans="1:24" ht="18.75" x14ac:dyDescent="0.25">
      <c r="A792" s="151">
        <v>4</v>
      </c>
      <c r="B792" s="106" t="str">
        <f>'Funding 2019'!$K$117</f>
        <v>EGMMTA19X167</v>
      </c>
      <c r="C792" s="151"/>
      <c r="D792" s="151"/>
      <c r="E792" s="152"/>
      <c r="F792" s="153"/>
      <c r="G792" s="153"/>
      <c r="H792" s="153"/>
      <c r="J792" s="154">
        <f t="shared" si="298"/>
        <v>0</v>
      </c>
      <c r="K792" s="154">
        <f t="shared" si="298"/>
        <v>0</v>
      </c>
      <c r="L792" s="154">
        <f t="shared" si="298"/>
        <v>0</v>
      </c>
      <c r="N792" s="152"/>
      <c r="O792" s="155"/>
      <c r="P792" s="155"/>
      <c r="Q792" s="156" t="str">
        <f t="shared" si="299"/>
        <v/>
      </c>
      <c r="R792" s="155"/>
      <c r="S792" s="156" t="str">
        <f t="shared" si="300"/>
        <v/>
      </c>
      <c r="T792" s="140" t="str">
        <f t="shared" ca="1" si="297"/>
        <v/>
      </c>
      <c r="U792" s="139" t="str">
        <f t="shared" si="294"/>
        <v/>
      </c>
      <c r="V792" s="139" t="str">
        <f t="shared" si="295"/>
        <v/>
      </c>
      <c r="W792" s="139" t="str">
        <f t="shared" si="296"/>
        <v/>
      </c>
      <c r="X792" s="327"/>
    </row>
    <row r="793" spans="1:24" ht="18.75" x14ac:dyDescent="0.25">
      <c r="A793" s="157"/>
      <c r="B793" s="158"/>
      <c r="C793" s="157"/>
      <c r="D793" s="157"/>
      <c r="E793" s="159"/>
      <c r="F793" s="160">
        <f>SUM(F788:F792)</f>
        <v>0</v>
      </c>
      <c r="G793" s="160">
        <f>SUM(G788:G792)</f>
        <v>775950000</v>
      </c>
      <c r="H793" s="160">
        <f>SUM(H788:H792)</f>
        <v>0</v>
      </c>
      <c r="J793" s="161">
        <f t="shared" si="298"/>
        <v>0</v>
      </c>
      <c r="K793" s="161">
        <f t="shared" si="298"/>
        <v>47833.189495746519</v>
      </c>
      <c r="L793" s="161">
        <f t="shared" si="298"/>
        <v>0</v>
      </c>
      <c r="N793" s="159"/>
      <c r="O793" s="162"/>
      <c r="P793" s="162"/>
      <c r="Q793" s="156" t="str">
        <f t="shared" si="299"/>
        <v/>
      </c>
      <c r="R793" s="162"/>
      <c r="S793" s="156" t="str">
        <f t="shared" si="300"/>
        <v/>
      </c>
      <c r="T793" s="140" t="str">
        <f t="shared" ca="1" si="297"/>
        <v/>
      </c>
      <c r="U793" s="139" t="str">
        <f t="shared" si="294"/>
        <v/>
      </c>
      <c r="V793" s="139" t="str">
        <f t="shared" si="295"/>
        <v/>
      </c>
      <c r="W793" s="139" t="str">
        <f t="shared" si="296"/>
        <v/>
      </c>
      <c r="X793" s="327"/>
    </row>
    <row r="796" spans="1:24" ht="13.5" x14ac:dyDescent="0.25">
      <c r="F796" s="179"/>
      <c r="G796" s="179"/>
      <c r="H796" s="179"/>
      <c r="J796" s="180"/>
      <c r="K796" s="180"/>
      <c r="L796" s="180"/>
    </row>
    <row r="798" spans="1:24" x14ac:dyDescent="0.25">
      <c r="F798" s="181"/>
    </row>
  </sheetData>
  <mergeCells count="2">
    <mergeCell ref="P3:Q3"/>
    <mergeCell ref="R3:S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R26"/>
  <sheetViews>
    <sheetView topLeftCell="A16" zoomScale="90" zoomScaleNormal="90" workbookViewId="0">
      <selection activeCell="Q30" sqref="Q30"/>
    </sheetView>
  </sheetViews>
  <sheetFormatPr defaultColWidth="9.140625" defaultRowHeight="15" x14ac:dyDescent="0.25"/>
  <cols>
    <col min="1" max="1" width="2.140625" style="78" customWidth="1"/>
    <col min="2" max="2" width="15.7109375" style="78" customWidth="1"/>
    <col min="3" max="3" width="12.5703125" style="78" customWidth="1"/>
    <col min="4" max="15" width="12.7109375" style="78" customWidth="1"/>
    <col min="16" max="16" width="1" style="78" customWidth="1"/>
    <col min="17" max="17" width="18.5703125" style="82" customWidth="1"/>
    <col min="18" max="16384" width="9.140625" style="78"/>
  </cols>
  <sheetData>
    <row r="2" spans="2:18" s="79" customFormat="1" x14ac:dyDescent="0.25">
      <c r="C2" s="79">
        <v>43465</v>
      </c>
      <c r="D2" s="79">
        <v>43466</v>
      </c>
      <c r="E2" s="79">
        <v>43497</v>
      </c>
      <c r="F2" s="79">
        <v>43525</v>
      </c>
      <c r="G2" s="79">
        <v>43556</v>
      </c>
      <c r="H2" s="79">
        <v>43586</v>
      </c>
      <c r="I2" s="79">
        <v>43617</v>
      </c>
      <c r="J2" s="79">
        <v>43647</v>
      </c>
      <c r="K2" s="79">
        <v>43678</v>
      </c>
      <c r="L2" s="79">
        <v>43709</v>
      </c>
      <c r="M2" s="79">
        <v>43739</v>
      </c>
      <c r="N2" s="79">
        <v>43770</v>
      </c>
      <c r="O2" s="79">
        <v>43800</v>
      </c>
    </row>
    <row r="3" spans="2:18" s="79" customFormat="1" x14ac:dyDescent="0.25">
      <c r="C3" s="93">
        <v>2018</v>
      </c>
      <c r="D3" s="79" t="s">
        <v>226</v>
      </c>
      <c r="E3" s="79" t="s">
        <v>227</v>
      </c>
      <c r="F3" s="79" t="s">
        <v>228</v>
      </c>
      <c r="G3" s="79" t="s">
        <v>229</v>
      </c>
      <c r="H3" s="79" t="s">
        <v>230</v>
      </c>
      <c r="I3" s="79" t="s">
        <v>231</v>
      </c>
      <c r="J3" s="79" t="s">
        <v>232</v>
      </c>
      <c r="K3" s="79" t="s">
        <v>233</v>
      </c>
      <c r="L3" s="79" t="s">
        <v>234</v>
      </c>
      <c r="M3" s="79" t="s">
        <v>235</v>
      </c>
      <c r="N3" s="79" t="s">
        <v>236</v>
      </c>
      <c r="O3" s="79" t="s">
        <v>225</v>
      </c>
    </row>
    <row r="4" spans="2:18" s="79" customFormat="1" x14ac:dyDescent="0.25"/>
    <row r="5" spans="2:18" x14ac:dyDescent="0.25">
      <c r="B5" s="78" t="s">
        <v>104</v>
      </c>
      <c r="C5" s="80">
        <f>SUMIF('Funding 2019'!$AB$5:$AB$119,Graph!C2,'Funding 2019'!$N$5:$N$119)</f>
        <v>1450000</v>
      </c>
      <c r="D5" s="80">
        <f>SUMIF('Funding 2019'!$AB$5:$AB$119,Graph!D2,'Funding 2019'!$N$5:$N$119)</f>
        <v>227021.07076923075</v>
      </c>
      <c r="E5" s="80">
        <f>SUMIF('Funding 2019'!$AB$5:$AB$119,Graph!E2,'Funding 2019'!$N$5:$N$119)</f>
        <v>469350.93302637368</v>
      </c>
      <c r="F5" s="80">
        <f>SUMIF('Funding 2019'!$AB$5:$AB$119,Graph!F2,'Funding 2019'!$N$5:$N$119)</f>
        <v>334796</v>
      </c>
      <c r="G5" s="80">
        <f>SUMIF('Funding 2019'!$AB$5:$AB$119,Graph!G2,'Funding 2019'!$N$5:$N$119)</f>
        <v>89180.387000000002</v>
      </c>
      <c r="H5" s="80">
        <f>SUMIF('Funding 2019'!$AB$5:$AB$119,Graph!H2,'Funding 2019'!$N$5:$N$119)</f>
        <v>730174</v>
      </c>
      <c r="I5" s="80">
        <f>SUMIF('Funding 2019'!$AB$5:$AB$119,Graph!I2,'Funding 2019'!$N$5:$N$119)</f>
        <v>290040</v>
      </c>
      <c r="J5" s="80">
        <f>SUMIF('Funding 2019'!$AB$5:$AB$119,Graph!J2,'Funding 2019'!$N$5:$N$119)</f>
        <v>843405</v>
      </c>
      <c r="K5" s="80">
        <f>SUMIF('Funding 2019'!$AB$5:$AB$119,Graph!K2,'Funding 2019'!$N$5:$N$119)</f>
        <v>807290</v>
      </c>
      <c r="L5" s="80">
        <f>SUMIF('Funding 2019'!$AB$5:$AB$119,Graph!L2,'Funding 2019'!$N$5:$N$119)</f>
        <v>374817</v>
      </c>
      <c r="M5" s="80">
        <f>SUMIF('Funding 2019'!$AB$5:$AB$119,Graph!M2,'Funding 2019'!$N$5:$N$119)</f>
        <v>368000</v>
      </c>
      <c r="N5" s="80">
        <f>SUMIF('Funding 2019'!$AB$5:$AB$119,Graph!N2,'Funding 2019'!$N$5:$N$119)</f>
        <v>100000</v>
      </c>
      <c r="O5" s="80">
        <f>SUMIF('Funding 2019'!$AB$5:$AB$119,Graph!O2,'Funding 2019'!$N$5:$N$119)</f>
        <v>0</v>
      </c>
      <c r="Q5" s="290">
        <f>SUM(C5:O5)</f>
        <v>6084074.3907956053</v>
      </c>
    </row>
    <row r="6" spans="2:18" x14ac:dyDescent="0.25">
      <c r="B6" s="82" t="s">
        <v>221</v>
      </c>
      <c r="C6" s="92">
        <f>C5</f>
        <v>1450000</v>
      </c>
      <c r="D6" s="92">
        <f>C6+D5</f>
        <v>1677021.0707692308</v>
      </c>
      <c r="E6" s="92">
        <f t="shared" ref="E6:O6" si="0">D6+E5</f>
        <v>2146372.0037956047</v>
      </c>
      <c r="F6" s="92">
        <f t="shared" si="0"/>
        <v>2481168.0037956047</v>
      </c>
      <c r="G6" s="92">
        <f t="shared" si="0"/>
        <v>2570348.3907956048</v>
      </c>
      <c r="H6" s="92">
        <f t="shared" si="0"/>
        <v>3300522.3907956048</v>
      </c>
      <c r="I6" s="92">
        <f t="shared" si="0"/>
        <v>3590562.3907956048</v>
      </c>
      <c r="J6" s="92">
        <f t="shared" si="0"/>
        <v>4433967.3907956053</v>
      </c>
      <c r="K6" s="92">
        <f t="shared" si="0"/>
        <v>5241257.3907956053</v>
      </c>
      <c r="L6" s="92">
        <f t="shared" si="0"/>
        <v>5616074.3907956053</v>
      </c>
      <c r="M6" s="92">
        <f t="shared" si="0"/>
        <v>5984074.3907956053</v>
      </c>
      <c r="N6" s="92">
        <f>M6+N5</f>
        <v>6084074.3907956053</v>
      </c>
      <c r="O6" s="92">
        <f t="shared" si="0"/>
        <v>6084074.3907956053</v>
      </c>
      <c r="Q6" s="290"/>
    </row>
    <row r="7" spans="2:18" x14ac:dyDescent="0.25">
      <c r="B7" s="82"/>
      <c r="C7" s="92">
        <f>C6/1000</f>
        <v>1450</v>
      </c>
      <c r="D7" s="92">
        <f t="shared" ref="D7:O7" si="1">D6/1000</f>
        <v>1677.0210707692308</v>
      </c>
      <c r="E7" s="92">
        <f t="shared" si="1"/>
        <v>2146.3720037956045</v>
      </c>
      <c r="F7" s="92">
        <f t="shared" si="1"/>
        <v>2481.1680037956048</v>
      </c>
      <c r="G7" s="92">
        <f t="shared" si="1"/>
        <v>2570.3483907956047</v>
      </c>
      <c r="H7" s="92">
        <f t="shared" si="1"/>
        <v>3300.5223907956047</v>
      </c>
      <c r="I7" s="92">
        <f>I6/1000</f>
        <v>3590.5623907956046</v>
      </c>
      <c r="J7" s="92">
        <f t="shared" si="1"/>
        <v>4433.9673907956048</v>
      </c>
      <c r="K7" s="92">
        <f>K6/1000</f>
        <v>5241.2573907956048</v>
      </c>
      <c r="L7" s="92">
        <f t="shared" si="1"/>
        <v>5616.0743907956048</v>
      </c>
      <c r="M7" s="92">
        <f t="shared" si="1"/>
        <v>5984.0743907956048</v>
      </c>
      <c r="N7" s="92">
        <f t="shared" si="1"/>
        <v>6084.0743907956048</v>
      </c>
      <c r="O7" s="92">
        <f t="shared" si="1"/>
        <v>6084.0743907956048</v>
      </c>
      <c r="Q7" s="290"/>
    </row>
    <row r="8" spans="2:18" x14ac:dyDescent="0.25">
      <c r="Q8" s="290"/>
    </row>
    <row r="9" spans="2:18" x14ac:dyDescent="0.25">
      <c r="B9" s="78" t="s">
        <v>67</v>
      </c>
      <c r="C9" s="80">
        <f>SUMIF('PR List 2019'!$Q$4:$Q$793,Graph!C2,'PR List 2019'!$J$4:$J$793)</f>
        <v>0</v>
      </c>
      <c r="D9" s="80">
        <f>SUMIF('PR List 2019'!$Q$4:$Q$793,Graph!D2,'PR List 2019'!$J$4:$J$793)</f>
        <v>0</v>
      </c>
      <c r="E9" s="80">
        <f>SUMIF('PR List 2019'!$Q$4:$Q$793,Graph!E2,'PR List 2019'!$J$4:$J$793)</f>
        <v>0</v>
      </c>
      <c r="F9" s="80">
        <f>SUMIF('PR List 2019'!$Q$4:$Q$793,Graph!F2,'PR List 2019'!$J$4:$J$793)</f>
        <v>1849.3404019233139</v>
      </c>
      <c r="G9" s="80">
        <f>SUMIF('PR List 2019'!$Q$4:$Q$793,Graph!G2,'PR List 2019'!$J$4:$J$793)</f>
        <v>1868.8973616076933</v>
      </c>
      <c r="H9" s="80">
        <f>SUMIF('PR List 2019'!$Q$4:$Q$793,Graph!H2,'PR List 2019'!$J$4:$J$793)</f>
        <v>1644.2234619652324</v>
      </c>
      <c r="I9" s="80">
        <f>SUMIF('PR List 2019'!$Q$4:$Q$793,Graph!I2,'PR List 2019'!$J$4:$J$793)</f>
        <v>500.55480212057699</v>
      </c>
      <c r="J9" s="80">
        <f>SUMIF('PR List 2019'!$Q$4:$Q$793,Graph!J2,'PR List 2019'!$J$4:$J$793)</f>
        <v>10045.000678091481</v>
      </c>
      <c r="K9" s="80">
        <f>SUMIF('PR List 2019'!$Q$4:$Q$793,Graph!K2,'PR List 2019'!$J$4:$J$793)</f>
        <v>2611.7344347182834</v>
      </c>
      <c r="L9" s="80">
        <f>SUMIF('PR List 2019'!$Q$4:$Q$793,Graph!L2,'PR List 2019'!$J$4:$J$793)</f>
        <v>202773.31845641724</v>
      </c>
      <c r="M9" s="80">
        <f>SUMIF('PR List 2019'!$Q$4:$Q$793,Graph!M2,'PR List 2019'!$J$4:$J$793)</f>
        <v>396427.66489951918</v>
      </c>
      <c r="N9" s="80">
        <f>SUMIF('PR List 2019'!$Q$4:$Q$793,Graph!N2,'PR List 2019'!$J$4:$J$793)</f>
        <v>118848.81353100728</v>
      </c>
      <c r="O9" s="91">
        <f>SUMIF('PR List 2019'!$Q$4:$Q$793,Graph!O2,'PR List 2019'!$J$4:$J$793)</f>
        <v>0</v>
      </c>
      <c r="Q9" s="291">
        <f>SUM(C9:O9)</f>
        <v>736569.54802737024</v>
      </c>
      <c r="R9" s="94">
        <f>Q9/$Q$5</f>
        <v>0.12106517782585005</v>
      </c>
    </row>
    <row r="10" spans="2:18" x14ac:dyDescent="0.25">
      <c r="B10" s="82" t="s">
        <v>222</v>
      </c>
      <c r="C10" s="92">
        <f>C9</f>
        <v>0</v>
      </c>
      <c r="D10" s="92">
        <f t="shared" ref="D10:L10" si="2">C10+D9</f>
        <v>0</v>
      </c>
      <c r="E10" s="92">
        <f t="shared" si="2"/>
        <v>0</v>
      </c>
      <c r="F10" s="92">
        <f t="shared" si="2"/>
        <v>1849.3404019233139</v>
      </c>
      <c r="G10" s="92">
        <f t="shared" si="2"/>
        <v>3718.2377635310072</v>
      </c>
      <c r="H10" s="92">
        <f t="shared" si="2"/>
        <v>5362.4612254962394</v>
      </c>
      <c r="I10" s="92">
        <f t="shared" si="2"/>
        <v>5863.0160276168162</v>
      </c>
      <c r="J10" s="92">
        <f t="shared" si="2"/>
        <v>15908.016705708298</v>
      </c>
      <c r="K10" s="92">
        <f t="shared" si="2"/>
        <v>18519.751140426582</v>
      </c>
      <c r="L10" s="92">
        <f t="shared" si="2"/>
        <v>221293.06959684382</v>
      </c>
      <c r="M10" s="92">
        <f>L10+M9</f>
        <v>617720.73449636297</v>
      </c>
      <c r="N10" s="92">
        <f>M10+N9</f>
        <v>736569.54802737024</v>
      </c>
      <c r="O10" s="92"/>
      <c r="Q10" s="291"/>
      <c r="R10" s="94"/>
    </row>
    <row r="11" spans="2:18" s="80" customFormat="1" x14ac:dyDescent="0.25">
      <c r="B11" s="92"/>
      <c r="C11" s="92">
        <f>C10/1000</f>
        <v>0</v>
      </c>
      <c r="D11" s="92">
        <f t="shared" ref="D11:O11" si="3">D10/1000</f>
        <v>0</v>
      </c>
      <c r="E11" s="92">
        <f t="shared" si="3"/>
        <v>0</v>
      </c>
      <c r="F11" s="92">
        <f t="shared" si="3"/>
        <v>1.8493404019233139</v>
      </c>
      <c r="G11" s="92">
        <f t="shared" si="3"/>
        <v>3.7182377635310071</v>
      </c>
      <c r="H11" s="92">
        <f t="shared" si="3"/>
        <v>5.3624612254962392</v>
      </c>
      <c r="I11" s="92">
        <f t="shared" si="3"/>
        <v>5.8630160276168164</v>
      </c>
      <c r="J11" s="92">
        <f t="shared" si="3"/>
        <v>15.908016705708299</v>
      </c>
      <c r="K11" s="92">
        <f>K10/1000</f>
        <v>18.519751140426582</v>
      </c>
      <c r="L11" s="92">
        <f>L10/1000</f>
        <v>221.29306959684382</v>
      </c>
      <c r="M11" s="92">
        <f>M10/1000</f>
        <v>617.72073449636298</v>
      </c>
      <c r="N11" s="92">
        <f t="shared" si="3"/>
        <v>736.56954802737027</v>
      </c>
      <c r="O11" s="92">
        <f t="shared" si="3"/>
        <v>0</v>
      </c>
      <c r="Q11" s="291"/>
    </row>
    <row r="12" spans="2:18" x14ac:dyDescent="0.25">
      <c r="B12" s="8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Q12" s="291"/>
      <c r="R12" s="94"/>
    </row>
    <row r="13" spans="2:18" x14ac:dyDescent="0.25">
      <c r="B13" s="78" t="s">
        <v>68</v>
      </c>
      <c r="C13" s="80">
        <f>SUMIF('PR List 2019'!$Q$4:$Q$793,Graph!C2,'PR List 2019'!$K$4:$K$793)</f>
        <v>70179.940821107142</v>
      </c>
      <c r="D13" s="80">
        <f>SUMIF('PR List 2019'!$Q$4:$Q$793,Graph!D2,'PR List 2019'!$K$4:$K$793)</f>
        <v>1199.6885710763163</v>
      </c>
      <c r="E13" s="80">
        <f>SUMIF('PR List 2019'!$Q$4:$Q$793,Graph!E2,'PR List 2019'!$K$4:$K$793)</f>
        <v>58073.357169276293</v>
      </c>
      <c r="F13" s="80">
        <f>SUMIF('PR List 2019'!$Q$4:$Q$793,Graph!F2,'PR List 2019'!$K$4:$K$793)</f>
        <v>0</v>
      </c>
      <c r="G13" s="80">
        <f>SUMIF('PR List 2019'!$Q$4:$Q$793,Graph!G2,'PR List 2019'!$K$4:$K$793)</f>
        <v>285773.58975465415</v>
      </c>
      <c r="H13" s="80">
        <f>SUMIF('PR List 2019'!$Q$4:$Q$793,Graph!H2,'PR List 2019'!$K$4:$K$793)</f>
        <v>26685.427197632845</v>
      </c>
      <c r="I13" s="80">
        <f>SUMIF('PR List 2019'!$Q$4:$Q$793,Graph!I2,'PR List 2019'!$K$4:$K$793)</f>
        <v>287081.72568117373</v>
      </c>
      <c r="J13" s="80">
        <f>SUMIF('PR List 2019'!$Q$4:$Q$793,Graph!J2,'PR List 2019'!$K$4:$K$793)</f>
        <v>362946.44982123049</v>
      </c>
      <c r="K13" s="80">
        <f>SUMIF('PR List 2019'!$Q$4:$Q$793,Graph!K2,'PR List 2019'!$K$4:$K$793)</f>
        <v>269539.86425841448</v>
      </c>
      <c r="L13" s="80">
        <f>SUMIF('PR List 2019'!$Q$4:$Q$793,Graph!L2,'PR List 2019'!$K$4:$K$793)</f>
        <v>139275.63586487484</v>
      </c>
      <c r="M13" s="80">
        <f>SUMIF('PR List 2019'!$Q$4:$Q$793,Graph!M2,'PR List 2019'!$K$4:$K$793)</f>
        <v>156428.17598323265</v>
      </c>
      <c r="N13" s="80">
        <f>SUMIF('PR List 2019'!$Q$4:$Q$793,Graph!N2,'PR List 2019'!$K$4:$K$793)</f>
        <v>0</v>
      </c>
      <c r="O13" s="80">
        <f>SUMIF('PR List 2019'!$Q$4:$Q$793,Graph!O2,'PR List 2019'!$K$4:$K$793)</f>
        <v>0</v>
      </c>
      <c r="Q13" s="291">
        <f>SUM(C13:O13)</f>
        <v>1657183.8551226731</v>
      </c>
      <c r="R13" s="94">
        <f>Q13/$Q$5</f>
        <v>0.2723806036345926</v>
      </c>
    </row>
    <row r="14" spans="2:18" x14ac:dyDescent="0.25">
      <c r="B14" s="82" t="s">
        <v>223</v>
      </c>
      <c r="C14" s="92">
        <f>C13</f>
        <v>70179.940821107142</v>
      </c>
      <c r="D14" s="92">
        <f t="shared" ref="D14:N14" si="4">C14+D13</f>
        <v>71379.629392183459</v>
      </c>
      <c r="E14" s="92">
        <f t="shared" si="4"/>
        <v>129452.98656145975</v>
      </c>
      <c r="F14" s="92">
        <f t="shared" si="4"/>
        <v>129452.98656145975</v>
      </c>
      <c r="G14" s="92">
        <f t="shared" si="4"/>
        <v>415226.57631611393</v>
      </c>
      <c r="H14" s="92">
        <f t="shared" si="4"/>
        <v>441912.00351374678</v>
      </c>
      <c r="I14" s="92">
        <f t="shared" si="4"/>
        <v>728993.72919492051</v>
      </c>
      <c r="J14" s="92">
        <f t="shared" si="4"/>
        <v>1091940.179016151</v>
      </c>
      <c r="K14" s="92">
        <f t="shared" si="4"/>
        <v>1361480.0432745656</v>
      </c>
      <c r="L14" s="92">
        <f t="shared" si="4"/>
        <v>1500755.6791394404</v>
      </c>
      <c r="M14" s="92">
        <f t="shared" si="4"/>
        <v>1657183.8551226731</v>
      </c>
      <c r="N14" s="92">
        <f t="shared" si="4"/>
        <v>1657183.8551226731</v>
      </c>
      <c r="O14" s="92"/>
      <c r="Q14" s="291"/>
      <c r="R14" s="94"/>
    </row>
    <row r="15" spans="2:18" s="80" customFormat="1" x14ac:dyDescent="0.25">
      <c r="B15" s="92"/>
      <c r="C15" s="92">
        <f>C14/1000</f>
        <v>70.179940821107138</v>
      </c>
      <c r="D15" s="92">
        <f t="shared" ref="D15:O15" si="5">D14/1000</f>
        <v>71.37962939218346</v>
      </c>
      <c r="E15" s="92">
        <f t="shared" si="5"/>
        <v>129.45298656145974</v>
      </c>
      <c r="F15" s="92">
        <f t="shared" si="5"/>
        <v>129.45298656145974</v>
      </c>
      <c r="G15" s="92">
        <f t="shared" si="5"/>
        <v>415.22657631611395</v>
      </c>
      <c r="H15" s="92">
        <f t="shared" si="5"/>
        <v>441.91200351374675</v>
      </c>
      <c r="I15" s="92">
        <f t="shared" si="5"/>
        <v>728.99372919492055</v>
      </c>
      <c r="J15" s="92">
        <f t="shared" si="5"/>
        <v>1091.940179016151</v>
      </c>
      <c r="K15" s="92">
        <f>K14/1000</f>
        <v>1361.4800432745656</v>
      </c>
      <c r="L15" s="92">
        <f>L14/1000</f>
        <v>1500.7556791394404</v>
      </c>
      <c r="M15" s="92">
        <f>M14/1000</f>
        <v>1657.1838551226731</v>
      </c>
      <c r="N15" s="92">
        <f>N14/1000</f>
        <v>1657.1838551226731</v>
      </c>
      <c r="O15" s="92">
        <f t="shared" si="5"/>
        <v>0</v>
      </c>
      <c r="Q15" s="291"/>
    </row>
    <row r="16" spans="2:18" x14ac:dyDescent="0.25">
      <c r="B16" s="8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Q16" s="291"/>
      <c r="R16" s="94"/>
    </row>
    <row r="17" spans="2:18" x14ac:dyDescent="0.25">
      <c r="B17" s="78" t="s">
        <v>69</v>
      </c>
      <c r="C17" s="80">
        <f>SUMIF('PR List 2019'!$S$4:$S$793,Graph!C2,'PR List 2019'!$L$4:$L$793)</f>
        <v>0</v>
      </c>
      <c r="D17" s="80">
        <f>SUMIF('PR List 2019'!$S$4:$S$793,Graph!D2,'PR List 2019'!$L$4:$L$793)</f>
        <v>31496.469609172727</v>
      </c>
      <c r="E17" s="80">
        <f>SUMIF('PR List 2019'!$S$4:$S$793,Graph!E2,'PR List 2019'!$L$4:$L$793)</f>
        <v>214652.7105782271</v>
      </c>
      <c r="F17" s="80">
        <f>SUMIF('PR List 2019'!$S$4:$S$793,Graph!F2,'PR List 2019'!$L$4:$L$793)</f>
        <v>296437.19861915911</v>
      </c>
      <c r="G17" s="80">
        <f>SUMIF('PR List 2019'!$S$4:$S$793,Graph!G2,'PR List 2019'!$L$4:$L$793)</f>
        <v>263994.30686721735</v>
      </c>
      <c r="H17" s="80">
        <f>SUMIF('PR List 2019'!$S$4:$S$793,Graph!H2,'PR List 2019'!$L$4:$L$793)</f>
        <v>340767.52250030829</v>
      </c>
      <c r="I17" s="80">
        <f>SUMIF('PR List 2019'!$S$4:$S$793,Graph!I2,'PR List 2019'!$L$4:$L$793)</f>
        <v>465265.75502404146</v>
      </c>
      <c r="J17" s="80">
        <f>SUMIF('PR List 2019'!$S$4:$S$793,Graph!J2,'PR List 2019'!$L$4:$L$793)</f>
        <v>275128.66724201699</v>
      </c>
      <c r="K17" s="80">
        <f>SUMIF('PR List 2019'!$S$4:$S$793,Graph!K2,'PR List 2019'!$L$4:$L$793)</f>
        <v>328116.8764024165</v>
      </c>
      <c r="L17" s="80">
        <f>SUMIF('PR List 2019'!$S$4:$S$793,Graph!L2,'PR List 2019'!$L$4:$L$793)</f>
        <v>169942.75360621381</v>
      </c>
      <c r="M17" s="80">
        <f>SUMIF('PR List 2019'!$S$4:$S$793,Graph!M2,'PR List 2019'!$L$4:$L$793)</f>
        <v>1065761.9996301325</v>
      </c>
      <c r="N17" s="80">
        <f>SUMIF('PR List 2019'!$S$4:$S$793,Graph!N2,'PR List 2019'!$L$4:$L$793)</f>
        <v>0</v>
      </c>
      <c r="O17" s="80">
        <f>SUMIF('PR List 2019'!$R$4:$R$793,Graph!O2,'PR List 2019'!$L$4:$L$793)</f>
        <v>0</v>
      </c>
      <c r="Q17" s="291">
        <f>SUM(C17:O17)</f>
        <v>3451564.2600789052</v>
      </c>
      <c r="R17" s="94">
        <f>Q17/$Q$5</f>
        <v>0.56731131777426369</v>
      </c>
    </row>
    <row r="18" spans="2:18" x14ac:dyDescent="0.25">
      <c r="B18" s="82" t="s">
        <v>224</v>
      </c>
      <c r="C18" s="81">
        <f>C17</f>
        <v>0</v>
      </c>
      <c r="D18" s="81">
        <f t="shared" ref="D18:N18" si="6">C18+D17</f>
        <v>31496.469609172727</v>
      </c>
      <c r="E18" s="81">
        <f t="shared" si="6"/>
        <v>246149.18018739982</v>
      </c>
      <c r="F18" s="81">
        <f t="shared" si="6"/>
        <v>542586.3788065589</v>
      </c>
      <c r="G18" s="81">
        <f t="shared" si="6"/>
        <v>806580.68567377632</v>
      </c>
      <c r="H18" s="81">
        <f t="shared" si="6"/>
        <v>1147348.2081740845</v>
      </c>
      <c r="I18" s="81">
        <f t="shared" si="6"/>
        <v>1612613.9631981261</v>
      </c>
      <c r="J18" s="81">
        <f t="shared" si="6"/>
        <v>1887742.6304401429</v>
      </c>
      <c r="K18" s="81">
        <f t="shared" si="6"/>
        <v>2215859.5068425592</v>
      </c>
      <c r="L18" s="81">
        <f t="shared" si="6"/>
        <v>2385802.2604487729</v>
      </c>
      <c r="M18" s="81">
        <f t="shared" si="6"/>
        <v>3451564.2600789052</v>
      </c>
      <c r="N18" s="81">
        <f t="shared" si="6"/>
        <v>3451564.2600789052</v>
      </c>
      <c r="O18" s="81"/>
    </row>
    <row r="19" spans="2:18" s="80" customFormat="1" x14ac:dyDescent="0.25">
      <c r="B19" s="92"/>
      <c r="C19" s="92" t="s">
        <v>631</v>
      </c>
      <c r="D19" s="92">
        <f t="shared" ref="D19:O19" si="7">D18/1000</f>
        <v>31.496469609172728</v>
      </c>
      <c r="E19" s="92">
        <f t="shared" si="7"/>
        <v>246.14918018739982</v>
      </c>
      <c r="F19" s="92">
        <f t="shared" si="7"/>
        <v>542.58637880655886</v>
      </c>
      <c r="G19" s="92">
        <f t="shared" si="7"/>
        <v>806.58068567377632</v>
      </c>
      <c r="H19" s="92">
        <f t="shared" si="7"/>
        <v>1147.3482081740844</v>
      </c>
      <c r="I19" s="92">
        <f t="shared" si="7"/>
        <v>1612.6139631981262</v>
      </c>
      <c r="J19" s="92">
        <f t="shared" si="7"/>
        <v>1887.7426304401429</v>
      </c>
      <c r="K19" s="92">
        <f t="shared" si="7"/>
        <v>2215.8595068425593</v>
      </c>
      <c r="L19" s="92">
        <f>L18/1000</f>
        <v>2385.8022604487728</v>
      </c>
      <c r="M19" s="92">
        <f>M18/1000</f>
        <v>3451.5642600789051</v>
      </c>
      <c r="N19" s="92">
        <f>N18/1000</f>
        <v>3451.5642600789051</v>
      </c>
      <c r="O19" s="92">
        <f t="shared" si="7"/>
        <v>0</v>
      </c>
      <c r="Q19" s="92"/>
    </row>
    <row r="21" spans="2:18" ht="15.75" x14ac:dyDescent="0.25">
      <c r="C21" s="97">
        <f>C10+C14+C18</f>
        <v>70179.940821107142</v>
      </c>
      <c r="D21" s="97">
        <f t="shared" ref="D21:O21" si="8">D10+D14+D18</f>
        <v>102876.09900135618</v>
      </c>
      <c r="E21" s="97">
        <f t="shared" si="8"/>
        <v>375602.16674885957</v>
      </c>
      <c r="F21" s="97">
        <f t="shared" si="8"/>
        <v>673888.70576994191</v>
      </c>
      <c r="G21" s="97">
        <f t="shared" si="8"/>
        <v>1225525.4997534212</v>
      </c>
      <c r="H21" s="97">
        <f t="shared" si="8"/>
        <v>1594622.6729133276</v>
      </c>
      <c r="I21" s="97">
        <f>I10+I14+I18</f>
        <v>2347470.7084206631</v>
      </c>
      <c r="J21" s="97">
        <f t="shared" si="8"/>
        <v>2995590.826162002</v>
      </c>
      <c r="K21" s="97">
        <f t="shared" si="8"/>
        <v>3595859.3012575516</v>
      </c>
      <c r="L21" s="97">
        <f t="shared" si="8"/>
        <v>4107851.0091850571</v>
      </c>
      <c r="M21" s="97">
        <f t="shared" si="8"/>
        <v>5726468.849697941</v>
      </c>
      <c r="N21" s="97">
        <f t="shared" si="8"/>
        <v>5845317.6632289486</v>
      </c>
      <c r="O21" s="97">
        <f t="shared" si="8"/>
        <v>0</v>
      </c>
      <c r="Q21" s="290">
        <f>Q5-SUM(Q17,Q13,Q9)</f>
        <v>238756.72756665666</v>
      </c>
    </row>
    <row r="22" spans="2:18" x14ac:dyDescent="0.25">
      <c r="C22" s="98">
        <f t="shared" ref="C22:H22" si="9">C21/$Q$5</f>
        <v>1.1535023458503409E-2</v>
      </c>
      <c r="D22" s="98">
        <f t="shared" si="9"/>
        <v>1.6909079737255354E-2</v>
      </c>
      <c r="E22" s="98">
        <f t="shared" si="9"/>
        <v>6.1735301481042976E-2</v>
      </c>
      <c r="F22" s="98">
        <f t="shared" si="9"/>
        <v>0.11076273274854197</v>
      </c>
      <c r="G22" s="98">
        <f t="shared" si="9"/>
        <v>0.20143170859440479</v>
      </c>
      <c r="H22" s="98">
        <f t="shared" si="9"/>
        <v>0.26209782630629558</v>
      </c>
      <c r="I22" s="98">
        <f>I21/$Q$5</f>
        <v>0.38583859394817294</v>
      </c>
      <c r="J22" s="98">
        <f t="shared" ref="J22:O22" si="10">J21/$Q$5</f>
        <v>0.49236591036656818</v>
      </c>
      <c r="K22" s="98">
        <f t="shared" si="10"/>
        <v>0.59102816144023618</v>
      </c>
      <c r="L22" s="98">
        <f t="shared" si="10"/>
        <v>0.67518093062762163</v>
      </c>
      <c r="M22" s="98">
        <f t="shared" si="10"/>
        <v>0.94122268760574757</v>
      </c>
      <c r="N22" s="98">
        <f t="shared" si="10"/>
        <v>0.96075709923470631</v>
      </c>
      <c r="O22" s="98">
        <f t="shared" si="10"/>
        <v>0</v>
      </c>
    </row>
    <row r="23" spans="2:18" x14ac:dyDescent="0.25">
      <c r="C23" s="95">
        <f>($O$6-C21)/1000</f>
        <v>6013.8944499744975</v>
      </c>
      <c r="D23" s="95">
        <f t="shared" ref="D23:N23" si="11">($O$6-D21)/1000</f>
        <v>5981.1982917942487</v>
      </c>
      <c r="E23" s="95">
        <f t="shared" si="11"/>
        <v>5708.4722240467454</v>
      </c>
      <c r="F23" s="95">
        <f t="shared" si="11"/>
        <v>5410.1856850256627</v>
      </c>
      <c r="G23" s="95">
        <f t="shared" si="11"/>
        <v>4858.5488910421836</v>
      </c>
      <c r="H23" s="95">
        <f t="shared" si="11"/>
        <v>4489.4517178822771</v>
      </c>
      <c r="I23" s="95">
        <f t="shared" si="11"/>
        <v>3736.6036823749423</v>
      </c>
      <c r="J23" s="95">
        <f t="shared" si="11"/>
        <v>3088.4835646336032</v>
      </c>
      <c r="K23" s="95">
        <f t="shared" si="11"/>
        <v>2488.2150895380537</v>
      </c>
      <c r="L23" s="95">
        <f t="shared" si="11"/>
        <v>1976.2233816105481</v>
      </c>
      <c r="M23" s="95">
        <f t="shared" si="11"/>
        <v>357.60554109766429</v>
      </c>
      <c r="N23" s="95">
        <f t="shared" si="11"/>
        <v>238.75672756665665</v>
      </c>
      <c r="O23" s="95"/>
    </row>
    <row r="25" spans="2:18" x14ac:dyDescent="0.25">
      <c r="Q25" s="81"/>
    </row>
    <row r="26" spans="2:18" x14ac:dyDescent="0.25">
      <c r="Q26" s="28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31"/>
  <sheetViews>
    <sheetView showGridLines="0" topLeftCell="A10" zoomScale="115" zoomScaleNormal="115" workbookViewId="0">
      <selection activeCell="O16" sqref="O16"/>
    </sheetView>
  </sheetViews>
  <sheetFormatPr defaultColWidth="9.140625" defaultRowHeight="15" x14ac:dyDescent="0.25"/>
  <cols>
    <col min="1" max="1" width="4.5703125" style="116" customWidth="1"/>
    <col min="2" max="2" width="14.5703125" style="116" customWidth="1"/>
    <col min="3" max="3" width="5.140625" style="116" customWidth="1"/>
    <col min="4" max="4" width="10.42578125" style="116" bestFit="1" customWidth="1"/>
    <col min="5" max="5" width="9.7109375" style="116" customWidth="1"/>
    <col min="6" max="7" width="7.7109375" style="116" bestFit="1" customWidth="1"/>
    <col min="8" max="8" width="13" style="116" customWidth="1"/>
    <col min="9" max="9" width="12.5703125" style="116" customWidth="1"/>
    <col min="10" max="10" width="9.7109375" style="116" bestFit="1" customWidth="1"/>
    <col min="11" max="16384" width="9.140625" style="116"/>
  </cols>
  <sheetData>
    <row r="1" spans="1:11" ht="19.5" customHeight="1" thickBot="1" x14ac:dyDescent="0.3"/>
    <row r="2" spans="1:11" ht="23.25" customHeight="1" thickBot="1" x14ac:dyDescent="0.3">
      <c r="A2" s="117"/>
      <c r="B2" s="138" t="s">
        <v>569</v>
      </c>
      <c r="C2" s="118"/>
      <c r="D2" s="119" t="s">
        <v>553</v>
      </c>
      <c r="E2" s="371" t="s">
        <v>67</v>
      </c>
      <c r="F2" s="371" t="s">
        <v>68</v>
      </c>
      <c r="G2" s="371" t="s">
        <v>554</v>
      </c>
      <c r="H2" s="119" t="s">
        <v>603</v>
      </c>
      <c r="I2" s="119" t="s">
        <v>555</v>
      </c>
      <c r="J2" s="117"/>
      <c r="K2" s="117"/>
    </row>
    <row r="3" spans="1:11" ht="18" customHeight="1" thickBot="1" x14ac:dyDescent="0.3">
      <c r="A3" s="120"/>
      <c r="B3" s="121" t="s">
        <v>556</v>
      </c>
      <c r="C3" s="122" t="s">
        <v>570</v>
      </c>
      <c r="D3" s="123">
        <f>'Funding 2019'!V7+'Funding 2019'!V49</f>
        <v>282000.38922442147</v>
      </c>
      <c r="E3" s="186">
        <f>'Funding 2019'!W7+'Funding 2019'!W49</f>
        <v>0</v>
      </c>
      <c r="F3" s="186">
        <f>'Funding 2019'!X7+'Funding 2019'!X49</f>
        <v>259118.88922450991</v>
      </c>
      <c r="G3" s="186">
        <f>'Funding 2019'!Y7+'Funding 2019'!Y49</f>
        <v>16456.972013315251</v>
      </c>
      <c r="H3" s="124">
        <f>SUM(E3:G3)</f>
        <v>275575.86123782519</v>
      </c>
      <c r="I3" s="125">
        <f>D3-SUM(E3:G3)</f>
        <v>6424.5279865962802</v>
      </c>
      <c r="J3" s="126">
        <f t="shared" ref="J3:J10" si="0">1-(I3/D3)</f>
        <v>0.97721801730747426</v>
      </c>
      <c r="K3" s="120"/>
    </row>
    <row r="4" spans="1:11" ht="18" customHeight="1" thickBot="1" x14ac:dyDescent="0.3">
      <c r="A4" s="120"/>
      <c r="B4" s="121" t="s">
        <v>734</v>
      </c>
      <c r="C4" s="122" t="s">
        <v>570</v>
      </c>
      <c r="D4" s="123">
        <f>'Funding 2019'!V6</f>
        <v>0</v>
      </c>
      <c r="E4" s="186">
        <f>'Funding 2019'!W6</f>
        <v>0</v>
      </c>
      <c r="F4" s="186">
        <f>'Funding 2019'!X6</f>
        <v>0</v>
      </c>
      <c r="G4" s="186">
        <f>'Funding 2019'!Y6</f>
        <v>1959.0679324374307</v>
      </c>
      <c r="H4" s="124">
        <f>SUM(E4:G4)</f>
        <v>1959.0679324374307</v>
      </c>
      <c r="I4" s="125">
        <f>D4-SUM(E4:G4)</f>
        <v>-1959.0679324374307</v>
      </c>
      <c r="J4" s="126">
        <v>1</v>
      </c>
      <c r="K4" s="120"/>
    </row>
    <row r="5" spans="1:11" ht="18" customHeight="1" thickBot="1" x14ac:dyDescent="0.3">
      <c r="A5" s="120"/>
      <c r="B5" s="121" t="s">
        <v>530</v>
      </c>
      <c r="C5" s="122" t="s">
        <v>570</v>
      </c>
      <c r="D5" s="123">
        <f>'Funding 2019'!V18</f>
        <v>79996</v>
      </c>
      <c r="E5" s="186">
        <f>'Funding 2019'!W18</f>
        <v>1126.5565281716188</v>
      </c>
      <c r="F5" s="186">
        <f>'Funding 2019'!X18</f>
        <v>8077.9188756010353</v>
      </c>
      <c r="G5" s="186">
        <f>'Funding 2019'!Y18</f>
        <v>69780.298360251516</v>
      </c>
      <c r="H5" s="124">
        <f t="shared" ref="H5:H21" si="1">SUM(E5:G5)</f>
        <v>78984.773764024168</v>
      </c>
      <c r="I5" s="125">
        <f t="shared" ref="I5:I10" si="2">D5-SUM(E5:G5)</f>
        <v>1011.2262359758315</v>
      </c>
      <c r="J5" s="126">
        <f t="shared" si="0"/>
        <v>0.98735904000230224</v>
      </c>
      <c r="K5" s="120"/>
    </row>
    <row r="6" spans="1:11" ht="18" customHeight="1" thickBot="1" x14ac:dyDescent="0.3">
      <c r="A6" s="120"/>
      <c r="B6" s="121" t="s">
        <v>557</v>
      </c>
      <c r="C6" s="122" t="s">
        <v>570</v>
      </c>
      <c r="D6" s="123">
        <f>'Funding 2019'!V55</f>
        <v>117845.00000000001</v>
      </c>
      <c r="E6" s="186">
        <f>'Funding 2019'!W55</f>
        <v>1016.6517692023178</v>
      </c>
      <c r="F6" s="186">
        <f>'Funding 2019'!X55</f>
        <v>72471.182468252984</v>
      </c>
      <c r="G6" s="186">
        <f>'Funding 2019'!Y55</f>
        <v>18885.553445937614</v>
      </c>
      <c r="H6" s="124">
        <f t="shared" si="1"/>
        <v>92373.38768339291</v>
      </c>
      <c r="I6" s="125">
        <f t="shared" si="2"/>
        <v>25471.612316607105</v>
      </c>
      <c r="J6" s="126">
        <f t="shared" si="0"/>
        <v>0.78385495933975047</v>
      </c>
      <c r="K6" s="120"/>
    </row>
    <row r="7" spans="1:11" ht="18" customHeight="1" thickBot="1" x14ac:dyDescent="0.3">
      <c r="A7" s="120"/>
      <c r="B7" s="121" t="s">
        <v>14</v>
      </c>
      <c r="C7" s="122" t="s">
        <v>570</v>
      </c>
      <c r="D7" s="123">
        <f>'Funding 2019'!V70</f>
        <v>41366</v>
      </c>
      <c r="E7" s="186">
        <f>'Funding 2019'!W70</f>
        <v>924.67020096165697</v>
      </c>
      <c r="F7" s="186">
        <f>'Funding 2019'!X70</f>
        <v>11575.946245838984</v>
      </c>
      <c r="G7" s="186">
        <f>'Funding 2019'!Y70</f>
        <v>29940.734003205522</v>
      </c>
      <c r="H7" s="124">
        <f t="shared" si="1"/>
        <v>42441.350450006161</v>
      </c>
      <c r="I7" s="125">
        <f t="shared" si="2"/>
        <v>-1075.3504500061608</v>
      </c>
      <c r="J7" s="126">
        <f t="shared" si="0"/>
        <v>1.0259959979211468</v>
      </c>
      <c r="K7" s="120"/>
    </row>
    <row r="8" spans="1:11" ht="18" customHeight="1" thickBot="1" x14ac:dyDescent="0.3">
      <c r="A8" s="120"/>
      <c r="B8" s="121" t="s">
        <v>558</v>
      </c>
      <c r="C8" s="122" t="s">
        <v>570</v>
      </c>
      <c r="D8" s="123">
        <f>'Funding 2019'!V59</f>
        <v>42840</v>
      </c>
      <c r="E8" s="186">
        <f>'Funding 2019'!W59</f>
        <v>0</v>
      </c>
      <c r="F8" s="186">
        <f>'Funding 2019'!X59</f>
        <v>0</v>
      </c>
      <c r="G8" s="186">
        <f>'Funding 2019'!Y59</f>
        <v>43265.502095919124</v>
      </c>
      <c r="H8" s="124">
        <f t="shared" si="1"/>
        <v>43265.502095919124</v>
      </c>
      <c r="I8" s="125">
        <f t="shared" si="2"/>
        <v>-425.50209591912426</v>
      </c>
      <c r="J8" s="126">
        <f t="shared" si="0"/>
        <v>1.0099323551801849</v>
      </c>
      <c r="K8" s="120"/>
    </row>
    <row r="9" spans="1:11" ht="18" customHeight="1" thickBot="1" x14ac:dyDescent="0.3">
      <c r="A9" s="120"/>
      <c r="B9" s="121" t="s">
        <v>559</v>
      </c>
      <c r="C9" s="122" t="s">
        <v>570</v>
      </c>
      <c r="D9" s="123">
        <f>'Funding 2019'!V39</f>
        <v>354381.49800000002</v>
      </c>
      <c r="E9" s="186">
        <f>'Funding 2019'!W39</f>
        <v>0</v>
      </c>
      <c r="F9" s="186">
        <f>'Funding 2019'!X39</f>
        <v>147039.51423992109</v>
      </c>
      <c r="G9" s="186">
        <f>'Funding 2019'!Y39</f>
        <v>207099.97743804709</v>
      </c>
      <c r="H9" s="124">
        <f t="shared" si="1"/>
        <v>354139.49167796818</v>
      </c>
      <c r="I9" s="125">
        <f t="shared" si="2"/>
        <v>242.00632203184068</v>
      </c>
      <c r="J9" s="126">
        <f t="shared" si="0"/>
        <v>0.99931710226578518</v>
      </c>
      <c r="K9" s="120"/>
    </row>
    <row r="10" spans="1:11" ht="18" customHeight="1" thickBot="1" x14ac:dyDescent="0.3">
      <c r="A10" s="120"/>
      <c r="B10" s="121" t="s">
        <v>560</v>
      </c>
      <c r="C10" s="122" t="s">
        <v>570</v>
      </c>
      <c r="D10" s="123">
        <f>'Funding 2019'!V81</f>
        <v>315628.39199999999</v>
      </c>
      <c r="E10" s="186">
        <f>'Funding 2019'!W81</f>
        <v>50807.54530883985</v>
      </c>
      <c r="F10" s="186">
        <f>'Funding 2019'!X81</f>
        <v>80051.103439773142</v>
      </c>
      <c r="G10" s="186">
        <f>'Funding 2019'!Y81</f>
        <v>137087.29552459624</v>
      </c>
      <c r="H10" s="124">
        <f t="shared" si="1"/>
        <v>267945.9442732092</v>
      </c>
      <c r="I10" s="125">
        <f t="shared" si="2"/>
        <v>47682.447726790793</v>
      </c>
      <c r="J10" s="126">
        <f t="shared" si="0"/>
        <v>0.84892852184606138</v>
      </c>
      <c r="K10" s="120"/>
    </row>
    <row r="11" spans="1:11" ht="18" customHeight="1" thickBot="1" x14ac:dyDescent="0.3">
      <c r="A11" s="120"/>
      <c r="B11" s="127"/>
      <c r="C11" s="128"/>
      <c r="D11" s="123"/>
      <c r="E11" s="186"/>
      <c r="F11" s="186"/>
      <c r="G11" s="186"/>
      <c r="H11" s="124"/>
      <c r="I11" s="123"/>
      <c r="J11" s="126"/>
      <c r="K11" s="120"/>
    </row>
    <row r="12" spans="1:11" ht="18" customHeight="1" thickBot="1" x14ac:dyDescent="0.3">
      <c r="A12" s="120"/>
      <c r="B12" s="121" t="s">
        <v>561</v>
      </c>
      <c r="C12" s="122" t="s">
        <v>570</v>
      </c>
      <c r="D12" s="123">
        <f>'Funding 2019'!V83+'Funding 2019'!V111</f>
        <v>621700</v>
      </c>
      <c r="E12" s="186">
        <f>'Funding 2019'!W83+'Funding 2019'!W111</f>
        <v>157690.29811983724</v>
      </c>
      <c r="F12" s="186">
        <f>'Funding 2019'!X83+'Funding 2019'!X111</f>
        <v>268465.45196646533</v>
      </c>
      <c r="G12" s="186">
        <f>'Funding 2019'!Y83+'Funding 2019'!Y111</f>
        <v>236551.53014424857</v>
      </c>
      <c r="H12" s="124">
        <f t="shared" si="1"/>
        <v>662707.28023055114</v>
      </c>
      <c r="I12" s="367">
        <f t="shared" ref="I12:I21" si="3">D12-SUM(E12:G12)</f>
        <v>-41007.280230551143</v>
      </c>
      <c r="J12" s="126">
        <f t="shared" ref="J12:J21" si="4">1-(I12/D12)</f>
        <v>1.065959916729212</v>
      </c>
      <c r="K12" s="120"/>
    </row>
    <row r="13" spans="1:11" ht="18" customHeight="1" thickBot="1" x14ac:dyDescent="0.3">
      <c r="A13" s="120"/>
      <c r="B13" s="121" t="s">
        <v>304</v>
      </c>
      <c r="C13" s="122" t="s">
        <v>570</v>
      </c>
      <c r="D13" s="123">
        <f>'Funding 2019'!V84+'Funding 2019'!V85+'Funding 2019'!V113+'Funding 2019'!V114+'Funding 2019'!V116+'Funding 2019'!V117+'Funding 2019'!V86+'Funding 2019'!V115+'Funding 2019'!V118</f>
        <v>638000</v>
      </c>
      <c r="E13" s="186">
        <f>'Funding 2019'!W84+'Funding 2019'!W85+'Funding 2019'!W113+'Funding 2019'!W114+'Funding 2019'!W116+'Funding 2019'!W117</f>
        <v>319700.60695351992</v>
      </c>
      <c r="F13" s="186">
        <f>'Funding 2019'!X84+'Funding 2019'!X85+'Funding 2019'!X113+'Funding 2019'!X114+'Funding 2019'!X116+'Funding 2019'!X117</f>
        <v>213892.36894341017</v>
      </c>
      <c r="G13" s="186">
        <f>'Funding 2019'!Y84+'Funding 2019'!Y85+'Funding 2019'!Y113+'Funding 2019'!Y114+'Funding 2019'!Y116+'Funding 2019'!Y117</f>
        <v>152555.9282455924</v>
      </c>
      <c r="H13" s="124">
        <f t="shared" si="1"/>
        <v>686148.90414252249</v>
      </c>
      <c r="I13" s="367">
        <f t="shared" si="3"/>
        <v>-48148.904142522486</v>
      </c>
      <c r="J13" s="126">
        <f t="shared" si="4"/>
        <v>1.0754685017907877</v>
      </c>
      <c r="K13" s="120"/>
    </row>
    <row r="14" spans="1:11" ht="18" customHeight="1" thickBot="1" x14ac:dyDescent="0.3">
      <c r="A14" s="120"/>
      <c r="B14" s="121" t="s">
        <v>562</v>
      </c>
      <c r="C14" s="122" t="s">
        <v>570</v>
      </c>
      <c r="D14" s="123">
        <f>SUM('Funding 2019'!V87,'Funding 2019'!V90,'Funding 2019'!V108:V110)</f>
        <v>2056500</v>
      </c>
      <c r="E14" s="123">
        <f>SUM('Funding 2019'!W87,'Funding 2019'!W90,'Funding 2019'!W108:W110)</f>
        <v>107645.1843175934</v>
      </c>
      <c r="F14" s="123">
        <f>SUM('Funding 2019'!X87,'Funding 2019'!X90,'Funding 2019'!X108:X110)</f>
        <v>310300.09573418816</v>
      </c>
      <c r="G14" s="123">
        <f>SUM('Funding 2019'!Y87,'Funding 2019'!Y90,'Funding 2019'!Y108:Y110)</f>
        <v>1564228.5081987425</v>
      </c>
      <c r="H14" s="124">
        <f t="shared" si="1"/>
        <v>1982173.7882505241</v>
      </c>
      <c r="I14" s="367">
        <f t="shared" si="3"/>
        <v>74326.211749475915</v>
      </c>
      <c r="J14" s="126">
        <f t="shared" si="4"/>
        <v>0.96385790821810069</v>
      </c>
      <c r="K14" s="120"/>
    </row>
    <row r="15" spans="1:11" ht="18" customHeight="1" thickBot="1" x14ac:dyDescent="0.3">
      <c r="A15" s="120"/>
      <c r="B15" s="121" t="s">
        <v>563</v>
      </c>
      <c r="C15" s="122" t="s">
        <v>570</v>
      </c>
      <c r="D15" s="123">
        <f>SUM('Funding 2019'!V91,'Funding 2019'!V106)</f>
        <v>1280000</v>
      </c>
      <c r="E15" s="186">
        <f>SUM('Funding 2019'!W91,'Funding 2019'!W106)</f>
        <v>94760.790777955859</v>
      </c>
      <c r="F15" s="186">
        <f>SUM('Funding 2019'!X91,'Funding 2019'!X106)</f>
        <v>121418.48298606829</v>
      </c>
      <c r="G15" s="186">
        <f>SUM('Funding 2019'!Y91,'Funding 2019'!Y106)</f>
        <v>926494.9721366046</v>
      </c>
      <c r="H15" s="124">
        <f t="shared" si="1"/>
        <v>1142674.2459006286</v>
      </c>
      <c r="I15" s="367">
        <f t="shared" si="3"/>
        <v>137325.75409937138</v>
      </c>
      <c r="J15" s="126">
        <f t="shared" si="4"/>
        <v>0.89271425460986609</v>
      </c>
      <c r="K15" s="120"/>
    </row>
    <row r="16" spans="1:11" ht="18" customHeight="1" thickBot="1" x14ac:dyDescent="0.3">
      <c r="A16" s="120"/>
      <c r="B16" s="121" t="s">
        <v>564</v>
      </c>
      <c r="C16" s="122" t="s">
        <v>570</v>
      </c>
      <c r="D16" s="369">
        <f>SUM('Funding 2019'!V95,'Funding 2019'!V101)</f>
        <v>20000</v>
      </c>
      <c r="E16" s="186">
        <f>SUM('Funding 2019'!W95,'Funding 2019'!W101)</f>
        <v>68.240660830970285</v>
      </c>
      <c r="F16" s="186">
        <f>SUM('Funding 2019'!X95,'Funding 2019'!X101)</f>
        <v>0</v>
      </c>
      <c r="G16" s="186">
        <f>SUM('Funding 2019'!Y95,'Funding 2019'!Y101)</f>
        <v>17214.822278387375</v>
      </c>
      <c r="H16" s="124">
        <f t="shared" si="1"/>
        <v>17283.062939218347</v>
      </c>
      <c r="I16" s="368">
        <f t="shared" si="3"/>
        <v>2716.9370607816527</v>
      </c>
      <c r="J16" s="126">
        <f t="shared" si="4"/>
        <v>0.86415314696091738</v>
      </c>
      <c r="K16" s="120"/>
    </row>
    <row r="17" spans="1:13" ht="18" customHeight="1" thickBot="1" x14ac:dyDescent="0.3">
      <c r="A17" s="120"/>
      <c r="B17" s="121" t="s">
        <v>565</v>
      </c>
      <c r="C17" s="122" t="s">
        <v>570</v>
      </c>
      <c r="D17" s="369">
        <f>SUM('Funding 2019'!V96,'Funding 2019'!V102)</f>
        <v>20000</v>
      </c>
      <c r="E17" s="186">
        <f>SUM('Funding 2019'!W96,'Funding 2019'!W102)</f>
        <v>1575.7646406115152</v>
      </c>
      <c r="F17" s="186">
        <f>SUM('Funding 2019'!X96,'Funding 2019'!X102)</f>
        <v>0</v>
      </c>
      <c r="G17" s="186">
        <f>SUM('Funding 2019'!Y96,'Funding 2019'!Y102)</f>
        <v>4357.5872272222905</v>
      </c>
      <c r="H17" s="124">
        <f t="shared" si="1"/>
        <v>5933.351867833806</v>
      </c>
      <c r="I17" s="125">
        <f t="shared" si="3"/>
        <v>14066.648132166194</v>
      </c>
      <c r="J17" s="126">
        <f t="shared" si="4"/>
        <v>0.29666759339169024</v>
      </c>
      <c r="K17" s="120"/>
    </row>
    <row r="18" spans="1:13" ht="18" customHeight="1" thickBot="1" x14ac:dyDescent="0.3">
      <c r="A18" s="120"/>
      <c r="B18" s="121" t="s">
        <v>566</v>
      </c>
      <c r="C18" s="122" t="s">
        <v>570</v>
      </c>
      <c r="D18" s="369">
        <f>SUM('Funding 2019'!V97,'Funding 2019'!V103)</f>
        <v>20000</v>
      </c>
      <c r="E18" s="186">
        <f>SUM('Funding 2019'!W97,'Funding 2019'!W103)</f>
        <v>758.87923807175446</v>
      </c>
      <c r="F18" s="186">
        <f>SUM('Funding 2019'!X97,'Funding 2019'!X103)</f>
        <v>0</v>
      </c>
      <c r="G18" s="186">
        <f>SUM('Funding 2019'!Y97,'Funding 2019'!Y103)</f>
        <v>13028.439403279497</v>
      </c>
      <c r="H18" s="124">
        <f t="shared" si="1"/>
        <v>13787.318641351252</v>
      </c>
      <c r="I18" s="368">
        <f t="shared" si="3"/>
        <v>6212.6813586487478</v>
      </c>
      <c r="J18" s="126">
        <f t="shared" si="4"/>
        <v>0.68936593206756258</v>
      </c>
      <c r="K18" s="120"/>
    </row>
    <row r="19" spans="1:13" ht="18" customHeight="1" thickBot="1" x14ac:dyDescent="0.3">
      <c r="A19" s="120"/>
      <c r="B19" s="121" t="s">
        <v>568</v>
      </c>
      <c r="C19" s="122" t="s">
        <v>570</v>
      </c>
      <c r="D19" s="123">
        <f>SUM('Funding 2019'!V104)</f>
        <v>24817</v>
      </c>
      <c r="E19" s="186">
        <f>SUM('Funding 2019'!W104)</f>
        <v>0</v>
      </c>
      <c r="F19" s="186">
        <f>SUM('Funding 2019'!X104)</f>
        <v>0</v>
      </c>
      <c r="G19" s="186">
        <f>SUM('Funding 2019'!Y104)</f>
        <v>0</v>
      </c>
      <c r="H19" s="124">
        <f t="shared" si="1"/>
        <v>0</v>
      </c>
      <c r="I19" s="125">
        <f t="shared" si="3"/>
        <v>24817</v>
      </c>
      <c r="J19" s="126">
        <f t="shared" si="4"/>
        <v>0</v>
      </c>
      <c r="K19" s="120"/>
    </row>
    <row r="20" spans="1:13" ht="18" customHeight="1" thickBot="1" x14ac:dyDescent="0.3">
      <c r="A20" s="120"/>
      <c r="B20" s="121" t="s">
        <v>571</v>
      </c>
      <c r="C20" s="122" t="s">
        <v>570</v>
      </c>
      <c r="D20" s="123">
        <f>SUM('Funding 2019'!V107)</f>
        <v>154000</v>
      </c>
      <c r="E20" s="187">
        <f>SUM('Funding 2019'!W107)</f>
        <v>0</v>
      </c>
      <c r="F20" s="187">
        <f>SUM('Funding 2019'!X107)</f>
        <v>151977.93120453705</v>
      </c>
      <c r="G20" s="187">
        <f>SUM('Funding 2019'!Y107)</f>
        <v>0</v>
      </c>
      <c r="H20" s="124">
        <f t="shared" si="1"/>
        <v>151977.93120453705</v>
      </c>
      <c r="I20" s="125">
        <f t="shared" si="3"/>
        <v>2022.0687954629539</v>
      </c>
      <c r="J20" s="126">
        <f t="shared" si="4"/>
        <v>0.98686968314634449</v>
      </c>
      <c r="K20" s="120"/>
    </row>
    <row r="21" spans="1:13" ht="18" customHeight="1" thickBot="1" x14ac:dyDescent="0.3">
      <c r="A21" s="120"/>
      <c r="B21" s="121" t="s">
        <v>567</v>
      </c>
      <c r="C21" s="122" t="s">
        <v>570</v>
      </c>
      <c r="D21" s="369">
        <f>SUM('Funding 2019'!V98,'Funding 2019'!V105)</f>
        <v>15000</v>
      </c>
      <c r="E21" s="186">
        <f>SUM('Funding 2019'!W98,'Funding 2019'!W105)</f>
        <v>494.35951177413386</v>
      </c>
      <c r="F21" s="186">
        <f>SUM('Funding 2019'!X98,'Funding 2019'!X105)</f>
        <v>12794.969794106768</v>
      </c>
      <c r="G21" s="186">
        <f>SUM('Funding 2019'!Y98,'Funding 2019'!Y105)</f>
        <v>12657.071631118235</v>
      </c>
      <c r="H21" s="124">
        <f t="shared" si="1"/>
        <v>25946.400936999136</v>
      </c>
      <c r="I21" s="368">
        <f t="shared" si="3"/>
        <v>-10946.400936999136</v>
      </c>
      <c r="J21" s="126">
        <f t="shared" si="4"/>
        <v>1.729760062466609</v>
      </c>
      <c r="K21" s="120"/>
    </row>
    <row r="22" spans="1:13" ht="9.75" customHeight="1" thickBot="1" x14ac:dyDescent="0.3">
      <c r="A22" s="120"/>
      <c r="B22" s="120"/>
      <c r="C22" s="129"/>
      <c r="D22" s="130"/>
      <c r="E22" s="130"/>
      <c r="F22" s="130"/>
      <c r="G22" s="130"/>
      <c r="H22" s="124"/>
      <c r="I22" s="125"/>
      <c r="J22" s="126"/>
      <c r="K22" s="120"/>
    </row>
    <row r="23" spans="1:13" ht="9.75" customHeight="1" thickBot="1" x14ac:dyDescent="0.3">
      <c r="A23" s="120"/>
      <c r="B23" s="120"/>
      <c r="C23" s="129"/>
      <c r="D23" s="130"/>
      <c r="E23" s="130"/>
      <c r="F23" s="130"/>
      <c r="G23" s="130"/>
      <c r="H23" s="124"/>
      <c r="I23" s="125"/>
      <c r="J23" s="126"/>
      <c r="K23" s="120"/>
    </row>
    <row r="24" spans="1:13" ht="24" thickBot="1" x14ac:dyDescent="0.3">
      <c r="A24" s="120"/>
      <c r="B24" s="197" t="s">
        <v>572</v>
      </c>
      <c r="C24" s="193" t="s">
        <v>570</v>
      </c>
      <c r="D24" s="131">
        <f>SUM(D3:D21)</f>
        <v>6084074.2792244218</v>
      </c>
      <c r="E24" s="185">
        <f>SUM(E3:E21)</f>
        <v>736569.54802737036</v>
      </c>
      <c r="F24" s="185">
        <f>SUM(F3:F21)</f>
        <v>1657183.8551226729</v>
      </c>
      <c r="G24" s="185">
        <f>SUM(G3:G21)</f>
        <v>3451564.2600789056</v>
      </c>
      <c r="H24" s="124">
        <f>SUM(E24:G24)</f>
        <v>5845317.6632289495</v>
      </c>
      <c r="I24" s="132">
        <f>D24-SUM(E24:G24)</f>
        <v>238756.6159954723</v>
      </c>
      <c r="J24" s="133">
        <f>1-(I24/D24)</f>
        <v>0.96075711685329579</v>
      </c>
      <c r="K24" s="120"/>
      <c r="M24" s="190"/>
    </row>
    <row r="25" spans="1:13" ht="16.5" thickBot="1" x14ac:dyDescent="0.3">
      <c r="A25" s="120"/>
      <c r="B25" s="198"/>
      <c r="C25" s="194"/>
      <c r="D25" s="120"/>
      <c r="E25" s="120"/>
      <c r="F25" s="120"/>
      <c r="G25" s="120"/>
      <c r="H25" s="120"/>
      <c r="I25" s="120"/>
      <c r="J25" s="120"/>
      <c r="K25" s="120"/>
    </row>
    <row r="26" spans="1:13" ht="16.5" thickBot="1" x14ac:dyDescent="0.3">
      <c r="A26" s="120"/>
      <c r="B26" s="198"/>
      <c r="C26" s="194"/>
      <c r="D26" s="120"/>
      <c r="E26" s="120"/>
      <c r="F26" s="120"/>
      <c r="G26" s="120"/>
      <c r="H26" s="120"/>
      <c r="I26" s="120"/>
      <c r="J26" s="120"/>
      <c r="K26" s="120"/>
    </row>
    <row r="27" spans="1:13" ht="24" thickBot="1" x14ac:dyDescent="0.3">
      <c r="A27" s="134"/>
      <c r="B27" s="199" t="s">
        <v>56</v>
      </c>
      <c r="C27" s="195" t="s">
        <v>570</v>
      </c>
      <c r="D27" s="135">
        <f>SUM(D12:D21)</f>
        <v>4850017</v>
      </c>
      <c r="E27" s="188">
        <f>SUM(E12:E21)</f>
        <v>682694.12422019476</v>
      </c>
      <c r="F27" s="188">
        <f>SUM(F12:F21)</f>
        <v>1078849.3006287757</v>
      </c>
      <c r="G27" s="188">
        <f>SUM(G12:G21)</f>
        <v>2927088.8592651961</v>
      </c>
      <c r="H27" s="135">
        <f>SUM(H12:H21)</f>
        <v>4688632.2841141671</v>
      </c>
      <c r="I27" s="136">
        <f>D27-SUM(E27:G27)</f>
        <v>161384.71588583291</v>
      </c>
      <c r="J27" s="137">
        <f>1-(I27/D27)</f>
        <v>0.96672491748259171</v>
      </c>
      <c r="K27" s="134"/>
    </row>
    <row r="28" spans="1:13" ht="16.5" thickBot="1" x14ac:dyDescent="0.3">
      <c r="B28" s="189"/>
      <c r="C28" s="196"/>
      <c r="E28" s="189"/>
      <c r="F28" s="189"/>
      <c r="G28" s="189"/>
    </row>
    <row r="29" spans="1:13" ht="24" thickBot="1" x14ac:dyDescent="0.3">
      <c r="A29" s="134"/>
      <c r="B29" s="199" t="s">
        <v>604</v>
      </c>
      <c r="C29" s="195" t="s">
        <v>570</v>
      </c>
      <c r="D29" s="135">
        <f t="shared" ref="D29:I29" si="5">SUM(D3:D10)</f>
        <v>1234057.2792244214</v>
      </c>
      <c r="E29" s="188">
        <f t="shared" si="5"/>
        <v>53875.423807175444</v>
      </c>
      <c r="F29" s="188">
        <f t="shared" si="5"/>
        <v>578334.55449389713</v>
      </c>
      <c r="G29" s="188">
        <f t="shared" si="5"/>
        <v>524475.40081370983</v>
      </c>
      <c r="H29" s="135">
        <f t="shared" si="5"/>
        <v>1156685.3791147824</v>
      </c>
      <c r="I29" s="135">
        <f t="shared" si="5"/>
        <v>77371.900109639129</v>
      </c>
      <c r="J29" s="137">
        <f>1-(I29/D29)</f>
        <v>0.93730282912129836</v>
      </c>
      <c r="K29" s="134"/>
    </row>
    <row r="31" spans="1:13" x14ac:dyDescent="0.25">
      <c r="D31" s="19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127"/>
  <sheetViews>
    <sheetView showGridLines="0" view="pageBreakPreview" zoomScaleNormal="100" zoomScaleSheetLayoutView="100" workbookViewId="0">
      <selection activeCell="Q16" sqref="Q16"/>
    </sheetView>
  </sheetViews>
  <sheetFormatPr defaultRowHeight="15" x14ac:dyDescent="0.25"/>
  <cols>
    <col min="1" max="1" width="5.42578125" customWidth="1"/>
    <col min="2" max="2" width="6.42578125" customWidth="1"/>
    <col min="3" max="3" width="16.85546875" customWidth="1"/>
    <col min="4" max="4" width="13.28515625" customWidth="1"/>
    <col min="5" max="5" width="13.85546875" customWidth="1"/>
    <col min="6" max="6" width="36.7109375" bestFit="1" customWidth="1"/>
    <col min="7" max="7" width="4.5703125" customWidth="1"/>
    <col min="8" max="8" width="14" customWidth="1"/>
    <col min="9" max="9" width="14.140625" customWidth="1"/>
    <col min="10" max="10" width="13.85546875" customWidth="1"/>
    <col min="11" max="11" width="12" customWidth="1"/>
    <col min="12" max="12" width="12.85546875" customWidth="1"/>
    <col min="13" max="13" width="11.28515625" customWidth="1"/>
    <col min="14" max="14" width="18.28515625" customWidth="1"/>
  </cols>
  <sheetData>
    <row r="2" spans="2:14" ht="35.25" customHeight="1" x14ac:dyDescent="0.25">
      <c r="B2" s="348" t="s">
        <v>43</v>
      </c>
      <c r="C2" s="348" t="s">
        <v>64</v>
      </c>
      <c r="D2" s="348" t="s">
        <v>65</v>
      </c>
      <c r="E2" s="348" t="s">
        <v>66</v>
      </c>
      <c r="F2" s="348" t="s">
        <v>10</v>
      </c>
      <c r="G2" s="349" t="s">
        <v>67</v>
      </c>
      <c r="H2" s="350" t="s">
        <v>68</v>
      </c>
      <c r="I2" s="350" t="s">
        <v>554</v>
      </c>
      <c r="J2" s="350" t="s">
        <v>151</v>
      </c>
      <c r="K2" s="351" t="s">
        <v>71</v>
      </c>
      <c r="L2" s="351" t="s">
        <v>70</v>
      </c>
      <c r="M2" s="351" t="s">
        <v>836</v>
      </c>
      <c r="N2" s="350" t="s">
        <v>713</v>
      </c>
    </row>
    <row r="3" spans="2:14" ht="19.5" customHeight="1" x14ac:dyDescent="0.25">
      <c r="B3" s="414">
        <v>1</v>
      </c>
      <c r="C3" s="415" t="s">
        <v>140</v>
      </c>
      <c r="D3" s="414">
        <v>2100011569</v>
      </c>
      <c r="E3" s="415">
        <v>4500134569</v>
      </c>
      <c r="F3" s="416" t="s">
        <v>330</v>
      </c>
      <c r="G3" s="417"/>
      <c r="H3" s="418">
        <v>298700000</v>
      </c>
      <c r="I3" s="417"/>
      <c r="J3" s="416" t="s">
        <v>243</v>
      </c>
      <c r="K3" s="419">
        <v>43799</v>
      </c>
      <c r="L3" s="420">
        <v>43516</v>
      </c>
      <c r="M3" s="333"/>
      <c r="N3" s="352"/>
    </row>
    <row r="4" spans="2:14" ht="19.5" customHeight="1" x14ac:dyDescent="0.25">
      <c r="B4" s="414">
        <v>2</v>
      </c>
      <c r="C4" s="415" t="s">
        <v>140</v>
      </c>
      <c r="D4" s="414">
        <v>2100011712</v>
      </c>
      <c r="E4" s="415">
        <v>4500135199</v>
      </c>
      <c r="F4" s="416" t="s">
        <v>608</v>
      </c>
      <c r="G4" s="417"/>
      <c r="H4" s="418">
        <v>68500000</v>
      </c>
      <c r="I4" s="417"/>
      <c r="J4" s="416" t="s">
        <v>552</v>
      </c>
      <c r="K4" s="419">
        <v>43763</v>
      </c>
      <c r="L4" s="420">
        <v>43656</v>
      </c>
      <c r="M4" s="333"/>
      <c r="N4" s="352"/>
    </row>
    <row r="5" spans="2:14" ht="19.5" customHeight="1" x14ac:dyDescent="0.25">
      <c r="B5" s="414">
        <v>3</v>
      </c>
      <c r="C5" s="415" t="s">
        <v>140</v>
      </c>
      <c r="D5" s="414">
        <v>2100011783</v>
      </c>
      <c r="E5" s="415">
        <v>4500135376</v>
      </c>
      <c r="F5" s="416" t="s">
        <v>746</v>
      </c>
      <c r="G5" s="417"/>
      <c r="H5" s="418">
        <v>63140000</v>
      </c>
      <c r="I5" s="417"/>
      <c r="J5" s="416" t="s">
        <v>177</v>
      </c>
      <c r="K5" s="419">
        <v>43759</v>
      </c>
      <c r="L5" s="420">
        <v>43698</v>
      </c>
      <c r="M5" s="333"/>
      <c r="N5" s="352"/>
    </row>
    <row r="6" spans="2:14" ht="19.5" customHeight="1" x14ac:dyDescent="0.25">
      <c r="B6" s="414">
        <v>4</v>
      </c>
      <c r="C6" s="415" t="s">
        <v>142</v>
      </c>
      <c r="D6" s="414">
        <v>2100011731</v>
      </c>
      <c r="E6" s="415">
        <v>4500135119</v>
      </c>
      <c r="F6" s="416" t="s">
        <v>600</v>
      </c>
      <c r="G6" s="417"/>
      <c r="H6" s="418">
        <v>350957320</v>
      </c>
      <c r="I6" s="417"/>
      <c r="J6" s="416" t="s">
        <v>201</v>
      </c>
      <c r="K6" s="419">
        <v>43763</v>
      </c>
      <c r="L6" s="420">
        <v>43664</v>
      </c>
      <c r="M6" s="333"/>
      <c r="N6" s="352"/>
    </row>
    <row r="7" spans="2:14" ht="19.5" customHeight="1" x14ac:dyDescent="0.25">
      <c r="B7" s="342">
        <v>5</v>
      </c>
      <c r="C7" s="343" t="s">
        <v>142</v>
      </c>
      <c r="D7" s="342">
        <v>2100011640</v>
      </c>
      <c r="E7" s="343">
        <v>4500134810</v>
      </c>
      <c r="F7" s="344" t="s">
        <v>437</v>
      </c>
      <c r="G7" s="345"/>
      <c r="H7" s="346">
        <v>2216500000</v>
      </c>
      <c r="I7" s="345"/>
      <c r="J7" s="344" t="s">
        <v>201</v>
      </c>
      <c r="K7" s="333">
        <v>43777</v>
      </c>
      <c r="L7" s="347">
        <v>43581</v>
      </c>
      <c r="M7" s="333"/>
      <c r="N7" s="352"/>
    </row>
    <row r="8" spans="2:14" ht="19.5" customHeight="1" x14ac:dyDescent="0.25">
      <c r="B8" s="342">
        <v>6</v>
      </c>
      <c r="C8" s="343" t="s">
        <v>142</v>
      </c>
      <c r="D8" s="342">
        <v>2100011640</v>
      </c>
      <c r="E8" s="343">
        <v>4500134810</v>
      </c>
      <c r="F8" s="344" t="s">
        <v>475</v>
      </c>
      <c r="G8" s="345"/>
      <c r="H8" s="346">
        <v>133500000</v>
      </c>
      <c r="I8" s="345"/>
      <c r="J8" s="344" t="s">
        <v>201</v>
      </c>
      <c r="K8" s="333">
        <v>43777</v>
      </c>
      <c r="L8" s="347">
        <v>43581</v>
      </c>
      <c r="M8" s="333"/>
      <c r="N8" s="352"/>
    </row>
    <row r="9" spans="2:14" ht="19.5" customHeight="1" x14ac:dyDescent="0.25">
      <c r="B9" s="342">
        <v>7</v>
      </c>
      <c r="C9" s="343"/>
      <c r="D9" s="342"/>
      <c r="E9" s="343"/>
      <c r="F9" s="344"/>
      <c r="G9" s="345"/>
      <c r="H9" s="374" t="s">
        <v>861</v>
      </c>
      <c r="I9" s="375">
        <f>SUM(G3:I8)</f>
        <v>3131297320</v>
      </c>
      <c r="J9" s="372">
        <f>I9/16222</f>
        <v>193027.82147700654</v>
      </c>
      <c r="K9" s="333"/>
      <c r="L9" s="347"/>
      <c r="M9" s="333"/>
      <c r="N9" s="352"/>
    </row>
    <row r="10" spans="2:14" ht="19.5" customHeight="1" x14ac:dyDescent="0.25">
      <c r="B10" s="342">
        <v>8</v>
      </c>
      <c r="C10" s="343"/>
      <c r="D10" s="342"/>
      <c r="E10" s="343"/>
      <c r="F10" s="344"/>
      <c r="G10" s="345"/>
      <c r="H10" s="374" t="s">
        <v>860</v>
      </c>
      <c r="I10" s="375">
        <f>26000*16222</f>
        <v>421772000</v>
      </c>
      <c r="J10" s="344"/>
      <c r="K10" s="333"/>
      <c r="L10" s="347"/>
      <c r="M10" s="333"/>
      <c r="N10" s="352"/>
    </row>
    <row r="11" spans="2:14" ht="19.5" customHeight="1" x14ac:dyDescent="0.25">
      <c r="B11" s="342">
        <v>9</v>
      </c>
      <c r="C11" s="343"/>
      <c r="D11" s="342"/>
      <c r="E11" s="343"/>
      <c r="F11" s="344"/>
      <c r="G11" s="345"/>
      <c r="H11" s="346" t="s">
        <v>859</v>
      </c>
      <c r="I11" s="373">
        <f>I10-I9</f>
        <v>-2709525320</v>
      </c>
      <c r="J11" s="372">
        <f>I11/16222</f>
        <v>-167027.82147700654</v>
      </c>
      <c r="K11" s="333"/>
      <c r="L11" s="347"/>
      <c r="M11" s="333"/>
      <c r="N11" s="352"/>
    </row>
    <row r="12" spans="2:14" ht="19.5" customHeight="1" x14ac:dyDescent="0.25">
      <c r="B12" s="342">
        <v>10</v>
      </c>
      <c r="C12" s="343"/>
      <c r="D12" s="342"/>
      <c r="E12" s="343"/>
      <c r="F12" s="344"/>
      <c r="G12" s="345"/>
      <c r="H12" s="346"/>
      <c r="I12" s="345"/>
      <c r="J12" s="344"/>
      <c r="K12" s="333"/>
      <c r="L12" s="347"/>
      <c r="M12" s="333"/>
      <c r="N12" s="352"/>
    </row>
    <row r="13" spans="2:14" ht="19.5" customHeight="1" x14ac:dyDescent="0.25">
      <c r="B13" s="342">
        <v>11</v>
      </c>
      <c r="C13" s="343"/>
      <c r="D13" s="342"/>
      <c r="E13" s="343"/>
      <c r="F13" s="344"/>
      <c r="G13" s="345"/>
      <c r="H13" s="346"/>
      <c r="I13" s="345"/>
      <c r="J13" s="344"/>
      <c r="K13" s="333"/>
      <c r="L13" s="347"/>
      <c r="M13" s="333"/>
      <c r="N13" s="352"/>
    </row>
    <row r="14" spans="2:14" ht="19.5" customHeight="1" x14ac:dyDescent="0.25">
      <c r="B14" s="342">
        <v>12</v>
      </c>
      <c r="C14" s="343"/>
      <c r="D14" s="342"/>
      <c r="E14" s="343"/>
      <c r="F14" s="344"/>
      <c r="G14" s="345"/>
      <c r="H14" s="346"/>
      <c r="I14" s="345"/>
      <c r="J14" s="344"/>
      <c r="K14" s="333"/>
      <c r="L14" s="347"/>
      <c r="M14" s="333"/>
      <c r="N14" s="352"/>
    </row>
    <row r="15" spans="2:14" ht="19.5" customHeight="1" x14ac:dyDescent="0.25">
      <c r="B15" s="342">
        <v>13</v>
      </c>
      <c r="C15" s="343"/>
      <c r="D15" s="342"/>
      <c r="E15" s="343"/>
      <c r="F15" s="344"/>
      <c r="G15" s="345"/>
      <c r="H15" s="346"/>
      <c r="I15" s="345"/>
      <c r="J15" s="344"/>
      <c r="K15" s="333"/>
      <c r="L15" s="347"/>
      <c r="M15" s="333"/>
      <c r="N15" s="352"/>
    </row>
    <row r="16" spans="2:14" ht="19.5" customHeight="1" x14ac:dyDescent="0.25">
      <c r="B16" s="342">
        <v>14</v>
      </c>
      <c r="C16" s="343"/>
      <c r="D16" s="342"/>
      <c r="E16" s="343"/>
      <c r="F16" s="344"/>
      <c r="G16" s="345"/>
      <c r="H16" s="346"/>
      <c r="I16" s="345"/>
      <c r="J16" s="344"/>
      <c r="K16" s="333"/>
      <c r="L16" s="347"/>
      <c r="M16" s="333"/>
      <c r="N16" s="352"/>
    </row>
    <row r="17" spans="2:14" ht="19.5" customHeight="1" x14ac:dyDescent="0.25">
      <c r="B17" s="342">
        <v>15</v>
      </c>
      <c r="C17" s="343"/>
      <c r="D17" s="342"/>
      <c r="E17" s="343"/>
      <c r="F17" s="344"/>
      <c r="G17" s="345"/>
      <c r="H17" s="346"/>
      <c r="I17" s="345"/>
      <c r="J17" s="344"/>
      <c r="K17" s="333"/>
      <c r="L17" s="347"/>
      <c r="M17" s="333"/>
      <c r="N17" s="352"/>
    </row>
    <row r="18" spans="2:14" ht="19.5" customHeight="1" x14ac:dyDescent="0.25">
      <c r="B18" s="342">
        <v>16</v>
      </c>
      <c r="C18" s="343"/>
      <c r="D18" s="342"/>
      <c r="E18" s="343"/>
      <c r="F18" s="344"/>
      <c r="G18" s="345"/>
      <c r="H18" s="346"/>
      <c r="I18" s="345"/>
      <c r="J18" s="344"/>
      <c r="K18" s="333"/>
      <c r="L18" s="347"/>
      <c r="M18" s="333"/>
      <c r="N18" s="352"/>
    </row>
    <row r="19" spans="2:14" ht="19.5" customHeight="1" x14ac:dyDescent="0.25">
      <c r="B19" s="342">
        <v>17</v>
      </c>
      <c r="C19" s="343"/>
      <c r="D19" s="342"/>
      <c r="E19" s="343"/>
      <c r="F19" s="344"/>
      <c r="G19" s="345"/>
      <c r="H19" s="346"/>
      <c r="I19" s="345"/>
      <c r="J19" s="344"/>
      <c r="K19" s="333"/>
      <c r="L19" s="347"/>
      <c r="M19" s="333"/>
      <c r="N19" s="352"/>
    </row>
    <row r="20" spans="2:14" ht="19.5" customHeight="1" x14ac:dyDescent="0.25">
      <c r="B20" s="342">
        <v>18</v>
      </c>
      <c r="C20" s="343"/>
      <c r="D20" s="342"/>
      <c r="E20" s="343"/>
      <c r="F20" s="344"/>
      <c r="G20" s="345"/>
      <c r="H20" s="346"/>
      <c r="I20" s="345"/>
      <c r="J20" s="344"/>
      <c r="K20" s="333"/>
      <c r="L20" s="347"/>
      <c r="M20" s="333"/>
      <c r="N20" s="352"/>
    </row>
    <row r="21" spans="2:14" ht="19.5" customHeight="1" x14ac:dyDescent="0.25">
      <c r="B21" s="342">
        <v>19</v>
      </c>
      <c r="C21" s="343"/>
      <c r="D21" s="342"/>
      <c r="E21" s="343"/>
      <c r="F21" s="344"/>
      <c r="G21" s="345"/>
      <c r="H21" s="346"/>
      <c r="I21" s="345"/>
      <c r="J21" s="344"/>
      <c r="K21" s="333"/>
      <c r="L21" s="347"/>
      <c r="M21" s="333"/>
      <c r="N21" s="352"/>
    </row>
    <row r="22" spans="2:14" ht="19.5" customHeight="1" x14ac:dyDescent="0.25">
      <c r="B22" s="342">
        <v>20</v>
      </c>
      <c r="C22" s="343"/>
      <c r="D22" s="342"/>
      <c r="E22" s="343"/>
      <c r="F22" s="344"/>
      <c r="G22" s="345"/>
      <c r="H22" s="346"/>
      <c r="I22" s="345"/>
      <c r="J22" s="344"/>
      <c r="K22" s="333"/>
      <c r="L22" s="347"/>
      <c r="M22" s="333"/>
      <c r="N22" s="352"/>
    </row>
    <row r="23" spans="2:14" ht="19.5" customHeight="1" x14ac:dyDescent="0.25">
      <c r="B23" s="342">
        <v>21</v>
      </c>
      <c r="C23" s="343"/>
      <c r="D23" s="342"/>
      <c r="E23" s="343"/>
      <c r="F23" s="344"/>
      <c r="G23" s="345"/>
      <c r="H23" s="346"/>
      <c r="I23" s="345"/>
      <c r="J23" s="344"/>
      <c r="K23" s="333"/>
      <c r="L23" s="347"/>
      <c r="M23" s="333"/>
      <c r="N23" s="352"/>
    </row>
    <row r="24" spans="2:14" ht="19.5" customHeight="1" x14ac:dyDescent="0.25">
      <c r="B24" s="342">
        <v>22</v>
      </c>
      <c r="C24" s="343"/>
      <c r="D24" s="342"/>
      <c r="E24" s="343"/>
      <c r="F24" s="344"/>
      <c r="G24" s="345"/>
      <c r="H24" s="346"/>
      <c r="I24" s="345"/>
      <c r="J24" s="344"/>
      <c r="K24" s="333"/>
      <c r="L24" s="347"/>
      <c r="M24" s="333"/>
      <c r="N24" s="352"/>
    </row>
    <row r="25" spans="2:14" ht="19.5" customHeight="1" x14ac:dyDescent="0.25">
      <c r="B25" s="342">
        <v>23</v>
      </c>
      <c r="C25" s="343"/>
      <c r="D25" s="342"/>
      <c r="E25" s="343"/>
      <c r="F25" s="344"/>
      <c r="G25" s="345"/>
      <c r="H25" s="346"/>
      <c r="I25" s="345"/>
      <c r="J25" s="344"/>
      <c r="K25" s="333"/>
      <c r="L25" s="347"/>
      <c r="M25" s="333"/>
      <c r="N25" s="352"/>
    </row>
    <row r="26" spans="2:14" ht="19.5" customHeight="1" x14ac:dyDescent="0.25">
      <c r="B26" s="342">
        <v>24</v>
      </c>
      <c r="C26" s="343"/>
      <c r="D26" s="342"/>
      <c r="E26" s="343"/>
      <c r="F26" s="344"/>
      <c r="G26" s="345"/>
      <c r="H26" s="346"/>
      <c r="I26" s="345"/>
      <c r="J26" s="344"/>
      <c r="K26" s="333"/>
      <c r="L26" s="347"/>
      <c r="M26" s="333"/>
      <c r="N26" s="352"/>
    </row>
    <row r="27" spans="2:14" ht="19.5" customHeight="1" x14ac:dyDescent="0.25">
      <c r="B27" s="342">
        <v>25</v>
      </c>
      <c r="C27" s="343"/>
      <c r="D27" s="342"/>
      <c r="E27" s="343"/>
      <c r="F27" s="344"/>
      <c r="G27" s="345"/>
      <c r="H27" s="346"/>
      <c r="I27" s="345"/>
      <c r="J27" s="344"/>
      <c r="K27" s="333"/>
      <c r="L27" s="347"/>
      <c r="M27" s="333"/>
      <c r="N27" s="352"/>
    </row>
    <row r="28" spans="2:14" ht="19.5" customHeight="1" x14ac:dyDescent="0.25">
      <c r="B28" s="342">
        <v>26</v>
      </c>
      <c r="C28" s="343"/>
      <c r="D28" s="342"/>
      <c r="E28" s="343"/>
      <c r="F28" s="344"/>
      <c r="G28" s="345"/>
      <c r="H28" s="346"/>
      <c r="I28" s="345"/>
      <c r="J28" s="344"/>
      <c r="K28" s="333"/>
      <c r="L28" s="347"/>
      <c r="M28" s="333"/>
      <c r="N28" s="352"/>
    </row>
    <row r="29" spans="2:14" ht="19.5" customHeight="1" x14ac:dyDescent="0.25">
      <c r="B29" s="342">
        <v>27</v>
      </c>
      <c r="C29" s="343"/>
      <c r="D29" s="342"/>
      <c r="E29" s="343"/>
      <c r="F29" s="344"/>
      <c r="G29" s="345"/>
      <c r="H29" s="346"/>
      <c r="I29" s="345"/>
      <c r="J29" s="344"/>
      <c r="K29" s="333"/>
      <c r="L29" s="347"/>
      <c r="M29" s="333"/>
      <c r="N29" s="352"/>
    </row>
    <row r="30" spans="2:14" ht="19.5" customHeight="1" x14ac:dyDescent="0.25">
      <c r="B30" s="342">
        <v>28</v>
      </c>
      <c r="C30" s="343"/>
      <c r="D30" s="342"/>
      <c r="E30" s="343"/>
      <c r="F30" s="344"/>
      <c r="G30" s="345"/>
      <c r="H30" s="346"/>
      <c r="I30" s="345"/>
      <c r="J30" s="344"/>
      <c r="K30" s="333"/>
      <c r="L30" s="347"/>
      <c r="M30" s="333"/>
      <c r="N30" s="352"/>
    </row>
    <row r="31" spans="2:14" ht="19.5" customHeight="1" x14ac:dyDescent="0.25">
      <c r="B31" s="342">
        <v>29</v>
      </c>
      <c r="C31" s="343"/>
      <c r="D31" s="342"/>
      <c r="E31" s="343"/>
      <c r="F31" s="344"/>
      <c r="G31" s="345"/>
      <c r="H31" s="346"/>
      <c r="I31" s="345"/>
      <c r="J31" s="344"/>
      <c r="K31" s="333"/>
      <c r="L31" s="347"/>
      <c r="M31" s="333"/>
      <c r="N31" s="352"/>
    </row>
    <row r="32" spans="2:14" ht="19.5" customHeight="1" x14ac:dyDescent="0.25">
      <c r="B32" s="342">
        <v>30</v>
      </c>
      <c r="C32" s="343"/>
      <c r="D32" s="342"/>
      <c r="E32" s="343"/>
      <c r="F32" s="344"/>
      <c r="G32" s="345"/>
      <c r="H32" s="346"/>
      <c r="I32" s="345"/>
      <c r="J32" s="344"/>
      <c r="K32" s="333"/>
      <c r="L32" s="347"/>
      <c r="M32" s="333"/>
      <c r="N32" s="352"/>
    </row>
    <row r="33" spans="2:14" ht="19.5" customHeight="1" x14ac:dyDescent="0.25">
      <c r="B33" s="342">
        <v>31</v>
      </c>
      <c r="C33" s="343"/>
      <c r="D33" s="342"/>
      <c r="E33" s="343"/>
      <c r="F33" s="344"/>
      <c r="G33" s="345"/>
      <c r="H33" s="346"/>
      <c r="I33" s="345"/>
      <c r="J33" s="344"/>
      <c r="K33" s="333"/>
      <c r="L33" s="347"/>
      <c r="M33" s="333"/>
      <c r="N33" s="352"/>
    </row>
    <row r="34" spans="2:14" ht="19.5" customHeight="1" x14ac:dyDescent="0.25">
      <c r="B34" s="342">
        <v>32</v>
      </c>
      <c r="C34" s="343"/>
      <c r="D34" s="342"/>
      <c r="E34" s="343"/>
      <c r="F34" s="344"/>
      <c r="G34" s="345"/>
      <c r="H34" s="346"/>
      <c r="I34" s="345"/>
      <c r="J34" s="344"/>
      <c r="K34" s="333"/>
      <c r="L34" s="347"/>
      <c r="M34" s="333"/>
      <c r="N34" s="352"/>
    </row>
    <row r="35" spans="2:14" ht="19.5" customHeight="1" x14ac:dyDescent="0.25">
      <c r="B35" s="342">
        <v>33</v>
      </c>
      <c r="C35" s="343"/>
      <c r="D35" s="342"/>
      <c r="E35" s="343"/>
      <c r="F35" s="344"/>
      <c r="G35" s="345"/>
      <c r="H35" s="346"/>
      <c r="I35" s="345"/>
      <c r="J35" s="344"/>
      <c r="K35" s="333"/>
      <c r="L35" s="347"/>
      <c r="M35" s="333"/>
      <c r="N35" s="352"/>
    </row>
    <row r="36" spans="2:14" ht="19.5" customHeight="1" x14ac:dyDescent="0.25">
      <c r="B36" s="342">
        <v>34</v>
      </c>
      <c r="C36" s="343"/>
      <c r="D36" s="342"/>
      <c r="E36" s="343"/>
      <c r="F36" s="344"/>
      <c r="G36" s="345"/>
      <c r="H36" s="346"/>
      <c r="I36" s="345"/>
      <c r="J36" s="344"/>
      <c r="K36" s="333"/>
      <c r="L36" s="347"/>
      <c r="M36" s="333"/>
      <c r="N36" s="352"/>
    </row>
    <row r="37" spans="2:14" ht="19.5" customHeight="1" x14ac:dyDescent="0.25">
      <c r="B37" s="342">
        <v>35</v>
      </c>
      <c r="C37" s="343"/>
      <c r="D37" s="342"/>
      <c r="E37" s="343"/>
      <c r="F37" s="344"/>
      <c r="G37" s="345"/>
      <c r="H37" s="346"/>
      <c r="I37" s="345"/>
      <c r="J37" s="344"/>
      <c r="K37" s="333"/>
      <c r="L37" s="347"/>
      <c r="M37" s="333"/>
      <c r="N37" s="352"/>
    </row>
    <row r="38" spans="2:14" ht="19.5" customHeight="1" x14ac:dyDescent="0.25">
      <c r="B38" s="342">
        <v>36</v>
      </c>
      <c r="C38" s="343"/>
      <c r="D38" s="342"/>
      <c r="E38" s="343"/>
      <c r="F38" s="344"/>
      <c r="G38" s="345"/>
      <c r="H38" s="346"/>
      <c r="I38" s="345"/>
      <c r="J38" s="344"/>
      <c r="K38" s="333"/>
      <c r="L38" s="347"/>
      <c r="M38" s="333"/>
      <c r="N38" s="352"/>
    </row>
    <row r="39" spans="2:14" ht="19.5" customHeight="1" x14ac:dyDescent="0.25">
      <c r="B39" s="342">
        <v>37</v>
      </c>
      <c r="C39" s="343"/>
      <c r="D39" s="342"/>
      <c r="E39" s="343"/>
      <c r="F39" s="344"/>
      <c r="G39" s="345"/>
      <c r="H39" s="346"/>
      <c r="I39" s="345"/>
      <c r="J39" s="344"/>
      <c r="K39" s="333"/>
      <c r="L39" s="347"/>
      <c r="M39" s="333"/>
      <c r="N39" s="352"/>
    </row>
    <row r="40" spans="2:14" ht="19.5" customHeight="1" x14ac:dyDescent="0.25">
      <c r="B40" s="342">
        <v>38</v>
      </c>
      <c r="C40" s="343"/>
      <c r="D40" s="342"/>
      <c r="E40" s="343"/>
      <c r="F40" s="344"/>
      <c r="G40" s="345"/>
      <c r="H40" s="346"/>
      <c r="I40" s="345"/>
      <c r="J40" s="344"/>
      <c r="K40" s="333"/>
      <c r="L40" s="347"/>
      <c r="M40" s="333"/>
      <c r="N40" s="352"/>
    </row>
    <row r="41" spans="2:14" ht="19.5" customHeight="1" x14ac:dyDescent="0.25">
      <c r="B41" s="342">
        <v>39</v>
      </c>
      <c r="C41" s="343"/>
      <c r="D41" s="342"/>
      <c r="E41" s="343"/>
      <c r="F41" s="344"/>
      <c r="G41" s="345"/>
      <c r="H41" s="346"/>
      <c r="I41" s="345"/>
      <c r="J41" s="344"/>
      <c r="K41" s="333"/>
      <c r="L41" s="347"/>
      <c r="M41" s="333"/>
      <c r="N41" s="352"/>
    </row>
    <row r="42" spans="2:14" ht="19.5" customHeight="1" x14ac:dyDescent="0.25">
      <c r="B42" s="342">
        <v>40</v>
      </c>
      <c r="C42" s="343"/>
      <c r="D42" s="342"/>
      <c r="E42" s="343"/>
      <c r="F42" s="344"/>
      <c r="G42" s="345"/>
      <c r="H42" s="346"/>
      <c r="I42" s="345"/>
      <c r="J42" s="344"/>
      <c r="K42" s="333"/>
      <c r="L42" s="347"/>
      <c r="M42" s="333"/>
      <c r="N42" s="352"/>
    </row>
    <row r="43" spans="2:14" ht="19.5" customHeight="1" x14ac:dyDescent="0.25">
      <c r="B43" s="342">
        <v>41</v>
      </c>
      <c r="C43" s="343"/>
      <c r="D43" s="342"/>
      <c r="E43" s="343"/>
      <c r="F43" s="344"/>
      <c r="G43" s="345"/>
      <c r="H43" s="346"/>
      <c r="I43" s="345"/>
      <c r="J43" s="344"/>
      <c r="K43" s="333"/>
      <c r="L43" s="347"/>
      <c r="M43" s="333"/>
      <c r="N43" s="352"/>
    </row>
    <row r="44" spans="2:14" ht="19.5" customHeight="1" x14ac:dyDescent="0.25">
      <c r="B44" s="342">
        <v>42</v>
      </c>
      <c r="C44" s="343"/>
      <c r="D44" s="342"/>
      <c r="E44" s="343"/>
      <c r="F44" s="344"/>
      <c r="G44" s="345"/>
      <c r="H44" s="346"/>
      <c r="I44" s="345"/>
      <c r="J44" s="344"/>
      <c r="K44" s="333"/>
      <c r="L44" s="347"/>
      <c r="M44" s="333"/>
      <c r="N44" s="352"/>
    </row>
    <row r="45" spans="2:14" ht="19.5" customHeight="1" x14ac:dyDescent="0.25">
      <c r="B45" s="342">
        <v>43</v>
      </c>
      <c r="C45" s="343"/>
      <c r="D45" s="342"/>
      <c r="E45" s="343"/>
      <c r="F45" s="344"/>
      <c r="G45" s="345"/>
      <c r="H45" s="346"/>
      <c r="I45" s="345"/>
      <c r="J45" s="344"/>
      <c r="K45" s="333"/>
      <c r="L45" s="347"/>
      <c r="M45" s="333"/>
      <c r="N45" s="352"/>
    </row>
    <row r="46" spans="2:14" ht="19.5" customHeight="1" x14ac:dyDescent="0.25">
      <c r="B46" s="342">
        <v>44</v>
      </c>
      <c r="C46" s="343"/>
      <c r="D46" s="342"/>
      <c r="E46" s="343"/>
      <c r="F46" s="344"/>
      <c r="G46" s="345"/>
      <c r="H46" s="346"/>
      <c r="I46" s="345"/>
      <c r="J46" s="344"/>
      <c r="K46" s="333"/>
      <c r="L46" s="347"/>
      <c r="M46" s="333"/>
      <c r="N46" s="352"/>
    </row>
    <row r="47" spans="2:14" ht="19.5" customHeight="1" x14ac:dyDescent="0.25">
      <c r="B47" s="342">
        <v>45</v>
      </c>
      <c r="C47" s="343"/>
      <c r="D47" s="342"/>
      <c r="E47" s="343"/>
      <c r="F47" s="344"/>
      <c r="G47" s="345"/>
      <c r="H47" s="346"/>
      <c r="I47" s="345"/>
      <c r="J47" s="344"/>
      <c r="K47" s="333"/>
      <c r="L47" s="347"/>
      <c r="M47" s="333"/>
      <c r="N47" s="352"/>
    </row>
    <row r="48" spans="2:14" ht="19.5" customHeight="1" x14ac:dyDescent="0.25">
      <c r="B48" s="342">
        <v>46</v>
      </c>
      <c r="C48" s="343"/>
      <c r="D48" s="342"/>
      <c r="E48" s="343"/>
      <c r="F48" s="344"/>
      <c r="G48" s="345"/>
      <c r="H48" s="346"/>
      <c r="I48" s="345"/>
      <c r="J48" s="344"/>
      <c r="K48" s="333"/>
      <c r="L48" s="347"/>
      <c r="M48" s="333"/>
      <c r="N48" s="352"/>
    </row>
    <row r="49" spans="2:14" ht="19.5" customHeight="1" x14ac:dyDescent="0.25">
      <c r="B49" s="342">
        <v>47</v>
      </c>
      <c r="C49" s="343"/>
      <c r="D49" s="342"/>
      <c r="E49" s="343"/>
      <c r="F49" s="344"/>
      <c r="G49" s="345"/>
      <c r="H49" s="346"/>
      <c r="I49" s="345"/>
      <c r="J49" s="344"/>
      <c r="K49" s="333"/>
      <c r="L49" s="347"/>
      <c r="M49" s="333"/>
      <c r="N49" s="352"/>
    </row>
    <row r="50" spans="2:14" ht="19.5" customHeight="1" x14ac:dyDescent="0.25">
      <c r="B50" s="342">
        <v>48</v>
      </c>
      <c r="C50" s="343"/>
      <c r="D50" s="342"/>
      <c r="E50" s="343"/>
      <c r="F50" s="344"/>
      <c r="G50" s="345"/>
      <c r="H50" s="346"/>
      <c r="I50" s="345"/>
      <c r="J50" s="344"/>
      <c r="K50" s="333"/>
      <c r="L50" s="347"/>
      <c r="M50" s="333"/>
      <c r="N50" s="352"/>
    </row>
    <row r="51" spans="2:14" ht="19.5" customHeight="1" x14ac:dyDescent="0.25">
      <c r="B51" s="342">
        <v>49</v>
      </c>
      <c r="C51" s="343"/>
      <c r="D51" s="342"/>
      <c r="E51" s="343"/>
      <c r="F51" s="344"/>
      <c r="G51" s="345"/>
      <c r="H51" s="346"/>
      <c r="I51" s="345"/>
      <c r="J51" s="344"/>
      <c r="K51" s="333"/>
      <c r="L51" s="347"/>
      <c r="M51" s="333"/>
      <c r="N51" s="352"/>
    </row>
    <row r="52" spans="2:14" ht="19.5" customHeight="1" x14ac:dyDescent="0.25">
      <c r="B52" s="342">
        <v>50</v>
      </c>
      <c r="C52" s="343"/>
      <c r="D52" s="342"/>
      <c r="E52" s="343"/>
      <c r="F52" s="344"/>
      <c r="G52" s="345"/>
      <c r="H52" s="346"/>
      <c r="I52" s="345"/>
      <c r="J52" s="344"/>
      <c r="K52" s="333"/>
      <c r="L52" s="347"/>
      <c r="M52" s="333"/>
      <c r="N52" s="352"/>
    </row>
    <row r="53" spans="2:14" ht="19.5" customHeight="1" x14ac:dyDescent="0.25">
      <c r="B53" s="342">
        <v>51</v>
      </c>
      <c r="C53" s="343"/>
      <c r="D53" s="342"/>
      <c r="E53" s="343"/>
      <c r="F53" s="344"/>
      <c r="G53" s="345"/>
      <c r="H53" s="346"/>
      <c r="I53" s="345"/>
      <c r="J53" s="344"/>
      <c r="K53" s="333"/>
      <c r="L53" s="347"/>
      <c r="M53" s="333"/>
      <c r="N53" s="352"/>
    </row>
    <row r="54" spans="2:14" ht="19.5" customHeight="1" x14ac:dyDescent="0.25">
      <c r="B54" s="342">
        <v>52</v>
      </c>
      <c r="C54" s="343"/>
      <c r="D54" s="342"/>
      <c r="E54" s="343"/>
      <c r="F54" s="344"/>
      <c r="G54" s="345"/>
      <c r="H54" s="346"/>
      <c r="I54" s="345"/>
      <c r="J54" s="344"/>
      <c r="K54" s="333"/>
      <c r="L54" s="347"/>
      <c r="M54" s="333"/>
      <c r="N54" s="352"/>
    </row>
    <row r="55" spans="2:14" ht="19.5" customHeight="1" x14ac:dyDescent="0.25">
      <c r="B55" s="342">
        <v>53</v>
      </c>
      <c r="C55" s="343"/>
      <c r="D55" s="342"/>
      <c r="E55" s="343"/>
      <c r="F55" s="344"/>
      <c r="G55" s="345"/>
      <c r="H55" s="346"/>
      <c r="I55" s="345"/>
      <c r="J55" s="344"/>
      <c r="K55" s="333"/>
      <c r="L55" s="347"/>
      <c r="M55" s="333"/>
      <c r="N55" s="352"/>
    </row>
    <row r="56" spans="2:14" ht="19.5" customHeight="1" x14ac:dyDescent="0.25">
      <c r="B56" s="342">
        <v>54</v>
      </c>
      <c r="C56" s="343"/>
      <c r="D56" s="342"/>
      <c r="E56" s="343"/>
      <c r="F56" s="344"/>
      <c r="G56" s="345"/>
      <c r="H56" s="346"/>
      <c r="I56" s="345"/>
      <c r="J56" s="344"/>
      <c r="K56" s="333"/>
      <c r="L56" s="347"/>
      <c r="M56" s="333"/>
      <c r="N56" s="352"/>
    </row>
    <row r="57" spans="2:14" ht="19.5" customHeight="1" x14ac:dyDescent="0.25">
      <c r="B57" s="342">
        <v>55</v>
      </c>
      <c r="C57" s="343"/>
      <c r="D57" s="342"/>
      <c r="E57" s="343"/>
      <c r="F57" s="344"/>
      <c r="G57" s="345"/>
      <c r="H57" s="346"/>
      <c r="I57" s="345"/>
      <c r="J57" s="344"/>
      <c r="K57" s="333"/>
      <c r="L57" s="347"/>
      <c r="M57" s="333"/>
      <c r="N57" s="352"/>
    </row>
    <row r="58" spans="2:14" ht="19.5" customHeight="1" x14ac:dyDescent="0.25">
      <c r="B58" s="342">
        <v>56</v>
      </c>
      <c r="C58" s="343"/>
      <c r="D58" s="342"/>
      <c r="E58" s="343"/>
      <c r="F58" s="344"/>
      <c r="G58" s="345"/>
      <c r="H58" s="346"/>
      <c r="I58" s="345"/>
      <c r="J58" s="344"/>
      <c r="K58" s="333"/>
      <c r="L58" s="347"/>
      <c r="M58" s="333"/>
      <c r="N58" s="352"/>
    </row>
    <row r="59" spans="2:14" ht="19.5" customHeight="1" x14ac:dyDescent="0.25">
      <c r="B59" s="342">
        <v>57</v>
      </c>
      <c r="C59" s="343"/>
      <c r="D59" s="342"/>
      <c r="E59" s="343"/>
      <c r="F59" s="344"/>
      <c r="G59" s="345"/>
      <c r="H59" s="346"/>
      <c r="I59" s="345"/>
      <c r="J59" s="344"/>
      <c r="K59" s="333"/>
      <c r="L59" s="347"/>
      <c r="M59" s="333"/>
      <c r="N59" s="352"/>
    </row>
    <row r="60" spans="2:14" ht="19.5" customHeight="1" x14ac:dyDescent="0.25">
      <c r="B60" s="342">
        <v>58</v>
      </c>
      <c r="C60" s="343"/>
      <c r="D60" s="342"/>
      <c r="E60" s="343"/>
      <c r="F60" s="344"/>
      <c r="G60" s="345"/>
      <c r="H60" s="346"/>
      <c r="I60" s="345"/>
      <c r="J60" s="344"/>
      <c r="K60" s="333"/>
      <c r="L60" s="347"/>
      <c r="M60" s="333"/>
      <c r="N60" s="352"/>
    </row>
    <row r="61" spans="2:14" ht="19.5" customHeight="1" x14ac:dyDescent="0.25">
      <c r="B61" s="342">
        <v>59</v>
      </c>
      <c r="C61" s="343"/>
      <c r="D61" s="342"/>
      <c r="E61" s="343"/>
      <c r="F61" s="344"/>
      <c r="G61" s="345"/>
      <c r="H61" s="346"/>
      <c r="I61" s="345"/>
      <c r="J61" s="344"/>
      <c r="K61" s="333"/>
      <c r="L61" s="347"/>
      <c r="M61" s="333"/>
      <c r="N61" s="352"/>
    </row>
    <row r="62" spans="2:14" ht="19.5" customHeight="1" x14ac:dyDescent="0.25">
      <c r="B62" s="342">
        <v>60</v>
      </c>
      <c r="C62" s="343"/>
      <c r="D62" s="342"/>
      <c r="E62" s="343"/>
      <c r="F62" s="344"/>
      <c r="G62" s="345"/>
      <c r="H62" s="346"/>
      <c r="I62" s="345"/>
      <c r="J62" s="344"/>
      <c r="K62" s="333"/>
      <c r="L62" s="347"/>
      <c r="M62" s="333"/>
      <c r="N62" s="352"/>
    </row>
    <row r="63" spans="2:14" ht="19.5" customHeight="1" x14ac:dyDescent="0.25">
      <c r="B63" s="342">
        <v>61</v>
      </c>
      <c r="C63" s="343"/>
      <c r="D63" s="342"/>
      <c r="E63" s="343"/>
      <c r="F63" s="344"/>
      <c r="G63" s="345"/>
      <c r="H63" s="346"/>
      <c r="I63" s="345"/>
      <c r="J63" s="344"/>
      <c r="K63" s="333"/>
      <c r="L63" s="347"/>
      <c r="M63" s="333"/>
      <c r="N63" s="352"/>
    </row>
    <row r="64" spans="2:14" ht="19.5" customHeight="1" x14ac:dyDescent="0.25">
      <c r="B64" s="342">
        <v>62</v>
      </c>
      <c r="C64" s="343"/>
      <c r="D64" s="342"/>
      <c r="E64" s="343"/>
      <c r="F64" s="344"/>
      <c r="G64" s="345"/>
      <c r="H64" s="346"/>
      <c r="I64" s="345"/>
      <c r="J64" s="344"/>
      <c r="K64" s="333"/>
      <c r="L64" s="347"/>
      <c r="M64" s="333"/>
      <c r="N64" s="352"/>
    </row>
    <row r="65" spans="2:14" ht="19.5" customHeight="1" x14ac:dyDescent="0.25">
      <c r="B65" s="342">
        <v>63</v>
      </c>
      <c r="C65" s="343"/>
      <c r="D65" s="342"/>
      <c r="E65" s="343"/>
      <c r="F65" s="344"/>
      <c r="G65" s="345"/>
      <c r="H65" s="346"/>
      <c r="I65" s="345"/>
      <c r="J65" s="344"/>
      <c r="K65" s="333"/>
      <c r="L65" s="347"/>
      <c r="M65" s="333"/>
      <c r="N65" s="352"/>
    </row>
    <row r="66" spans="2:14" ht="19.5" customHeight="1" x14ac:dyDescent="0.25">
      <c r="B66" s="342">
        <v>64</v>
      </c>
      <c r="C66" s="343"/>
      <c r="D66" s="342"/>
      <c r="E66" s="343"/>
      <c r="F66" s="344"/>
      <c r="G66" s="345"/>
      <c r="H66" s="346"/>
      <c r="I66" s="345"/>
      <c r="J66" s="344"/>
      <c r="K66" s="333"/>
      <c r="L66" s="347"/>
      <c r="M66" s="333"/>
      <c r="N66" s="352"/>
    </row>
    <row r="67" spans="2:14" ht="19.5" customHeight="1" x14ac:dyDescent="0.25">
      <c r="B67" s="342">
        <v>65</v>
      </c>
      <c r="C67" s="343"/>
      <c r="D67" s="342"/>
      <c r="E67" s="343"/>
      <c r="F67" s="344"/>
      <c r="G67" s="345"/>
      <c r="H67" s="346"/>
      <c r="I67" s="345"/>
      <c r="J67" s="344"/>
      <c r="K67" s="333"/>
      <c r="L67" s="347"/>
      <c r="M67" s="333"/>
      <c r="N67" s="352"/>
    </row>
    <row r="68" spans="2:14" ht="19.5" customHeight="1" x14ac:dyDescent="0.25">
      <c r="B68" s="342">
        <v>66</v>
      </c>
      <c r="C68" s="343"/>
      <c r="D68" s="342"/>
      <c r="E68" s="343"/>
      <c r="F68" s="344"/>
      <c r="G68" s="345"/>
      <c r="H68" s="346"/>
      <c r="I68" s="345"/>
      <c r="J68" s="344"/>
      <c r="K68" s="333"/>
      <c r="L68" s="347"/>
      <c r="M68" s="333"/>
      <c r="N68" s="352"/>
    </row>
    <row r="69" spans="2:14" ht="19.5" customHeight="1" x14ac:dyDescent="0.25">
      <c r="B69" s="342">
        <v>67</v>
      </c>
      <c r="C69" s="343"/>
      <c r="D69" s="342"/>
      <c r="E69" s="343"/>
      <c r="F69" s="344"/>
      <c r="G69" s="345"/>
      <c r="H69" s="346"/>
      <c r="I69" s="345"/>
      <c r="J69" s="344"/>
      <c r="K69" s="333"/>
      <c r="L69" s="347"/>
      <c r="M69" s="333"/>
      <c r="N69" s="352"/>
    </row>
    <row r="70" spans="2:14" ht="19.5" customHeight="1" x14ac:dyDescent="0.25">
      <c r="B70" s="342">
        <v>68</v>
      </c>
      <c r="C70" s="343"/>
      <c r="D70" s="342"/>
      <c r="E70" s="343"/>
      <c r="F70" s="344"/>
      <c r="G70" s="345"/>
      <c r="H70" s="346"/>
      <c r="I70" s="345"/>
      <c r="J70" s="344"/>
      <c r="K70" s="333"/>
      <c r="L70" s="347"/>
      <c r="M70" s="333"/>
      <c r="N70" s="352"/>
    </row>
    <row r="71" spans="2:14" ht="19.5" customHeight="1" x14ac:dyDescent="0.25">
      <c r="B71" s="342">
        <v>69</v>
      </c>
      <c r="C71" s="343"/>
      <c r="D71" s="342"/>
      <c r="E71" s="343"/>
      <c r="F71" s="344"/>
      <c r="G71" s="345"/>
      <c r="H71" s="346"/>
      <c r="I71" s="345"/>
      <c r="J71" s="344"/>
      <c r="K71" s="333"/>
      <c r="L71" s="347"/>
      <c r="M71" s="333"/>
      <c r="N71" s="352"/>
    </row>
    <row r="72" spans="2:14" ht="19.5" customHeight="1" x14ac:dyDescent="0.25">
      <c r="B72" s="342">
        <v>70</v>
      </c>
      <c r="C72" s="343"/>
      <c r="D72" s="342"/>
      <c r="E72" s="343"/>
      <c r="F72" s="344"/>
      <c r="G72" s="345"/>
      <c r="H72" s="346"/>
      <c r="I72" s="345"/>
      <c r="J72" s="344"/>
      <c r="K72" s="333"/>
      <c r="L72" s="347"/>
      <c r="M72" s="333"/>
      <c r="N72" s="352"/>
    </row>
    <row r="73" spans="2:14" ht="19.5" customHeight="1" x14ac:dyDescent="0.25">
      <c r="B73" s="342">
        <v>71</v>
      </c>
      <c r="C73" s="343"/>
      <c r="D73" s="342"/>
      <c r="E73" s="343"/>
      <c r="F73" s="344"/>
      <c r="G73" s="345"/>
      <c r="H73" s="346"/>
      <c r="I73" s="345"/>
      <c r="J73" s="344"/>
      <c r="K73" s="333"/>
      <c r="L73" s="347"/>
      <c r="M73" s="333"/>
      <c r="N73" s="352"/>
    </row>
    <row r="74" spans="2:14" ht="19.5" customHeight="1" x14ac:dyDescent="0.25">
      <c r="B74" s="342">
        <v>72</v>
      </c>
      <c r="C74" s="343"/>
      <c r="D74" s="342"/>
      <c r="E74" s="343"/>
      <c r="F74" s="344"/>
      <c r="G74" s="345"/>
      <c r="H74" s="346"/>
      <c r="I74" s="345"/>
      <c r="J74" s="344"/>
      <c r="K74" s="333"/>
      <c r="L74" s="347"/>
      <c r="M74" s="333"/>
      <c r="N74" s="352"/>
    </row>
    <row r="75" spans="2:14" ht="19.5" customHeight="1" x14ac:dyDescent="0.25">
      <c r="B75" s="342">
        <v>73</v>
      </c>
      <c r="C75" s="343"/>
      <c r="D75" s="342"/>
      <c r="E75" s="343"/>
      <c r="F75" s="344"/>
      <c r="G75" s="345"/>
      <c r="H75" s="346"/>
      <c r="I75" s="345"/>
      <c r="J75" s="344"/>
      <c r="K75" s="333"/>
      <c r="L75" s="347"/>
      <c r="M75" s="333"/>
      <c r="N75" s="352"/>
    </row>
    <row r="76" spans="2:14" ht="19.5" customHeight="1" x14ac:dyDescent="0.25">
      <c r="B76" s="342">
        <v>74</v>
      </c>
      <c r="C76" s="343"/>
      <c r="D76" s="342"/>
      <c r="E76" s="343"/>
      <c r="F76" s="344"/>
      <c r="G76" s="345"/>
      <c r="H76" s="346"/>
      <c r="I76" s="345"/>
      <c r="J76" s="344"/>
      <c r="K76" s="333"/>
      <c r="L76" s="347"/>
      <c r="M76" s="333"/>
      <c r="N76" s="352"/>
    </row>
    <row r="77" spans="2:14" ht="19.5" customHeight="1" x14ac:dyDescent="0.25">
      <c r="B77" s="342">
        <v>75</v>
      </c>
      <c r="C77" s="343"/>
      <c r="D77" s="342"/>
      <c r="E77" s="343"/>
      <c r="F77" s="344"/>
      <c r="G77" s="345"/>
      <c r="H77" s="346"/>
      <c r="I77" s="345"/>
      <c r="J77" s="344"/>
      <c r="K77" s="333"/>
      <c r="L77" s="347"/>
      <c r="M77" s="333"/>
      <c r="N77" s="352"/>
    </row>
    <row r="78" spans="2:14" ht="19.5" customHeight="1" x14ac:dyDescent="0.25">
      <c r="B78" s="342">
        <v>76</v>
      </c>
      <c r="C78" s="343"/>
      <c r="D78" s="342"/>
      <c r="E78" s="343"/>
      <c r="F78" s="344"/>
      <c r="G78" s="345"/>
      <c r="H78" s="346"/>
      <c r="I78" s="345"/>
      <c r="J78" s="344"/>
      <c r="K78" s="333"/>
      <c r="L78" s="347"/>
      <c r="M78" s="333"/>
      <c r="N78" s="352"/>
    </row>
    <row r="79" spans="2:14" ht="19.5" customHeight="1" x14ac:dyDescent="0.25">
      <c r="B79" s="342">
        <v>77</v>
      </c>
      <c r="C79" s="343"/>
      <c r="D79" s="342"/>
      <c r="E79" s="343"/>
      <c r="F79" s="344"/>
      <c r="G79" s="345"/>
      <c r="H79" s="346"/>
      <c r="I79" s="345"/>
      <c r="J79" s="344"/>
      <c r="K79" s="333"/>
      <c r="L79" s="347"/>
      <c r="M79" s="333"/>
      <c r="N79" s="352"/>
    </row>
    <row r="80" spans="2:14" ht="19.5" customHeight="1" x14ac:dyDescent="0.25">
      <c r="B80" s="342">
        <v>78</v>
      </c>
      <c r="C80" s="343"/>
      <c r="D80" s="342"/>
      <c r="E80" s="343"/>
      <c r="F80" s="344"/>
      <c r="G80" s="345"/>
      <c r="H80" s="346"/>
      <c r="I80" s="345"/>
      <c r="J80" s="344"/>
      <c r="K80" s="333"/>
      <c r="L80" s="347"/>
      <c r="M80" s="333"/>
      <c r="N80" s="352"/>
    </row>
    <row r="81" spans="2:14" ht="19.5" customHeight="1" x14ac:dyDescent="0.25">
      <c r="B81" s="342">
        <v>79</v>
      </c>
      <c r="C81" s="343"/>
      <c r="D81" s="342"/>
      <c r="E81" s="343"/>
      <c r="F81" s="344"/>
      <c r="G81" s="345"/>
      <c r="H81" s="346"/>
      <c r="I81" s="345"/>
      <c r="J81" s="344"/>
      <c r="K81" s="333"/>
      <c r="L81" s="347"/>
      <c r="M81" s="333"/>
      <c r="N81" s="352"/>
    </row>
    <row r="82" spans="2:14" ht="19.5" customHeight="1" x14ac:dyDescent="0.25">
      <c r="B82" s="342">
        <v>80</v>
      </c>
      <c r="C82" s="343"/>
      <c r="D82" s="342"/>
      <c r="E82" s="343"/>
      <c r="F82" s="344"/>
      <c r="G82" s="345"/>
      <c r="H82" s="346"/>
      <c r="I82" s="345"/>
      <c r="J82" s="344"/>
      <c r="K82" s="333"/>
      <c r="L82" s="347"/>
      <c r="M82" s="333"/>
      <c r="N82" s="352"/>
    </row>
    <row r="83" spans="2:14" ht="19.5" customHeight="1" x14ac:dyDescent="0.25">
      <c r="B83" s="342">
        <v>81</v>
      </c>
      <c r="C83" s="343"/>
      <c r="D83" s="342"/>
      <c r="E83" s="343"/>
      <c r="F83" s="344"/>
      <c r="G83" s="345"/>
      <c r="H83" s="346"/>
      <c r="I83" s="345"/>
      <c r="J83" s="344"/>
      <c r="K83" s="333"/>
      <c r="L83" s="347"/>
      <c r="M83" s="333"/>
      <c r="N83" s="352"/>
    </row>
    <row r="84" spans="2:14" ht="19.5" customHeight="1" x14ac:dyDescent="0.25">
      <c r="B84" s="342">
        <v>82</v>
      </c>
      <c r="C84" s="343"/>
      <c r="D84" s="342"/>
      <c r="E84" s="343"/>
      <c r="F84" s="344"/>
      <c r="G84" s="345"/>
      <c r="H84" s="346"/>
      <c r="I84" s="345"/>
      <c r="J84" s="344"/>
      <c r="K84" s="333"/>
      <c r="L84" s="347"/>
      <c r="M84" s="333"/>
      <c r="N84" s="352"/>
    </row>
    <row r="85" spans="2:14" ht="19.5" customHeight="1" x14ac:dyDescent="0.25">
      <c r="B85" s="342">
        <v>83</v>
      </c>
      <c r="C85" s="343"/>
      <c r="D85" s="342"/>
      <c r="E85" s="343"/>
      <c r="F85" s="344"/>
      <c r="G85" s="345"/>
      <c r="H85" s="346"/>
      <c r="I85" s="345"/>
      <c r="J85" s="344"/>
      <c r="K85" s="333"/>
      <c r="L85" s="347"/>
      <c r="M85" s="333"/>
      <c r="N85" s="352"/>
    </row>
    <row r="86" spans="2:14" ht="19.5" customHeight="1" x14ac:dyDescent="0.25">
      <c r="B86" s="342">
        <v>84</v>
      </c>
      <c r="C86" s="343"/>
      <c r="D86" s="342"/>
      <c r="E86" s="343"/>
      <c r="F86" s="344"/>
      <c r="G86" s="345"/>
      <c r="H86" s="346"/>
      <c r="I86" s="345"/>
      <c r="J86" s="344"/>
      <c r="K86" s="333"/>
      <c r="L86" s="347"/>
      <c r="M86" s="333"/>
      <c r="N86" s="352"/>
    </row>
    <row r="87" spans="2:14" ht="19.5" customHeight="1" x14ac:dyDescent="0.25">
      <c r="B87" s="342">
        <v>85</v>
      </c>
      <c r="C87" s="343"/>
      <c r="D87" s="342"/>
      <c r="E87" s="343"/>
      <c r="F87" s="344"/>
      <c r="G87" s="345"/>
      <c r="H87" s="346"/>
      <c r="I87" s="345"/>
      <c r="J87" s="344"/>
      <c r="K87" s="333"/>
      <c r="L87" s="347"/>
      <c r="M87" s="333"/>
      <c r="N87" s="352"/>
    </row>
    <row r="88" spans="2:14" ht="19.5" customHeight="1" x14ac:dyDescent="0.25">
      <c r="B88" s="342">
        <v>86</v>
      </c>
      <c r="C88" s="343"/>
      <c r="D88" s="342"/>
      <c r="E88" s="343"/>
      <c r="F88" s="344"/>
      <c r="G88" s="345"/>
      <c r="H88" s="346"/>
      <c r="I88" s="345"/>
      <c r="J88" s="344"/>
      <c r="K88" s="333"/>
      <c r="L88" s="347"/>
      <c r="M88" s="333"/>
      <c r="N88" s="352"/>
    </row>
    <row r="89" spans="2:14" ht="19.5" customHeight="1" x14ac:dyDescent="0.25">
      <c r="B89" s="342">
        <v>87</v>
      </c>
      <c r="C89" s="343"/>
      <c r="D89" s="342"/>
      <c r="E89" s="343"/>
      <c r="F89" s="344"/>
      <c r="G89" s="345"/>
      <c r="H89" s="346"/>
      <c r="I89" s="345"/>
      <c r="J89" s="344"/>
      <c r="K89" s="333"/>
      <c r="L89" s="347"/>
      <c r="M89" s="333"/>
      <c r="N89" s="352"/>
    </row>
    <row r="90" spans="2:14" ht="19.5" customHeight="1" x14ac:dyDescent="0.25">
      <c r="B90" s="342">
        <v>88</v>
      </c>
      <c r="C90" s="343"/>
      <c r="D90" s="342"/>
      <c r="E90" s="343"/>
      <c r="F90" s="344"/>
      <c r="G90" s="345"/>
      <c r="H90" s="346"/>
      <c r="I90" s="345"/>
      <c r="J90" s="344"/>
      <c r="K90" s="333"/>
      <c r="L90" s="347"/>
      <c r="M90" s="333"/>
      <c r="N90" s="352"/>
    </row>
    <row r="91" spans="2:14" ht="19.5" customHeight="1" x14ac:dyDescent="0.25">
      <c r="B91" s="342">
        <v>89</v>
      </c>
      <c r="C91" s="343"/>
      <c r="D91" s="342"/>
      <c r="E91" s="343"/>
      <c r="F91" s="344"/>
      <c r="G91" s="345"/>
      <c r="H91" s="346"/>
      <c r="I91" s="345"/>
      <c r="J91" s="344"/>
      <c r="K91" s="333"/>
      <c r="L91" s="347"/>
      <c r="M91" s="333"/>
      <c r="N91" s="352"/>
    </row>
    <row r="92" spans="2:14" ht="19.5" customHeight="1" x14ac:dyDescent="0.25">
      <c r="B92" s="342">
        <v>90</v>
      </c>
      <c r="C92" s="343"/>
      <c r="D92" s="342"/>
      <c r="E92" s="343"/>
      <c r="F92" s="344"/>
      <c r="G92" s="345"/>
      <c r="H92" s="346"/>
      <c r="I92" s="345"/>
      <c r="J92" s="344"/>
      <c r="K92" s="333"/>
      <c r="L92" s="347"/>
      <c r="M92" s="333"/>
      <c r="N92" s="352"/>
    </row>
    <row r="93" spans="2:14" ht="19.5" customHeight="1" x14ac:dyDescent="0.25">
      <c r="B93" s="342">
        <v>91</v>
      </c>
      <c r="C93" s="343"/>
      <c r="D93" s="342"/>
      <c r="E93" s="343"/>
      <c r="F93" s="344"/>
      <c r="G93" s="345"/>
      <c r="H93" s="346"/>
      <c r="I93" s="345"/>
      <c r="J93" s="344"/>
      <c r="K93" s="333"/>
      <c r="L93" s="347"/>
      <c r="M93" s="333"/>
      <c r="N93" s="352"/>
    </row>
    <row r="94" spans="2:14" ht="19.5" customHeight="1" x14ac:dyDescent="0.25">
      <c r="B94" s="342">
        <v>92</v>
      </c>
      <c r="C94" s="343"/>
      <c r="D94" s="342"/>
      <c r="E94" s="343"/>
      <c r="F94" s="344"/>
      <c r="G94" s="345"/>
      <c r="H94" s="346"/>
      <c r="I94" s="345"/>
      <c r="J94" s="344"/>
      <c r="K94" s="333"/>
      <c r="L94" s="347"/>
      <c r="M94" s="333"/>
      <c r="N94" s="352"/>
    </row>
    <row r="95" spans="2:14" ht="19.5" customHeight="1" x14ac:dyDescent="0.25">
      <c r="B95" s="342">
        <v>93</v>
      </c>
      <c r="C95" s="343"/>
      <c r="D95" s="342"/>
      <c r="E95" s="343"/>
      <c r="F95" s="344"/>
      <c r="G95" s="345"/>
      <c r="H95" s="346"/>
      <c r="I95" s="345"/>
      <c r="J95" s="344"/>
      <c r="K95" s="333"/>
      <c r="L95" s="347"/>
      <c r="M95" s="333"/>
      <c r="N95" s="352"/>
    </row>
    <row r="96" spans="2:14" ht="19.5" customHeight="1" x14ac:dyDescent="0.25">
      <c r="B96" s="342">
        <v>94</v>
      </c>
      <c r="C96" s="343"/>
      <c r="D96" s="342"/>
      <c r="E96" s="343"/>
      <c r="F96" s="344"/>
      <c r="G96" s="345"/>
      <c r="H96" s="346"/>
      <c r="I96" s="345"/>
      <c r="J96" s="344"/>
      <c r="K96" s="333"/>
      <c r="L96" s="347"/>
      <c r="M96" s="333"/>
      <c r="N96" s="352"/>
    </row>
    <row r="97" spans="2:14" ht="19.5" customHeight="1" x14ac:dyDescent="0.25">
      <c r="B97" s="342">
        <v>95</v>
      </c>
      <c r="C97" s="343"/>
      <c r="D97" s="342"/>
      <c r="E97" s="343"/>
      <c r="F97" s="344"/>
      <c r="G97" s="345"/>
      <c r="H97" s="346"/>
      <c r="I97" s="345"/>
      <c r="J97" s="344"/>
      <c r="K97" s="333"/>
      <c r="L97" s="347"/>
      <c r="M97" s="333"/>
      <c r="N97" s="352"/>
    </row>
    <row r="98" spans="2:14" ht="19.5" customHeight="1" x14ac:dyDescent="0.25">
      <c r="B98" s="342">
        <v>96</v>
      </c>
      <c r="C98" s="343"/>
      <c r="D98" s="342"/>
      <c r="E98" s="343"/>
      <c r="F98" s="344"/>
      <c r="G98" s="345"/>
      <c r="H98" s="346"/>
      <c r="I98" s="345"/>
      <c r="J98" s="344"/>
      <c r="K98" s="333"/>
      <c r="L98" s="347"/>
      <c r="M98" s="333"/>
      <c r="N98" s="352"/>
    </row>
    <row r="99" spans="2:14" ht="19.5" customHeight="1" x14ac:dyDescent="0.25">
      <c r="B99" s="342">
        <v>97</v>
      </c>
      <c r="C99" s="343"/>
      <c r="D99" s="342"/>
      <c r="E99" s="343"/>
      <c r="F99" s="344"/>
      <c r="G99" s="345"/>
      <c r="H99" s="346"/>
      <c r="I99" s="345"/>
      <c r="J99" s="344"/>
      <c r="K99" s="333"/>
      <c r="L99" s="347"/>
      <c r="M99" s="333"/>
      <c r="N99" s="352"/>
    </row>
    <row r="100" spans="2:14" ht="19.5" customHeight="1" x14ac:dyDescent="0.25">
      <c r="B100" s="342">
        <v>98</v>
      </c>
      <c r="C100" s="343"/>
      <c r="D100" s="342"/>
      <c r="E100" s="343"/>
      <c r="F100" s="344"/>
      <c r="G100" s="345"/>
      <c r="H100" s="346"/>
      <c r="I100" s="345"/>
      <c r="J100" s="344"/>
      <c r="K100" s="333"/>
      <c r="L100" s="347"/>
      <c r="M100" s="333"/>
      <c r="N100" s="352"/>
    </row>
    <row r="101" spans="2:14" ht="19.5" customHeight="1" x14ac:dyDescent="0.25">
      <c r="B101" s="342">
        <v>99</v>
      </c>
      <c r="C101" s="343"/>
      <c r="D101" s="342"/>
      <c r="E101" s="343"/>
      <c r="F101" s="344"/>
      <c r="G101" s="345"/>
      <c r="H101" s="346"/>
      <c r="I101" s="345"/>
      <c r="J101" s="344"/>
      <c r="K101" s="333"/>
      <c r="L101" s="347"/>
      <c r="M101" s="333"/>
      <c r="N101" s="352"/>
    </row>
    <row r="102" spans="2:14" ht="19.5" customHeight="1" x14ac:dyDescent="0.25">
      <c r="B102" s="342">
        <v>100</v>
      </c>
      <c r="C102" s="343"/>
      <c r="D102" s="342"/>
      <c r="E102" s="343"/>
      <c r="F102" s="344"/>
      <c r="G102" s="345"/>
      <c r="H102" s="346"/>
      <c r="I102" s="345"/>
      <c r="J102" s="344"/>
      <c r="K102" s="333"/>
      <c r="L102" s="347"/>
      <c r="M102" s="333"/>
      <c r="N102" s="352"/>
    </row>
    <row r="103" spans="2:14" ht="19.5" customHeight="1" x14ac:dyDescent="0.25">
      <c r="B103" s="342">
        <v>101</v>
      </c>
      <c r="C103" s="343"/>
      <c r="D103" s="342"/>
      <c r="E103" s="343"/>
      <c r="F103" s="344"/>
      <c r="G103" s="345"/>
      <c r="H103" s="346"/>
      <c r="I103" s="345"/>
      <c r="J103" s="344"/>
      <c r="K103" s="333"/>
      <c r="L103" s="347"/>
      <c r="M103" s="333"/>
      <c r="N103" s="352"/>
    </row>
    <row r="104" spans="2:14" ht="19.5" customHeight="1" x14ac:dyDescent="0.25">
      <c r="B104" s="342">
        <v>102</v>
      </c>
      <c r="C104" s="343"/>
      <c r="D104" s="342"/>
      <c r="E104" s="343"/>
      <c r="F104" s="344"/>
      <c r="G104" s="345"/>
      <c r="H104" s="346"/>
      <c r="I104" s="345"/>
      <c r="J104" s="344"/>
      <c r="K104" s="333"/>
      <c r="L104" s="347"/>
      <c r="M104" s="333"/>
      <c r="N104" s="352"/>
    </row>
    <row r="105" spans="2:14" ht="19.5" customHeight="1" x14ac:dyDescent="0.25">
      <c r="B105" s="342">
        <v>103</v>
      </c>
      <c r="C105" s="343"/>
      <c r="D105" s="342"/>
      <c r="E105" s="343"/>
      <c r="F105" s="344"/>
      <c r="G105" s="345"/>
      <c r="H105" s="346"/>
      <c r="I105" s="345"/>
      <c r="J105" s="344"/>
      <c r="K105" s="333"/>
      <c r="L105" s="347"/>
      <c r="M105" s="333"/>
      <c r="N105" s="352"/>
    </row>
    <row r="106" spans="2:14" ht="19.5" customHeight="1" x14ac:dyDescent="0.25">
      <c r="B106" s="342">
        <v>104</v>
      </c>
      <c r="C106" s="343"/>
      <c r="D106" s="342"/>
      <c r="E106" s="343"/>
      <c r="F106" s="344"/>
      <c r="G106" s="345"/>
      <c r="H106" s="346"/>
      <c r="I106" s="345"/>
      <c r="J106" s="344"/>
      <c r="K106" s="333"/>
      <c r="L106" s="347"/>
      <c r="M106" s="333"/>
      <c r="N106" s="352"/>
    </row>
    <row r="107" spans="2:14" ht="19.5" customHeight="1" x14ac:dyDescent="0.25">
      <c r="B107" s="342">
        <v>105</v>
      </c>
      <c r="C107" s="343"/>
      <c r="D107" s="342"/>
      <c r="E107" s="343"/>
      <c r="F107" s="344"/>
      <c r="G107" s="345"/>
      <c r="H107" s="346"/>
      <c r="I107" s="345"/>
      <c r="J107" s="344"/>
      <c r="K107" s="333"/>
      <c r="L107" s="347"/>
      <c r="M107" s="333"/>
      <c r="N107" s="352"/>
    </row>
    <row r="108" spans="2:14" ht="19.5" customHeight="1" x14ac:dyDescent="0.25">
      <c r="B108" s="342">
        <v>106</v>
      </c>
      <c r="C108" s="343"/>
      <c r="D108" s="342"/>
      <c r="E108" s="343"/>
      <c r="F108" s="344"/>
      <c r="G108" s="345"/>
      <c r="H108" s="346"/>
      <c r="I108" s="345"/>
      <c r="J108" s="344"/>
      <c r="K108" s="333"/>
      <c r="L108" s="347"/>
      <c r="M108" s="333"/>
      <c r="N108" s="352"/>
    </row>
    <row r="109" spans="2:14" ht="19.5" customHeight="1" x14ac:dyDescent="0.25">
      <c r="B109" s="342">
        <v>107</v>
      </c>
      <c r="C109" s="343"/>
      <c r="D109" s="342"/>
      <c r="E109" s="343"/>
      <c r="F109" s="344"/>
      <c r="G109" s="345"/>
      <c r="H109" s="346"/>
      <c r="I109" s="345"/>
      <c r="J109" s="344"/>
      <c r="K109" s="333"/>
      <c r="L109" s="347"/>
      <c r="M109" s="333"/>
      <c r="N109" s="352"/>
    </row>
    <row r="110" spans="2:14" ht="19.5" customHeight="1" x14ac:dyDescent="0.25">
      <c r="B110" s="342">
        <v>108</v>
      </c>
      <c r="C110" s="343"/>
      <c r="D110" s="342"/>
      <c r="E110" s="343"/>
      <c r="F110" s="344"/>
      <c r="G110" s="345"/>
      <c r="H110" s="346"/>
      <c r="I110" s="345"/>
      <c r="J110" s="344"/>
      <c r="K110" s="333"/>
      <c r="L110" s="347"/>
      <c r="M110" s="333"/>
      <c r="N110" s="352"/>
    </row>
    <row r="111" spans="2:14" ht="19.5" customHeight="1" x14ac:dyDescent="0.25">
      <c r="B111" s="342">
        <v>109</v>
      </c>
      <c r="C111" s="343"/>
      <c r="D111" s="342"/>
      <c r="E111" s="343"/>
      <c r="F111" s="344"/>
      <c r="G111" s="345"/>
      <c r="H111" s="346"/>
      <c r="I111" s="345"/>
      <c r="J111" s="344"/>
      <c r="K111" s="333"/>
      <c r="L111" s="347"/>
      <c r="M111" s="333"/>
      <c r="N111" s="352"/>
    </row>
    <row r="112" spans="2:14" ht="19.5" customHeight="1" x14ac:dyDescent="0.25">
      <c r="B112" s="342">
        <v>110</v>
      </c>
      <c r="C112" s="343"/>
      <c r="D112" s="342"/>
      <c r="E112" s="343"/>
      <c r="F112" s="344"/>
      <c r="G112" s="345"/>
      <c r="H112" s="346"/>
      <c r="I112" s="345"/>
      <c r="J112" s="344"/>
      <c r="K112" s="333"/>
      <c r="L112" s="347"/>
      <c r="M112" s="333"/>
      <c r="N112" s="352"/>
    </row>
    <row r="113" spans="2:14" ht="19.5" customHeight="1" x14ac:dyDescent="0.25">
      <c r="B113" s="342">
        <v>111</v>
      </c>
      <c r="C113" s="343"/>
      <c r="D113" s="342"/>
      <c r="E113" s="343"/>
      <c r="F113" s="344"/>
      <c r="G113" s="345"/>
      <c r="H113" s="346"/>
      <c r="I113" s="345"/>
      <c r="J113" s="344"/>
      <c r="K113" s="333"/>
      <c r="L113" s="347"/>
      <c r="M113" s="333"/>
      <c r="N113" s="352"/>
    </row>
    <row r="114" spans="2:14" ht="19.5" customHeight="1" x14ac:dyDescent="0.25">
      <c r="B114" s="342">
        <v>112</v>
      </c>
      <c r="C114" s="343"/>
      <c r="D114" s="342"/>
      <c r="E114" s="343"/>
      <c r="F114" s="344"/>
      <c r="G114" s="345"/>
      <c r="H114" s="346"/>
      <c r="I114" s="345"/>
      <c r="J114" s="344"/>
      <c r="K114" s="333"/>
      <c r="L114" s="347"/>
      <c r="M114" s="333"/>
      <c r="N114" s="352"/>
    </row>
    <row r="115" spans="2:14" ht="19.5" customHeight="1" x14ac:dyDescent="0.25">
      <c r="B115" s="342">
        <v>113</v>
      </c>
      <c r="C115" s="343"/>
      <c r="D115" s="342"/>
      <c r="E115" s="343"/>
      <c r="F115" s="344"/>
      <c r="G115" s="345"/>
      <c r="H115" s="346"/>
      <c r="I115" s="345"/>
      <c r="J115" s="344"/>
      <c r="K115" s="333"/>
      <c r="L115" s="347"/>
      <c r="M115" s="333"/>
      <c r="N115" s="352"/>
    </row>
    <row r="116" spans="2:14" ht="19.5" customHeight="1" x14ac:dyDescent="0.25">
      <c r="B116" s="342">
        <v>114</v>
      </c>
      <c r="C116" s="343"/>
      <c r="D116" s="342"/>
      <c r="E116" s="343"/>
      <c r="F116" s="344"/>
      <c r="G116" s="345"/>
      <c r="H116" s="346"/>
      <c r="I116" s="345"/>
      <c r="J116" s="344"/>
      <c r="K116" s="333"/>
      <c r="L116" s="347"/>
      <c r="M116" s="333"/>
      <c r="N116" s="352"/>
    </row>
    <row r="117" spans="2:14" ht="19.5" customHeight="1" x14ac:dyDescent="0.25">
      <c r="B117" s="342">
        <v>115</v>
      </c>
      <c r="C117" s="343"/>
      <c r="D117" s="342"/>
      <c r="E117" s="343"/>
      <c r="F117" s="344"/>
      <c r="G117" s="345"/>
      <c r="H117" s="346"/>
      <c r="I117" s="345"/>
      <c r="J117" s="344"/>
      <c r="K117" s="333"/>
      <c r="L117" s="347"/>
      <c r="M117" s="333"/>
      <c r="N117" s="352"/>
    </row>
    <row r="118" spans="2:14" ht="19.5" customHeight="1" x14ac:dyDescent="0.25">
      <c r="B118" s="342">
        <v>116</v>
      </c>
      <c r="C118" s="343"/>
      <c r="D118" s="342"/>
      <c r="E118" s="343"/>
      <c r="F118" s="344"/>
      <c r="G118" s="345"/>
      <c r="H118" s="346"/>
      <c r="I118" s="345"/>
      <c r="J118" s="344"/>
      <c r="K118" s="333"/>
      <c r="L118" s="347"/>
      <c r="M118" s="333"/>
      <c r="N118" s="352"/>
    </row>
    <row r="119" spans="2:14" ht="19.5" customHeight="1" x14ac:dyDescent="0.25">
      <c r="B119" s="342">
        <v>117</v>
      </c>
      <c r="C119" s="343"/>
      <c r="D119" s="342"/>
      <c r="E119" s="343"/>
      <c r="F119" s="344"/>
      <c r="G119" s="345"/>
      <c r="H119" s="346"/>
      <c r="I119" s="345"/>
      <c r="J119" s="344"/>
      <c r="K119" s="333"/>
      <c r="L119" s="347"/>
      <c r="M119" s="333"/>
      <c r="N119" s="352"/>
    </row>
    <row r="120" spans="2:14" ht="19.5" customHeight="1" x14ac:dyDescent="0.25">
      <c r="B120" s="342">
        <v>118</v>
      </c>
      <c r="C120" s="343"/>
      <c r="D120" s="342"/>
      <c r="E120" s="343"/>
      <c r="F120" s="344"/>
      <c r="G120" s="345"/>
      <c r="H120" s="346"/>
      <c r="I120" s="345"/>
      <c r="J120" s="344"/>
      <c r="K120" s="333"/>
      <c r="L120" s="347"/>
      <c r="M120" s="333"/>
      <c r="N120" s="352"/>
    </row>
    <row r="121" spans="2:14" ht="19.5" customHeight="1" x14ac:dyDescent="0.25">
      <c r="B121" s="342">
        <v>119</v>
      </c>
      <c r="C121" s="343"/>
      <c r="D121" s="342"/>
      <c r="E121" s="343"/>
      <c r="F121" s="344"/>
      <c r="G121" s="345"/>
      <c r="H121" s="346"/>
      <c r="I121" s="345"/>
      <c r="J121" s="344"/>
      <c r="K121" s="333"/>
      <c r="L121" s="347"/>
      <c r="M121" s="333"/>
      <c r="N121" s="352"/>
    </row>
    <row r="122" spans="2:14" ht="19.5" customHeight="1" x14ac:dyDescent="0.25">
      <c r="B122" s="342">
        <v>120</v>
      </c>
      <c r="C122" s="343"/>
      <c r="D122" s="342"/>
      <c r="E122" s="343"/>
      <c r="F122" s="344"/>
      <c r="G122" s="345"/>
      <c r="H122" s="346"/>
      <c r="I122" s="345"/>
      <c r="J122" s="344"/>
      <c r="K122" s="333"/>
      <c r="L122" s="347"/>
      <c r="M122" s="333"/>
      <c r="N122" s="352"/>
    </row>
    <row r="123" spans="2:14" ht="19.5" customHeight="1" x14ac:dyDescent="0.25">
      <c r="B123" s="342">
        <v>121</v>
      </c>
      <c r="C123" s="343"/>
      <c r="D123" s="342"/>
      <c r="E123" s="343"/>
      <c r="F123" s="344"/>
      <c r="G123" s="345"/>
      <c r="H123" s="346"/>
      <c r="I123" s="345"/>
      <c r="J123" s="344"/>
      <c r="K123" s="333"/>
      <c r="L123" s="347"/>
      <c r="M123" s="333"/>
      <c r="N123" s="352"/>
    </row>
    <row r="124" spans="2:14" ht="19.5" customHeight="1" x14ac:dyDescent="0.25">
      <c r="B124" s="342">
        <v>122</v>
      </c>
      <c r="C124" s="343"/>
      <c r="D124" s="342"/>
      <c r="E124" s="343"/>
      <c r="F124" s="344"/>
      <c r="G124" s="345"/>
      <c r="H124" s="346"/>
      <c r="I124" s="345"/>
      <c r="J124" s="344"/>
      <c r="K124" s="333"/>
      <c r="L124" s="347"/>
      <c r="M124" s="333"/>
      <c r="N124" s="352"/>
    </row>
    <row r="125" spans="2:14" ht="19.5" customHeight="1" x14ac:dyDescent="0.25">
      <c r="B125" s="342">
        <v>123</v>
      </c>
      <c r="C125" s="343"/>
      <c r="D125" s="342"/>
      <c r="E125" s="343"/>
      <c r="F125" s="344"/>
      <c r="G125" s="345"/>
      <c r="H125" s="346"/>
      <c r="I125" s="345"/>
      <c r="J125" s="344"/>
      <c r="K125" s="333"/>
      <c r="L125" s="347"/>
      <c r="M125" s="333"/>
      <c r="N125" s="352"/>
    </row>
    <row r="126" spans="2:14" ht="19.5" customHeight="1" x14ac:dyDescent="0.25">
      <c r="B126" s="342">
        <v>124</v>
      </c>
      <c r="C126" s="343"/>
      <c r="D126" s="342"/>
      <c r="E126" s="343"/>
      <c r="F126" s="344"/>
      <c r="G126" s="345"/>
      <c r="H126" s="346"/>
      <c r="I126" s="345"/>
      <c r="J126" s="344"/>
      <c r="K126" s="333"/>
      <c r="L126" s="347"/>
      <c r="M126" s="333"/>
      <c r="N126" s="352"/>
    </row>
    <row r="127" spans="2:14" ht="19.5" customHeight="1" x14ac:dyDescent="0.25">
      <c r="B127" s="342">
        <v>125</v>
      </c>
      <c r="C127" s="343"/>
      <c r="D127" s="342"/>
      <c r="E127" s="343"/>
      <c r="F127" s="344"/>
      <c r="G127" s="345"/>
      <c r="H127" s="346"/>
      <c r="I127" s="345"/>
      <c r="J127" s="344"/>
      <c r="K127" s="333"/>
      <c r="L127" s="347"/>
      <c r="M127" s="333"/>
      <c r="N127" s="352"/>
    </row>
  </sheetData>
  <pageMargins left="0.2" right="0" top="0.1" bottom="0.1" header="0" footer="0"/>
  <pageSetup paperSize="9" scale="7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O68"/>
  <sheetViews>
    <sheetView showGridLines="0" zoomScaleNormal="100" workbookViewId="0">
      <selection activeCell="B2" sqref="B2:O68"/>
    </sheetView>
  </sheetViews>
  <sheetFormatPr defaultColWidth="9.140625" defaultRowHeight="15" x14ac:dyDescent="0.25"/>
  <cols>
    <col min="1" max="1" width="5.42578125" style="380" customWidth="1"/>
    <col min="2" max="2" width="8.28515625" style="380" bestFit="1" customWidth="1"/>
    <col min="3" max="3" width="17.28515625" style="380" bestFit="1" customWidth="1"/>
    <col min="4" max="4" width="14.28515625" style="380" customWidth="1"/>
    <col min="5" max="5" width="16.5703125" style="380" customWidth="1"/>
    <col min="6" max="6" width="40.5703125" style="380" customWidth="1"/>
    <col min="7" max="7" width="17.28515625" style="380" customWidth="1"/>
    <col min="8" max="8" width="16.85546875" style="380" customWidth="1"/>
    <col min="9" max="9" width="16.42578125" style="380" customWidth="1"/>
    <col min="10" max="10" width="13.42578125" style="380" bestFit="1" customWidth="1"/>
    <col min="11" max="11" width="12" style="380" bestFit="1" customWidth="1"/>
    <col min="12" max="12" width="10.7109375" style="380" bestFit="1" customWidth="1"/>
    <col min="13" max="13" width="11.5703125" style="380" bestFit="1" customWidth="1"/>
    <col min="14" max="14" width="12.42578125" style="380" bestFit="1" customWidth="1"/>
    <col min="15" max="15" width="20.85546875" style="380" customWidth="1"/>
    <col min="16" max="16384" width="9.140625" style="380"/>
  </cols>
  <sheetData>
    <row r="2" spans="2:15" ht="35.25" customHeight="1" x14ac:dyDescent="0.25">
      <c r="B2" s="390" t="s">
        <v>43</v>
      </c>
      <c r="C2" s="390" t="s">
        <v>64</v>
      </c>
      <c r="D2" s="390" t="s">
        <v>65</v>
      </c>
      <c r="E2" s="390" t="s">
        <v>66</v>
      </c>
      <c r="F2" s="390" t="s">
        <v>10</v>
      </c>
      <c r="G2" s="402" t="s">
        <v>67</v>
      </c>
      <c r="H2" s="391" t="s">
        <v>68</v>
      </c>
      <c r="I2" s="391" t="s">
        <v>881</v>
      </c>
      <c r="J2" s="391" t="s">
        <v>880</v>
      </c>
      <c r="K2" s="392" t="s">
        <v>877</v>
      </c>
      <c r="L2" s="392" t="s">
        <v>878</v>
      </c>
      <c r="M2" s="392" t="s">
        <v>879</v>
      </c>
      <c r="N2" s="392" t="s">
        <v>876</v>
      </c>
      <c r="O2" s="391" t="s">
        <v>713</v>
      </c>
    </row>
    <row r="3" spans="2:15" customFormat="1" ht="18.75" hidden="1" x14ac:dyDescent="0.25">
      <c r="B3" s="342">
        <v>1</v>
      </c>
      <c r="C3" s="379" t="s">
        <v>505</v>
      </c>
      <c r="D3" s="342">
        <v>2100011773</v>
      </c>
      <c r="E3" s="343">
        <v>4500135219</v>
      </c>
      <c r="F3" s="344" t="s">
        <v>711</v>
      </c>
      <c r="G3" s="345"/>
      <c r="H3" s="346">
        <v>235095520</v>
      </c>
      <c r="I3" s="345"/>
      <c r="J3" s="344" t="s">
        <v>176</v>
      </c>
      <c r="K3" s="333">
        <v>43721</v>
      </c>
      <c r="L3" s="347">
        <v>43690</v>
      </c>
      <c r="M3" s="333"/>
      <c r="N3" s="377">
        <f t="shared" ref="N3:N9" ca="1" si="0">TODAY() - K3</f>
        <v>52</v>
      </c>
      <c r="O3" s="378"/>
    </row>
    <row r="4" spans="2:15" customFormat="1" ht="18.75" hidden="1" x14ac:dyDescent="0.25">
      <c r="B4" s="342">
        <v>2</v>
      </c>
      <c r="C4" s="379" t="s">
        <v>144</v>
      </c>
      <c r="D4" s="342">
        <v>5500011904</v>
      </c>
      <c r="E4" s="343"/>
      <c r="F4" s="344" t="s">
        <v>735</v>
      </c>
      <c r="G4" s="345">
        <v>6400000</v>
      </c>
      <c r="H4" s="346"/>
      <c r="I4" s="345"/>
      <c r="J4" s="344" t="s">
        <v>176</v>
      </c>
      <c r="K4" s="333">
        <v>43724</v>
      </c>
      <c r="L4" s="347">
        <v>43692</v>
      </c>
      <c r="M4" s="333"/>
      <c r="N4" s="377">
        <f t="shared" ca="1" si="0"/>
        <v>49</v>
      </c>
      <c r="O4" s="378"/>
    </row>
    <row r="5" spans="2:15" customFormat="1" ht="18.75" hidden="1" x14ac:dyDescent="0.25">
      <c r="B5" s="342">
        <v>3</v>
      </c>
      <c r="C5" s="379" t="s">
        <v>144</v>
      </c>
      <c r="D5" s="342">
        <v>5500012029</v>
      </c>
      <c r="E5" s="343"/>
      <c r="F5" s="344" t="s">
        <v>584</v>
      </c>
      <c r="G5" s="345">
        <v>11875000</v>
      </c>
      <c r="H5" s="346"/>
      <c r="I5" s="345"/>
      <c r="J5" s="344" t="s">
        <v>176</v>
      </c>
      <c r="K5" s="333">
        <v>43735</v>
      </c>
      <c r="L5" s="347">
        <v>43763</v>
      </c>
      <c r="M5" s="333"/>
      <c r="N5" s="377">
        <f t="shared" ca="1" si="0"/>
        <v>38</v>
      </c>
      <c r="O5" s="378"/>
    </row>
    <row r="6" spans="2:15" ht="18.75" hidden="1" x14ac:dyDescent="0.25">
      <c r="B6" s="386">
        <v>4</v>
      </c>
      <c r="C6" s="381" t="s">
        <v>140</v>
      </c>
      <c r="D6" s="386">
        <v>2100011712</v>
      </c>
      <c r="E6" s="382">
        <v>4500135199</v>
      </c>
      <c r="F6" s="387" t="s">
        <v>608</v>
      </c>
      <c r="G6" s="383">
        <v>0</v>
      </c>
      <c r="H6" s="388">
        <v>68500000</v>
      </c>
      <c r="I6" s="383"/>
      <c r="J6" s="387" t="s">
        <v>552</v>
      </c>
      <c r="K6" s="384">
        <v>43738</v>
      </c>
      <c r="L6" s="389">
        <v>43656</v>
      </c>
      <c r="M6" s="384"/>
      <c r="N6" s="377">
        <f t="shared" ca="1" si="0"/>
        <v>35</v>
      </c>
      <c r="O6" s="385"/>
    </row>
    <row r="7" spans="2:15" ht="18.75" hidden="1" x14ac:dyDescent="0.25">
      <c r="B7" s="386">
        <v>5</v>
      </c>
      <c r="C7" s="381" t="s">
        <v>140</v>
      </c>
      <c r="D7" s="386">
        <v>2100011783</v>
      </c>
      <c r="E7" s="382"/>
      <c r="F7" s="387" t="s">
        <v>746</v>
      </c>
      <c r="G7" s="383">
        <v>63150000</v>
      </c>
      <c r="H7" s="388"/>
      <c r="I7" s="383"/>
      <c r="J7" s="387" t="s">
        <v>177</v>
      </c>
      <c r="K7" s="384">
        <v>43743</v>
      </c>
      <c r="L7" s="389">
        <v>43698</v>
      </c>
      <c r="M7" s="384"/>
      <c r="N7" s="377">
        <f t="shared" ca="1" si="0"/>
        <v>30</v>
      </c>
      <c r="O7" s="385"/>
    </row>
    <row r="8" spans="2:15" ht="18.75" hidden="1" x14ac:dyDescent="0.25">
      <c r="B8" s="386">
        <v>6</v>
      </c>
      <c r="C8" s="381" t="s">
        <v>142</v>
      </c>
      <c r="D8" s="386">
        <v>2100011731</v>
      </c>
      <c r="E8" s="382">
        <v>4500135119</v>
      </c>
      <c r="F8" s="387" t="s">
        <v>600</v>
      </c>
      <c r="G8" s="383">
        <v>0</v>
      </c>
      <c r="H8" s="388">
        <v>350957320</v>
      </c>
      <c r="I8" s="383"/>
      <c r="J8" s="387" t="s">
        <v>201</v>
      </c>
      <c r="K8" s="384">
        <v>43714</v>
      </c>
      <c r="L8" s="389">
        <v>43664</v>
      </c>
      <c r="M8" s="384"/>
      <c r="N8" s="377">
        <f t="shared" ca="1" si="0"/>
        <v>59</v>
      </c>
      <c r="O8" s="385"/>
    </row>
    <row r="9" spans="2:15" customFormat="1" ht="18.75" hidden="1" x14ac:dyDescent="0.25">
      <c r="B9" s="342">
        <v>7</v>
      </c>
      <c r="C9" s="379" t="s">
        <v>130</v>
      </c>
      <c r="D9" s="342">
        <v>2100011803</v>
      </c>
      <c r="E9" s="343"/>
      <c r="F9" s="344" t="s">
        <v>827</v>
      </c>
      <c r="G9" s="345">
        <v>24500000</v>
      </c>
      <c r="H9" s="346"/>
      <c r="I9" s="345"/>
      <c r="J9" s="344" t="s">
        <v>759</v>
      </c>
      <c r="K9" s="333">
        <v>43739</v>
      </c>
      <c r="L9" s="347">
        <v>43720</v>
      </c>
      <c r="M9" s="333"/>
      <c r="N9" s="377">
        <f t="shared" ca="1" si="0"/>
        <v>34</v>
      </c>
      <c r="O9" s="378"/>
    </row>
    <row r="10" spans="2:15" customFormat="1" ht="18.75" hidden="1" x14ac:dyDescent="0.25">
      <c r="B10" s="393">
        <v>16</v>
      </c>
      <c r="C10" s="379" t="s">
        <v>106</v>
      </c>
      <c r="D10" s="393">
        <v>6100000694</v>
      </c>
      <c r="E10" s="343">
        <v>331018802</v>
      </c>
      <c r="F10" s="395" t="s">
        <v>258</v>
      </c>
      <c r="G10" s="398"/>
      <c r="H10" s="399">
        <v>37730732</v>
      </c>
      <c r="I10" s="400">
        <v>113875929</v>
      </c>
      <c r="J10" s="395" t="s">
        <v>167</v>
      </c>
      <c r="K10" s="333">
        <v>43524</v>
      </c>
      <c r="L10" s="396">
        <v>43446</v>
      </c>
      <c r="M10" s="333">
        <v>43525</v>
      </c>
      <c r="N10" s="377">
        <f t="shared" ref="N10:N41" ca="1" si="1">TODAY() - K10</f>
        <v>249</v>
      </c>
      <c r="O10" s="378"/>
    </row>
    <row r="11" spans="2:15" customFormat="1" ht="18.75" hidden="1" x14ac:dyDescent="0.25">
      <c r="B11" s="393">
        <v>17</v>
      </c>
      <c r="C11" s="379" t="s">
        <v>106</v>
      </c>
      <c r="D11" s="393">
        <v>6100000699</v>
      </c>
      <c r="E11" s="343" t="s">
        <v>169</v>
      </c>
      <c r="F11" s="395" t="s">
        <v>260</v>
      </c>
      <c r="G11" s="398"/>
      <c r="H11" s="399">
        <v>301755253</v>
      </c>
      <c r="I11" s="400">
        <v>591861639</v>
      </c>
      <c r="J11" s="395" t="s">
        <v>167</v>
      </c>
      <c r="K11" s="333">
        <v>43539</v>
      </c>
      <c r="L11" s="396">
        <v>43446</v>
      </c>
      <c r="M11" s="333">
        <v>43525</v>
      </c>
      <c r="N11" s="377">
        <f t="shared" ca="1" si="1"/>
        <v>234</v>
      </c>
      <c r="O11" s="378"/>
    </row>
    <row r="12" spans="2:15" customFormat="1" ht="18.75" x14ac:dyDescent="0.25">
      <c r="B12" s="342">
        <v>47</v>
      </c>
      <c r="C12" s="379" t="s">
        <v>121</v>
      </c>
      <c r="D12" s="342">
        <v>4400000759</v>
      </c>
      <c r="E12" s="343" t="s">
        <v>387</v>
      </c>
      <c r="F12" s="344" t="s">
        <v>388</v>
      </c>
      <c r="G12" s="345"/>
      <c r="H12" s="346">
        <v>25871000</v>
      </c>
      <c r="I12" s="345"/>
      <c r="J12" s="344" t="s">
        <v>244</v>
      </c>
      <c r="K12" s="333">
        <v>43609</v>
      </c>
      <c r="L12" s="347">
        <v>43566</v>
      </c>
      <c r="M12" s="333"/>
      <c r="N12" s="377">
        <f t="shared" ca="1" si="1"/>
        <v>164</v>
      </c>
      <c r="O12" s="378"/>
    </row>
    <row r="13" spans="2:15" customFormat="1" ht="18.75" hidden="1" x14ac:dyDescent="0.25">
      <c r="B13" s="393">
        <v>20</v>
      </c>
      <c r="C13" s="379" t="s">
        <v>106</v>
      </c>
      <c r="D13" s="393">
        <v>6100000760</v>
      </c>
      <c r="E13" s="343" t="s">
        <v>466</v>
      </c>
      <c r="F13" s="395" t="s">
        <v>430</v>
      </c>
      <c r="G13" s="398">
        <v>13606022</v>
      </c>
      <c r="H13" s="399">
        <v>0</v>
      </c>
      <c r="I13" s="400">
        <v>0</v>
      </c>
      <c r="J13" s="395" t="s">
        <v>167</v>
      </c>
      <c r="K13" s="333">
        <v>43612</v>
      </c>
      <c r="L13" s="396">
        <v>43571</v>
      </c>
      <c r="M13" s="333">
        <v>43647</v>
      </c>
      <c r="N13" s="377">
        <f t="shared" ca="1" si="1"/>
        <v>161</v>
      </c>
      <c r="O13" s="378"/>
    </row>
    <row r="14" spans="2:15" customFormat="1" ht="18.75" hidden="1" x14ac:dyDescent="0.25">
      <c r="B14" s="393">
        <v>10</v>
      </c>
      <c r="C14" s="379" t="s">
        <v>105</v>
      </c>
      <c r="D14" s="393">
        <v>6100000731</v>
      </c>
      <c r="E14" s="343">
        <v>330219807</v>
      </c>
      <c r="F14" s="395" t="s">
        <v>331</v>
      </c>
      <c r="G14" s="398">
        <v>76469054</v>
      </c>
      <c r="H14" s="399">
        <v>131025432</v>
      </c>
      <c r="I14" s="400">
        <v>241923463</v>
      </c>
      <c r="J14" s="395" t="s">
        <v>167</v>
      </c>
      <c r="K14" s="333">
        <v>43628</v>
      </c>
      <c r="L14" s="396">
        <v>43516</v>
      </c>
      <c r="M14" s="333">
        <v>43617</v>
      </c>
      <c r="N14" s="377">
        <f t="shared" ca="1" si="1"/>
        <v>145</v>
      </c>
      <c r="O14" s="378"/>
    </row>
    <row r="15" spans="2:15" customFormat="1" ht="18.75" hidden="1" x14ac:dyDescent="0.25">
      <c r="B15" s="393">
        <v>13</v>
      </c>
      <c r="C15" s="379" t="s">
        <v>639</v>
      </c>
      <c r="D15" s="393">
        <v>6100000789</v>
      </c>
      <c r="E15" s="343" t="s">
        <v>800</v>
      </c>
      <c r="F15" s="397" t="s">
        <v>728</v>
      </c>
      <c r="G15" s="345"/>
      <c r="H15" s="394">
        <v>242098613</v>
      </c>
      <c r="I15" s="345"/>
      <c r="J15" s="395" t="s">
        <v>729</v>
      </c>
      <c r="K15" s="333">
        <v>43722</v>
      </c>
      <c r="L15" s="396">
        <v>43692</v>
      </c>
      <c r="M15" s="333"/>
      <c r="N15" s="377">
        <f t="shared" ca="1" si="1"/>
        <v>51</v>
      </c>
      <c r="O15" s="378"/>
    </row>
    <row r="16" spans="2:15" customFormat="1" ht="18.75" x14ac:dyDescent="0.25">
      <c r="B16" s="393">
        <v>14</v>
      </c>
      <c r="C16" s="379" t="s">
        <v>639</v>
      </c>
      <c r="D16" s="393">
        <v>6100000795</v>
      </c>
      <c r="E16" s="343" t="s">
        <v>797</v>
      </c>
      <c r="F16" s="397" t="s">
        <v>765</v>
      </c>
      <c r="G16" s="345"/>
      <c r="H16" s="394">
        <v>60125663</v>
      </c>
      <c r="I16" s="345"/>
      <c r="J16" s="395" t="s">
        <v>244</v>
      </c>
      <c r="K16" s="333">
        <v>43735</v>
      </c>
      <c r="L16" s="396">
        <v>43710</v>
      </c>
      <c r="M16" s="333"/>
      <c r="N16" s="377">
        <f t="shared" ca="1" si="1"/>
        <v>38</v>
      </c>
      <c r="O16" s="378"/>
    </row>
    <row r="17" spans="2:15" customFormat="1" ht="18.75" x14ac:dyDescent="0.25">
      <c r="B17" s="393">
        <v>15</v>
      </c>
      <c r="C17" s="379" t="s">
        <v>639</v>
      </c>
      <c r="D17" s="393">
        <v>6100000796</v>
      </c>
      <c r="E17" s="343" t="s">
        <v>798</v>
      </c>
      <c r="F17" s="397" t="s">
        <v>766</v>
      </c>
      <c r="G17" s="345"/>
      <c r="H17" s="394">
        <v>88762674</v>
      </c>
      <c r="I17" s="345"/>
      <c r="J17" s="395" t="s">
        <v>244</v>
      </c>
      <c r="K17" s="333">
        <v>43735</v>
      </c>
      <c r="L17" s="396">
        <v>43710</v>
      </c>
      <c r="M17" s="333"/>
      <c r="N17" s="377">
        <f t="shared" ca="1" si="1"/>
        <v>38</v>
      </c>
      <c r="O17" s="378"/>
    </row>
    <row r="18" spans="2:15" customFormat="1" ht="18.75" x14ac:dyDescent="0.25">
      <c r="B18" s="393">
        <v>9</v>
      </c>
      <c r="C18" s="379" t="s">
        <v>110</v>
      </c>
      <c r="D18" s="393">
        <v>6100000759</v>
      </c>
      <c r="E18" s="343">
        <v>330419807</v>
      </c>
      <c r="F18" s="395" t="s">
        <v>404</v>
      </c>
      <c r="G18" s="398"/>
      <c r="H18" s="399">
        <v>23214522</v>
      </c>
      <c r="I18" s="400"/>
      <c r="J18" s="395" t="s">
        <v>171</v>
      </c>
      <c r="K18" s="333">
        <v>43630</v>
      </c>
      <c r="L18" s="396">
        <v>43577</v>
      </c>
      <c r="M18" s="333"/>
      <c r="N18" s="377">
        <f t="shared" ca="1" si="1"/>
        <v>143</v>
      </c>
      <c r="O18" s="378"/>
    </row>
    <row r="19" spans="2:15" customFormat="1" ht="18.75" x14ac:dyDescent="0.25">
      <c r="B19" s="342">
        <v>46</v>
      </c>
      <c r="C19" s="379" t="s">
        <v>121</v>
      </c>
      <c r="D19" s="342">
        <v>4400000758</v>
      </c>
      <c r="E19" s="343" t="s">
        <v>385</v>
      </c>
      <c r="F19" s="344" t="s">
        <v>386</v>
      </c>
      <c r="G19" s="345"/>
      <c r="H19" s="346">
        <v>77613000</v>
      </c>
      <c r="I19" s="345"/>
      <c r="J19" s="344" t="s">
        <v>244</v>
      </c>
      <c r="K19" s="333">
        <v>43640</v>
      </c>
      <c r="L19" s="347">
        <v>43564</v>
      </c>
      <c r="M19" s="333"/>
      <c r="N19" s="377">
        <f t="shared" ca="1" si="1"/>
        <v>133</v>
      </c>
      <c r="O19" s="378"/>
    </row>
    <row r="20" spans="2:15" customFormat="1" ht="18.75" hidden="1" x14ac:dyDescent="0.25">
      <c r="B20" s="342">
        <v>38</v>
      </c>
      <c r="C20" s="379" t="s">
        <v>118</v>
      </c>
      <c r="D20" s="342">
        <v>6100000772</v>
      </c>
      <c r="E20" s="343" t="s">
        <v>663</v>
      </c>
      <c r="F20" s="344" t="s">
        <v>499</v>
      </c>
      <c r="G20" s="345">
        <v>8019500</v>
      </c>
      <c r="H20" s="346"/>
      <c r="I20" s="345">
        <v>14524840</v>
      </c>
      <c r="J20" s="344" t="s">
        <v>500</v>
      </c>
      <c r="K20" s="333">
        <v>43682</v>
      </c>
      <c r="L20" s="347">
        <v>43679</v>
      </c>
      <c r="M20" s="333">
        <v>43686</v>
      </c>
      <c r="N20" s="377">
        <f t="shared" ca="1" si="1"/>
        <v>91</v>
      </c>
      <c r="O20" s="378"/>
    </row>
    <row r="21" spans="2:15" customFormat="1" ht="18.75" hidden="1" x14ac:dyDescent="0.25">
      <c r="B21" s="342">
        <v>23</v>
      </c>
      <c r="C21" s="379" t="s">
        <v>106</v>
      </c>
      <c r="D21" s="342">
        <v>2100011716</v>
      </c>
      <c r="E21" s="343">
        <v>4500135153</v>
      </c>
      <c r="F21" s="344" t="s">
        <v>577</v>
      </c>
      <c r="G21" s="345">
        <v>0</v>
      </c>
      <c r="H21" s="346">
        <v>132089478</v>
      </c>
      <c r="I21" s="345"/>
      <c r="J21" s="344" t="s">
        <v>552</v>
      </c>
      <c r="K21" s="333">
        <v>43700</v>
      </c>
      <c r="L21" s="347">
        <v>43658</v>
      </c>
      <c r="M21" s="333"/>
      <c r="N21" s="377">
        <f t="shared" ca="1" si="1"/>
        <v>73</v>
      </c>
      <c r="O21" s="378"/>
    </row>
    <row r="22" spans="2:15" customFormat="1" ht="18.75" hidden="1" x14ac:dyDescent="0.25">
      <c r="B22" s="342">
        <v>50</v>
      </c>
      <c r="C22" s="379" t="s">
        <v>121</v>
      </c>
      <c r="D22" s="342">
        <v>5500011764</v>
      </c>
      <c r="E22" s="343"/>
      <c r="F22" s="344" t="s">
        <v>574</v>
      </c>
      <c r="G22" s="345">
        <v>11236298</v>
      </c>
      <c r="H22" s="346"/>
      <c r="I22" s="345"/>
      <c r="J22" s="344" t="s">
        <v>365</v>
      </c>
      <c r="K22" s="333">
        <v>43700</v>
      </c>
      <c r="L22" s="347">
        <v>43658</v>
      </c>
      <c r="M22" s="333"/>
      <c r="N22" s="377">
        <f t="shared" ca="1" si="1"/>
        <v>73</v>
      </c>
      <c r="O22" s="378"/>
    </row>
    <row r="23" spans="2:15" customFormat="1" ht="18.75" x14ac:dyDescent="0.25">
      <c r="B23" s="393">
        <v>36</v>
      </c>
      <c r="C23" s="379" t="s">
        <v>116</v>
      </c>
      <c r="D23" s="393">
        <v>6100000766</v>
      </c>
      <c r="E23" s="343"/>
      <c r="F23" s="395" t="s">
        <v>661</v>
      </c>
      <c r="G23" s="398">
        <v>14362054</v>
      </c>
      <c r="H23" s="399"/>
      <c r="I23" s="400"/>
      <c r="J23" s="395"/>
      <c r="K23" s="333">
        <v>43705</v>
      </c>
      <c r="L23" s="396">
        <v>43614</v>
      </c>
      <c r="M23" s="333"/>
      <c r="N23" s="377">
        <f t="shared" ca="1" si="1"/>
        <v>68</v>
      </c>
      <c r="O23" s="378"/>
    </row>
    <row r="24" spans="2:15" customFormat="1" ht="18.75" hidden="1" x14ac:dyDescent="0.25">
      <c r="B24" s="393">
        <v>37</v>
      </c>
      <c r="C24" s="379" t="s">
        <v>117</v>
      </c>
      <c r="D24" s="393">
        <v>6100000767</v>
      </c>
      <c r="E24" s="343" t="s">
        <v>593</v>
      </c>
      <c r="F24" s="395" t="s">
        <v>496</v>
      </c>
      <c r="G24" s="398">
        <v>12310539</v>
      </c>
      <c r="H24" s="399"/>
      <c r="I24" s="400">
        <v>11230740</v>
      </c>
      <c r="J24" s="395" t="s">
        <v>497</v>
      </c>
      <c r="K24" s="333">
        <v>43705</v>
      </c>
      <c r="L24" s="396">
        <v>43614</v>
      </c>
      <c r="M24" s="333">
        <v>43647</v>
      </c>
      <c r="N24" s="377">
        <f t="shared" ca="1" si="1"/>
        <v>68</v>
      </c>
      <c r="O24" s="378"/>
    </row>
    <row r="25" spans="2:15" customFormat="1" ht="18.75" x14ac:dyDescent="0.25">
      <c r="B25" s="393">
        <v>21</v>
      </c>
      <c r="C25" s="379" t="s">
        <v>106</v>
      </c>
      <c r="D25" s="393">
        <v>2500003592</v>
      </c>
      <c r="E25" s="343" t="s">
        <v>441</v>
      </c>
      <c r="F25" s="395" t="s">
        <v>442</v>
      </c>
      <c r="G25" s="398"/>
      <c r="H25" s="399">
        <v>432891000</v>
      </c>
      <c r="I25" s="400"/>
      <c r="J25" s="395"/>
      <c r="K25" s="333">
        <v>43712</v>
      </c>
      <c r="L25" s="396">
        <v>43594</v>
      </c>
      <c r="M25" s="333"/>
      <c r="N25" s="377">
        <f t="shared" ca="1" si="1"/>
        <v>61</v>
      </c>
      <c r="O25" s="378"/>
    </row>
    <row r="26" spans="2:15" customFormat="1" ht="18.75" hidden="1" x14ac:dyDescent="0.25">
      <c r="B26" s="393">
        <v>18</v>
      </c>
      <c r="C26" s="379" t="s">
        <v>106</v>
      </c>
      <c r="D26" s="393">
        <v>2100011522</v>
      </c>
      <c r="E26" s="343">
        <v>4500134342</v>
      </c>
      <c r="F26" s="395" t="s">
        <v>263</v>
      </c>
      <c r="G26" s="398"/>
      <c r="H26" s="399">
        <v>994329000</v>
      </c>
      <c r="I26" s="400"/>
      <c r="J26" s="395" t="s">
        <v>167</v>
      </c>
      <c r="K26" s="333">
        <v>43714</v>
      </c>
      <c r="L26" s="396">
        <v>43445</v>
      </c>
      <c r="M26" s="333"/>
      <c r="N26" s="377">
        <f t="shared" ca="1" si="1"/>
        <v>59</v>
      </c>
      <c r="O26" s="378"/>
    </row>
    <row r="27" spans="2:15" customFormat="1" ht="18.75" x14ac:dyDescent="0.25">
      <c r="B27" s="393">
        <v>25</v>
      </c>
      <c r="C27" s="379" t="s">
        <v>714</v>
      </c>
      <c r="D27" s="393">
        <v>5100005384</v>
      </c>
      <c r="E27" s="343"/>
      <c r="F27" s="397" t="s">
        <v>788</v>
      </c>
      <c r="G27" s="345">
        <v>1455545000</v>
      </c>
      <c r="H27" s="394"/>
      <c r="I27" s="345"/>
      <c r="J27" s="395" t="s">
        <v>244</v>
      </c>
      <c r="K27" s="333">
        <v>43728</v>
      </c>
      <c r="L27" s="396">
        <v>43711</v>
      </c>
      <c r="M27" s="333"/>
      <c r="N27" s="377">
        <f t="shared" ca="1" si="1"/>
        <v>45</v>
      </c>
      <c r="O27" s="378"/>
    </row>
    <row r="28" spans="2:15" customFormat="1" ht="18.75" hidden="1" x14ac:dyDescent="0.25">
      <c r="B28" s="342">
        <v>26</v>
      </c>
      <c r="C28" s="379" t="s">
        <v>107</v>
      </c>
      <c r="D28" s="342">
        <v>6100000734</v>
      </c>
      <c r="E28" s="343">
        <v>310219801</v>
      </c>
      <c r="F28" s="344" t="s">
        <v>340</v>
      </c>
      <c r="G28" s="345">
        <v>0</v>
      </c>
      <c r="H28" s="346">
        <v>64966050</v>
      </c>
      <c r="I28" s="345">
        <v>32377725</v>
      </c>
      <c r="J28" s="344" t="s">
        <v>165</v>
      </c>
      <c r="K28" s="333">
        <v>43607</v>
      </c>
      <c r="L28" s="347">
        <v>43521</v>
      </c>
      <c r="M28" s="333">
        <v>43525</v>
      </c>
      <c r="N28" s="377">
        <f t="shared" ca="1" si="1"/>
        <v>166</v>
      </c>
      <c r="O28" s="378"/>
    </row>
    <row r="29" spans="2:15" customFormat="1" ht="18.75" hidden="1" x14ac:dyDescent="0.25">
      <c r="B29" s="342">
        <v>27</v>
      </c>
      <c r="C29" s="379" t="s">
        <v>107</v>
      </c>
      <c r="D29" s="342">
        <v>6100000751</v>
      </c>
      <c r="E29" s="343" t="s">
        <v>406</v>
      </c>
      <c r="F29" s="344" t="s">
        <v>602</v>
      </c>
      <c r="G29" s="345">
        <v>0</v>
      </c>
      <c r="H29" s="346">
        <v>193503200</v>
      </c>
      <c r="I29" s="345">
        <v>435208270</v>
      </c>
      <c r="J29" s="344" t="s">
        <v>365</v>
      </c>
      <c r="K29" s="333">
        <v>43661</v>
      </c>
      <c r="L29" s="347">
        <v>43553</v>
      </c>
      <c r="M29" s="333">
        <v>43608</v>
      </c>
      <c r="N29" s="377">
        <f t="shared" ca="1" si="1"/>
        <v>112</v>
      </c>
      <c r="O29" s="378"/>
    </row>
    <row r="30" spans="2:15" customFormat="1" ht="18.75" hidden="1" x14ac:dyDescent="0.25">
      <c r="B30" s="342">
        <v>28</v>
      </c>
      <c r="C30" s="379" t="s">
        <v>107</v>
      </c>
      <c r="D30" s="342">
        <v>2100011711</v>
      </c>
      <c r="E30" s="343">
        <v>4500135057</v>
      </c>
      <c r="F30" s="344" t="s">
        <v>551</v>
      </c>
      <c r="G30" s="345">
        <v>0</v>
      </c>
      <c r="H30" s="346">
        <v>516656900</v>
      </c>
      <c r="I30" s="345"/>
      <c r="J30" s="344" t="s">
        <v>552</v>
      </c>
      <c r="K30" s="333">
        <v>43714</v>
      </c>
      <c r="L30" s="347">
        <v>43656</v>
      </c>
      <c r="M30" s="333"/>
      <c r="N30" s="377">
        <f t="shared" ca="1" si="1"/>
        <v>59</v>
      </c>
      <c r="O30" s="378"/>
    </row>
    <row r="31" spans="2:15" customFormat="1" ht="18.75" hidden="1" x14ac:dyDescent="0.25">
      <c r="B31" s="342">
        <v>29</v>
      </c>
      <c r="C31" s="379" t="s">
        <v>107</v>
      </c>
      <c r="D31" s="342">
        <v>2100011754</v>
      </c>
      <c r="E31" s="343">
        <v>4500135194</v>
      </c>
      <c r="F31" s="344" t="s">
        <v>638</v>
      </c>
      <c r="G31" s="345">
        <v>0</v>
      </c>
      <c r="H31" s="346">
        <v>71126250</v>
      </c>
      <c r="I31" s="345"/>
      <c r="J31" s="344" t="s">
        <v>552</v>
      </c>
      <c r="K31" s="333">
        <v>43738</v>
      </c>
      <c r="L31" s="347">
        <v>43677</v>
      </c>
      <c r="M31" s="333"/>
      <c r="N31" s="377">
        <f t="shared" ca="1" si="1"/>
        <v>35</v>
      </c>
      <c r="O31" s="378"/>
    </row>
    <row r="32" spans="2:15" customFormat="1" ht="18.75" hidden="1" x14ac:dyDescent="0.25">
      <c r="B32" s="393">
        <v>48</v>
      </c>
      <c r="C32" s="379" t="s">
        <v>121</v>
      </c>
      <c r="D32" s="393">
        <v>5500011685</v>
      </c>
      <c r="E32" s="343"/>
      <c r="F32" s="395" t="s">
        <v>525</v>
      </c>
      <c r="G32" s="398">
        <v>7970000</v>
      </c>
      <c r="H32" s="399"/>
      <c r="I32" s="400"/>
      <c r="J32" s="395" t="s">
        <v>523</v>
      </c>
      <c r="K32" s="333">
        <v>43714</v>
      </c>
      <c r="L32" s="396">
        <v>43636</v>
      </c>
      <c r="M32" s="333"/>
      <c r="N32" s="377">
        <f t="shared" ca="1" si="1"/>
        <v>59</v>
      </c>
      <c r="O32" s="378"/>
    </row>
    <row r="33" spans="2:15" customFormat="1" ht="18.75" x14ac:dyDescent="0.25">
      <c r="B33" s="342">
        <v>31</v>
      </c>
      <c r="C33" s="379" t="s">
        <v>127</v>
      </c>
      <c r="D33" s="342">
        <v>3100007347</v>
      </c>
      <c r="E33" s="343"/>
      <c r="F33" s="344" t="s">
        <v>494</v>
      </c>
      <c r="G33" s="345">
        <v>150000</v>
      </c>
      <c r="H33" s="346"/>
      <c r="I33" s="345"/>
      <c r="J33" s="344" t="s">
        <v>199</v>
      </c>
      <c r="K33" s="333">
        <v>43656</v>
      </c>
      <c r="L33" s="347">
        <v>43629</v>
      </c>
      <c r="M33" s="333"/>
      <c r="N33" s="377">
        <f t="shared" ca="1" si="1"/>
        <v>117</v>
      </c>
      <c r="O33" s="378"/>
    </row>
    <row r="34" spans="2:15" customFormat="1" ht="18.75" x14ac:dyDescent="0.25">
      <c r="B34" s="342">
        <v>32</v>
      </c>
      <c r="C34" s="379" t="s">
        <v>127</v>
      </c>
      <c r="D34" s="342">
        <v>5300000263</v>
      </c>
      <c r="E34" s="343"/>
      <c r="F34" s="344" t="s">
        <v>801</v>
      </c>
      <c r="G34" s="345">
        <v>10043916</v>
      </c>
      <c r="H34" s="346"/>
      <c r="I34" s="345">
        <v>13683889</v>
      </c>
      <c r="J34" s="344" t="s">
        <v>171</v>
      </c>
      <c r="K34" s="333">
        <v>43745</v>
      </c>
      <c r="L34" s="347">
        <v>43718</v>
      </c>
      <c r="M34" s="333">
        <v>43726</v>
      </c>
      <c r="N34" s="377">
        <f t="shared" ca="1" si="1"/>
        <v>28</v>
      </c>
      <c r="O34" s="378"/>
    </row>
    <row r="35" spans="2:15" customFormat="1" ht="18.75" hidden="1" x14ac:dyDescent="0.25">
      <c r="B35" s="342">
        <v>33</v>
      </c>
      <c r="C35" s="379" t="s">
        <v>128</v>
      </c>
      <c r="D35" s="342">
        <v>2500003534</v>
      </c>
      <c r="E35" s="343">
        <v>4500134462</v>
      </c>
      <c r="F35" s="344" t="s">
        <v>202</v>
      </c>
      <c r="G35" s="345"/>
      <c r="H35" s="346">
        <v>16650000</v>
      </c>
      <c r="I35" s="345">
        <v>26964231</v>
      </c>
      <c r="J35" s="344" t="s">
        <v>182</v>
      </c>
      <c r="K35" s="333">
        <v>43620</v>
      </c>
      <c r="L35" s="347">
        <v>43488</v>
      </c>
      <c r="M35" s="333">
        <v>43525</v>
      </c>
      <c r="N35" s="377">
        <f t="shared" ca="1" si="1"/>
        <v>153</v>
      </c>
      <c r="O35" s="378"/>
    </row>
    <row r="36" spans="2:15" customFormat="1" ht="18.75" hidden="1" x14ac:dyDescent="0.25">
      <c r="B36" s="342">
        <v>34</v>
      </c>
      <c r="C36" s="379" t="s">
        <v>128</v>
      </c>
      <c r="D36" s="342">
        <v>2500003571</v>
      </c>
      <c r="E36" s="343">
        <v>4500134747</v>
      </c>
      <c r="F36" s="344" t="s">
        <v>407</v>
      </c>
      <c r="G36" s="345"/>
      <c r="H36" s="346">
        <v>8498300</v>
      </c>
      <c r="I36" s="345">
        <v>54700000</v>
      </c>
      <c r="J36" s="344" t="s">
        <v>182</v>
      </c>
      <c r="K36" s="333">
        <v>43614</v>
      </c>
      <c r="L36" s="347">
        <v>43565</v>
      </c>
      <c r="M36" s="333">
        <v>43617</v>
      </c>
      <c r="N36" s="377">
        <f t="shared" ca="1" si="1"/>
        <v>159</v>
      </c>
      <c r="O36" s="378"/>
    </row>
    <row r="37" spans="2:15" customFormat="1" ht="18.75" hidden="1" x14ac:dyDescent="0.25">
      <c r="B37" s="342">
        <v>35</v>
      </c>
      <c r="C37" s="379" t="s">
        <v>187</v>
      </c>
      <c r="D37" s="342">
        <v>2500003548</v>
      </c>
      <c r="E37" s="343">
        <v>4500134577</v>
      </c>
      <c r="F37" s="344" t="s">
        <v>348</v>
      </c>
      <c r="G37" s="345">
        <v>0</v>
      </c>
      <c r="H37" s="346">
        <v>588800000</v>
      </c>
      <c r="I37" s="345"/>
      <c r="J37" s="344" t="s">
        <v>349</v>
      </c>
      <c r="K37" s="333">
        <v>43709</v>
      </c>
      <c r="L37" s="347">
        <v>43521</v>
      </c>
      <c r="M37" s="333"/>
      <c r="N37" s="377">
        <f t="shared" ca="1" si="1"/>
        <v>64</v>
      </c>
      <c r="O37" s="378"/>
    </row>
    <row r="38" spans="2:15" customFormat="1" ht="18.75" hidden="1" x14ac:dyDescent="0.25">
      <c r="B38" s="393">
        <v>49</v>
      </c>
      <c r="C38" s="379" t="s">
        <v>121</v>
      </c>
      <c r="D38" s="393">
        <v>5500011737</v>
      </c>
      <c r="E38" s="343"/>
      <c r="F38" s="395" t="s">
        <v>527</v>
      </c>
      <c r="G38" s="398">
        <v>11400000</v>
      </c>
      <c r="H38" s="399"/>
      <c r="I38" s="400"/>
      <c r="J38" s="395" t="s">
        <v>523</v>
      </c>
      <c r="K38" s="333">
        <v>43714</v>
      </c>
      <c r="L38" s="396">
        <v>43650</v>
      </c>
      <c r="M38" s="333"/>
      <c r="N38" s="377">
        <f t="shared" ca="1" si="1"/>
        <v>59</v>
      </c>
      <c r="O38" s="378"/>
    </row>
    <row r="39" spans="2:15" customFormat="1" ht="18.75" hidden="1" x14ac:dyDescent="0.25">
      <c r="B39" s="393">
        <v>19</v>
      </c>
      <c r="C39" s="379" t="s">
        <v>106</v>
      </c>
      <c r="D39" s="393">
        <v>2100011609</v>
      </c>
      <c r="E39" s="343" t="s">
        <v>373</v>
      </c>
      <c r="F39" s="395" t="s">
        <v>374</v>
      </c>
      <c r="G39" s="398"/>
      <c r="H39" s="399">
        <v>97000000</v>
      </c>
      <c r="I39" s="400"/>
      <c r="J39" s="395" t="s">
        <v>165</v>
      </c>
      <c r="K39" s="333">
        <v>43721</v>
      </c>
      <c r="L39" s="396">
        <v>43559</v>
      </c>
      <c r="M39" s="333"/>
      <c r="N39" s="377">
        <f t="shared" ca="1" si="1"/>
        <v>52</v>
      </c>
      <c r="O39" s="378"/>
    </row>
    <row r="40" spans="2:15" customFormat="1" ht="18.75" hidden="1" x14ac:dyDescent="0.25">
      <c r="B40" s="393">
        <v>11</v>
      </c>
      <c r="C40" s="379" t="s">
        <v>105</v>
      </c>
      <c r="D40" s="393">
        <v>2100011761</v>
      </c>
      <c r="E40" s="343">
        <v>4500135181</v>
      </c>
      <c r="F40" s="395" t="s">
        <v>648</v>
      </c>
      <c r="G40" s="398">
        <v>0</v>
      </c>
      <c r="H40" s="399">
        <v>36000000</v>
      </c>
      <c r="I40" s="400"/>
      <c r="J40" s="395" t="s">
        <v>165</v>
      </c>
      <c r="K40" s="333">
        <v>43721</v>
      </c>
      <c r="L40" s="396">
        <v>43682</v>
      </c>
      <c r="M40" s="333"/>
      <c r="N40" s="377">
        <f t="shared" ca="1" si="1"/>
        <v>52</v>
      </c>
      <c r="O40" s="378"/>
    </row>
    <row r="41" spans="2:15" customFormat="1" ht="18.75" hidden="1" x14ac:dyDescent="0.25">
      <c r="B41" s="342">
        <v>39</v>
      </c>
      <c r="C41" s="379" t="s">
        <v>119</v>
      </c>
      <c r="D41" s="342">
        <v>6100000709</v>
      </c>
      <c r="E41" s="343" t="s">
        <v>247</v>
      </c>
      <c r="F41" s="344" t="s">
        <v>282</v>
      </c>
      <c r="G41" s="345"/>
      <c r="H41" s="346">
        <v>2811348</v>
      </c>
      <c r="I41" s="345"/>
      <c r="J41" s="344" t="s">
        <v>165</v>
      </c>
      <c r="K41" s="333">
        <v>43714</v>
      </c>
      <c r="L41" s="347">
        <v>43477</v>
      </c>
      <c r="M41" s="333"/>
      <c r="N41" s="377">
        <f t="shared" ca="1" si="1"/>
        <v>59</v>
      </c>
      <c r="O41" s="378"/>
    </row>
    <row r="42" spans="2:15" customFormat="1" ht="18.75" hidden="1" x14ac:dyDescent="0.25">
      <c r="B42" s="342">
        <v>40</v>
      </c>
      <c r="C42" s="379" t="s">
        <v>119</v>
      </c>
      <c r="D42" s="342">
        <v>5500011513</v>
      </c>
      <c r="E42" s="343"/>
      <c r="F42" s="344" t="s">
        <v>418</v>
      </c>
      <c r="G42" s="345">
        <v>3900000</v>
      </c>
      <c r="H42" s="346"/>
      <c r="I42" s="345"/>
      <c r="J42" s="344" t="s">
        <v>248</v>
      </c>
      <c r="K42" s="333">
        <v>43714</v>
      </c>
      <c r="L42" s="347">
        <v>43578</v>
      </c>
      <c r="M42" s="333"/>
      <c r="N42" s="377">
        <f t="shared" ref="N42:N65" ca="1" si="2">TODAY() - K42</f>
        <v>59</v>
      </c>
      <c r="O42" s="378"/>
    </row>
    <row r="43" spans="2:15" customFormat="1" ht="18.75" hidden="1" x14ac:dyDescent="0.25">
      <c r="B43" s="342">
        <v>41</v>
      </c>
      <c r="C43" s="379" t="s">
        <v>119</v>
      </c>
      <c r="D43" s="342">
        <v>5500011494</v>
      </c>
      <c r="E43" s="343"/>
      <c r="F43" s="344" t="s">
        <v>419</v>
      </c>
      <c r="G43" s="345">
        <v>859500</v>
      </c>
      <c r="H43" s="346"/>
      <c r="I43" s="345"/>
      <c r="J43" s="344" t="s">
        <v>243</v>
      </c>
      <c r="K43" s="333">
        <v>43714</v>
      </c>
      <c r="L43" s="347">
        <v>43567</v>
      </c>
      <c r="M43" s="333"/>
      <c r="N43" s="377">
        <f t="shared" ca="1" si="2"/>
        <v>59</v>
      </c>
      <c r="O43" s="378"/>
    </row>
    <row r="44" spans="2:15" customFormat="1" ht="18.75" hidden="1" x14ac:dyDescent="0.25">
      <c r="B44" s="342">
        <v>42</v>
      </c>
      <c r="C44" s="379" t="s">
        <v>119</v>
      </c>
      <c r="D44" s="342">
        <v>5500011532</v>
      </c>
      <c r="E44" s="343"/>
      <c r="F44" s="344" t="s">
        <v>463</v>
      </c>
      <c r="G44" s="345"/>
      <c r="H44" s="346"/>
      <c r="I44" s="345"/>
      <c r="J44" s="344" t="s">
        <v>462</v>
      </c>
      <c r="K44" s="333">
        <v>43714</v>
      </c>
      <c r="L44" s="347">
        <v>43584</v>
      </c>
      <c r="M44" s="333"/>
      <c r="N44" s="377">
        <f t="shared" ca="1" si="2"/>
        <v>59</v>
      </c>
      <c r="O44" s="378"/>
    </row>
    <row r="45" spans="2:15" customFormat="1" ht="18.75" hidden="1" x14ac:dyDescent="0.25">
      <c r="B45" s="342">
        <v>43</v>
      </c>
      <c r="C45" s="379" t="s">
        <v>119</v>
      </c>
      <c r="D45" s="342">
        <v>2100011753</v>
      </c>
      <c r="E45" s="343">
        <v>4500135385</v>
      </c>
      <c r="F45" s="344" t="s">
        <v>635</v>
      </c>
      <c r="G45" s="345"/>
      <c r="H45" s="346">
        <v>16731000</v>
      </c>
      <c r="I45" s="345"/>
      <c r="J45" s="344" t="s">
        <v>552</v>
      </c>
      <c r="K45" s="333">
        <v>43738</v>
      </c>
      <c r="L45" s="347">
        <v>43677</v>
      </c>
      <c r="M45" s="333"/>
      <c r="N45" s="377">
        <f t="shared" ca="1" si="2"/>
        <v>35</v>
      </c>
      <c r="O45" s="378"/>
    </row>
    <row r="46" spans="2:15" customFormat="1" ht="18.75" hidden="1" x14ac:dyDescent="0.25">
      <c r="B46" s="342">
        <v>44</v>
      </c>
      <c r="C46" s="379" t="s">
        <v>119</v>
      </c>
      <c r="D46" s="342">
        <v>5500011950</v>
      </c>
      <c r="E46" s="343"/>
      <c r="F46" s="344" t="s">
        <v>764</v>
      </c>
      <c r="G46" s="345">
        <v>8957500</v>
      </c>
      <c r="H46" s="346"/>
      <c r="I46" s="345"/>
      <c r="J46" s="344" t="s">
        <v>517</v>
      </c>
      <c r="K46" s="333">
        <v>43737</v>
      </c>
      <c r="L46" s="347">
        <v>43707</v>
      </c>
      <c r="M46" s="333"/>
      <c r="N46" s="377">
        <f t="shared" ca="1" si="2"/>
        <v>36</v>
      </c>
      <c r="O46" s="378"/>
    </row>
    <row r="47" spans="2:15" customFormat="1" ht="18.75" hidden="1" x14ac:dyDescent="0.25">
      <c r="B47" s="342">
        <v>45</v>
      </c>
      <c r="C47" s="379" t="s">
        <v>119</v>
      </c>
      <c r="D47" s="342">
        <v>5500011994</v>
      </c>
      <c r="E47" s="343"/>
      <c r="F47" s="344" t="s">
        <v>835</v>
      </c>
      <c r="G47" s="345">
        <v>4000000</v>
      </c>
      <c r="H47" s="346"/>
      <c r="I47" s="345"/>
      <c r="J47" s="344" t="s">
        <v>552</v>
      </c>
      <c r="K47" s="333">
        <v>43736</v>
      </c>
      <c r="L47" s="347">
        <v>43720</v>
      </c>
      <c r="M47" s="333"/>
      <c r="N47" s="377">
        <f t="shared" ca="1" si="2"/>
        <v>37</v>
      </c>
      <c r="O47" s="378"/>
    </row>
    <row r="48" spans="2:15" customFormat="1" ht="18.75" hidden="1" x14ac:dyDescent="0.25">
      <c r="B48" s="393">
        <v>51</v>
      </c>
      <c r="C48" s="379" t="s">
        <v>121</v>
      </c>
      <c r="D48" s="393">
        <v>6100000788</v>
      </c>
      <c r="E48" s="343" t="s">
        <v>810</v>
      </c>
      <c r="F48" s="395" t="s">
        <v>753</v>
      </c>
      <c r="G48" s="398">
        <v>0</v>
      </c>
      <c r="H48" s="399">
        <v>1097720</v>
      </c>
      <c r="I48" s="400"/>
      <c r="J48" s="395" t="s">
        <v>167</v>
      </c>
      <c r="K48" s="333">
        <v>43721</v>
      </c>
      <c r="L48" s="396">
        <v>43685</v>
      </c>
      <c r="M48" s="333"/>
      <c r="N48" s="377">
        <f t="shared" ca="1" si="2"/>
        <v>52</v>
      </c>
      <c r="O48" s="378"/>
    </row>
    <row r="49" spans="2:15" customFormat="1" ht="18.75" x14ac:dyDescent="0.25">
      <c r="B49" s="342">
        <v>52</v>
      </c>
      <c r="C49" s="379" t="s">
        <v>121</v>
      </c>
      <c r="D49" s="342">
        <v>4400000979</v>
      </c>
      <c r="E49" s="343">
        <v>7500000933</v>
      </c>
      <c r="F49" s="344" t="s">
        <v>704</v>
      </c>
      <c r="G49" s="345"/>
      <c r="H49" s="346">
        <v>55462000</v>
      </c>
      <c r="I49" s="345"/>
      <c r="J49" s="344" t="s">
        <v>549</v>
      </c>
      <c r="K49" s="333">
        <v>43721</v>
      </c>
      <c r="L49" s="347">
        <v>43690</v>
      </c>
      <c r="M49" s="333"/>
      <c r="N49" s="377">
        <f t="shared" ca="1" si="2"/>
        <v>52</v>
      </c>
      <c r="O49" s="378"/>
    </row>
    <row r="50" spans="2:15" customFormat="1" ht="18.75" x14ac:dyDescent="0.25">
      <c r="B50" s="342">
        <v>53</v>
      </c>
      <c r="C50" s="379" t="s">
        <v>121</v>
      </c>
      <c r="D50" s="342">
        <v>4400000993</v>
      </c>
      <c r="E50" s="343">
        <v>7500000950</v>
      </c>
      <c r="F50" s="344" t="s">
        <v>744</v>
      </c>
      <c r="G50" s="345">
        <v>0</v>
      </c>
      <c r="H50" s="346">
        <v>300000</v>
      </c>
      <c r="I50" s="345"/>
      <c r="J50" s="344" t="s">
        <v>549</v>
      </c>
      <c r="K50" s="333">
        <v>43721</v>
      </c>
      <c r="L50" s="347">
        <v>43698</v>
      </c>
      <c r="M50" s="333"/>
      <c r="N50" s="377">
        <f t="shared" ca="1" si="2"/>
        <v>52</v>
      </c>
      <c r="O50" s="378"/>
    </row>
    <row r="51" spans="2:15" customFormat="1" ht="18.75" hidden="1" x14ac:dyDescent="0.25">
      <c r="B51" s="393">
        <v>60</v>
      </c>
      <c r="C51" s="379" t="s">
        <v>303</v>
      </c>
      <c r="D51" s="393">
        <v>5500011943</v>
      </c>
      <c r="E51" s="343"/>
      <c r="F51" s="395" t="s">
        <v>757</v>
      </c>
      <c r="G51" s="398">
        <v>4724000</v>
      </c>
      <c r="H51" s="399"/>
      <c r="I51" s="400"/>
      <c r="J51" s="395" t="s">
        <v>729</v>
      </c>
      <c r="K51" s="333">
        <v>43724</v>
      </c>
      <c r="L51" s="396">
        <v>43706</v>
      </c>
      <c r="M51" s="333"/>
      <c r="N51" s="377">
        <f t="shared" ca="1" si="2"/>
        <v>49</v>
      </c>
      <c r="O51" s="378"/>
    </row>
    <row r="52" spans="2:15" customFormat="1" ht="18.75" hidden="1" x14ac:dyDescent="0.25">
      <c r="B52" s="393">
        <v>63</v>
      </c>
      <c r="C52" s="379" t="s">
        <v>303</v>
      </c>
      <c r="D52" s="393">
        <v>5500011895</v>
      </c>
      <c r="E52" s="343"/>
      <c r="F52" s="395" t="s">
        <v>725</v>
      </c>
      <c r="G52" s="398">
        <v>4200000</v>
      </c>
      <c r="H52" s="399"/>
      <c r="I52" s="400"/>
      <c r="J52" s="395" t="s">
        <v>194</v>
      </c>
      <c r="K52" s="333">
        <v>43726</v>
      </c>
      <c r="L52" s="396">
        <v>43691</v>
      </c>
      <c r="M52" s="333"/>
      <c r="N52" s="377">
        <f t="shared" ca="1" si="2"/>
        <v>47</v>
      </c>
      <c r="O52" s="378"/>
    </row>
    <row r="53" spans="2:15" customFormat="1" ht="18.75" x14ac:dyDescent="0.25">
      <c r="B53" s="342">
        <v>54</v>
      </c>
      <c r="C53" s="379" t="s">
        <v>121</v>
      </c>
      <c r="D53" s="342">
        <v>4400001023</v>
      </c>
      <c r="E53" s="343">
        <v>7500000974</v>
      </c>
      <c r="F53" s="344" t="s">
        <v>782</v>
      </c>
      <c r="G53" s="345">
        <v>0</v>
      </c>
      <c r="H53" s="346">
        <v>3000000</v>
      </c>
      <c r="I53" s="345"/>
      <c r="J53" s="344" t="s">
        <v>244</v>
      </c>
      <c r="K53" s="333">
        <v>43728</v>
      </c>
      <c r="L53" s="347">
        <v>43712</v>
      </c>
      <c r="M53" s="333"/>
      <c r="N53" s="377">
        <f t="shared" ca="1" si="2"/>
        <v>45</v>
      </c>
      <c r="O53" s="378"/>
    </row>
    <row r="54" spans="2:15" customFormat="1" ht="18.75" hidden="1" x14ac:dyDescent="0.25">
      <c r="B54" s="393">
        <v>30</v>
      </c>
      <c r="C54" s="379" t="s">
        <v>114</v>
      </c>
      <c r="D54" s="393">
        <v>2100011692</v>
      </c>
      <c r="E54" s="343">
        <v>4500134996</v>
      </c>
      <c r="F54" s="395" t="s">
        <v>477</v>
      </c>
      <c r="G54" s="398">
        <v>0</v>
      </c>
      <c r="H54" s="399">
        <v>207560000</v>
      </c>
      <c r="I54" s="400"/>
      <c r="J54" s="395" t="s">
        <v>165</v>
      </c>
      <c r="K54" s="333">
        <v>43732</v>
      </c>
      <c r="L54" s="396">
        <v>43640</v>
      </c>
      <c r="M54" s="333"/>
      <c r="N54" s="377">
        <f t="shared" ca="1" si="2"/>
        <v>41</v>
      </c>
      <c r="O54" s="378"/>
    </row>
    <row r="55" spans="2:15" customFormat="1" ht="18.75" hidden="1" x14ac:dyDescent="0.25">
      <c r="B55" s="393">
        <v>59</v>
      </c>
      <c r="C55" s="379" t="s">
        <v>303</v>
      </c>
      <c r="D55" s="393">
        <v>5500011935</v>
      </c>
      <c r="E55" s="343"/>
      <c r="F55" s="395" t="s">
        <v>756</v>
      </c>
      <c r="G55" s="398">
        <v>15200000</v>
      </c>
      <c r="H55" s="399"/>
      <c r="I55" s="400"/>
      <c r="J55" s="395" t="s">
        <v>198</v>
      </c>
      <c r="K55" s="333">
        <v>43735</v>
      </c>
      <c r="L55" s="396">
        <v>43705</v>
      </c>
      <c r="M55" s="333"/>
      <c r="N55" s="377">
        <f t="shared" ca="1" si="2"/>
        <v>38</v>
      </c>
      <c r="O55" s="378"/>
    </row>
    <row r="56" spans="2:15" customFormat="1" ht="18.75" hidden="1" x14ac:dyDescent="0.25">
      <c r="B56" s="393">
        <v>22</v>
      </c>
      <c r="C56" s="379" t="s">
        <v>106</v>
      </c>
      <c r="D56" s="393">
        <v>6100000776</v>
      </c>
      <c r="E56" s="343"/>
      <c r="F56" s="395" t="s">
        <v>513</v>
      </c>
      <c r="G56" s="398">
        <v>277933879</v>
      </c>
      <c r="H56" s="399"/>
      <c r="I56" s="400"/>
      <c r="J56" s="395" t="s">
        <v>194</v>
      </c>
      <c r="K56" s="333">
        <v>43738</v>
      </c>
      <c r="L56" s="396">
        <v>43651</v>
      </c>
      <c r="M56" s="333"/>
      <c r="N56" s="377">
        <f t="shared" ca="1" si="2"/>
        <v>35</v>
      </c>
      <c r="O56" s="378"/>
    </row>
    <row r="57" spans="2:15" customFormat="1" ht="18.75" x14ac:dyDescent="0.25">
      <c r="B57" s="393">
        <v>55</v>
      </c>
      <c r="C57" s="379" t="s">
        <v>326</v>
      </c>
      <c r="D57" s="393">
        <v>2100011562</v>
      </c>
      <c r="E57" s="343" t="s">
        <v>393</v>
      </c>
      <c r="F57" s="397" t="s">
        <v>338</v>
      </c>
      <c r="G57" s="345">
        <v>0</v>
      </c>
      <c r="H57" s="394">
        <v>48922741</v>
      </c>
      <c r="I57" s="345"/>
      <c r="J57" s="395" t="s">
        <v>244</v>
      </c>
      <c r="K57" s="333">
        <v>43614</v>
      </c>
      <c r="L57" s="396">
        <v>43518</v>
      </c>
      <c r="M57" s="333"/>
      <c r="N57" s="377">
        <f t="shared" ca="1" si="2"/>
        <v>159</v>
      </c>
      <c r="O57" s="378"/>
    </row>
    <row r="58" spans="2:15" customFormat="1" ht="18.75" x14ac:dyDescent="0.25">
      <c r="B58" s="393">
        <v>56</v>
      </c>
      <c r="C58" s="379" t="s">
        <v>326</v>
      </c>
      <c r="D58" s="393">
        <v>2100011579</v>
      </c>
      <c r="E58" s="343" t="s">
        <v>392</v>
      </c>
      <c r="F58" s="397" t="s">
        <v>347</v>
      </c>
      <c r="G58" s="345">
        <v>0</v>
      </c>
      <c r="H58" s="394">
        <v>4252500</v>
      </c>
      <c r="I58" s="345">
        <v>58072500</v>
      </c>
      <c r="J58" s="395" t="s">
        <v>244</v>
      </c>
      <c r="K58" s="333">
        <v>43597</v>
      </c>
      <c r="L58" s="396">
        <v>43521</v>
      </c>
      <c r="M58" s="333">
        <v>43556</v>
      </c>
      <c r="N58" s="377">
        <f t="shared" ca="1" si="2"/>
        <v>176</v>
      </c>
      <c r="O58" s="378"/>
    </row>
    <row r="59" spans="2:15" customFormat="1" ht="18.75" x14ac:dyDescent="0.25">
      <c r="B59" s="393">
        <v>57</v>
      </c>
      <c r="C59" s="379" t="s">
        <v>326</v>
      </c>
      <c r="D59" s="393">
        <v>3100007274</v>
      </c>
      <c r="E59" s="343"/>
      <c r="F59" s="397" t="s">
        <v>396</v>
      </c>
      <c r="G59" s="345">
        <v>30000000</v>
      </c>
      <c r="H59" s="394"/>
      <c r="I59" s="345">
        <v>20397800</v>
      </c>
      <c r="J59" s="395" t="s">
        <v>244</v>
      </c>
      <c r="K59" s="333">
        <v>43646</v>
      </c>
      <c r="L59" s="396">
        <v>43552</v>
      </c>
      <c r="M59" s="333">
        <v>43733</v>
      </c>
      <c r="N59" s="377">
        <f t="shared" ca="1" si="2"/>
        <v>127</v>
      </c>
      <c r="O59" s="378"/>
    </row>
    <row r="60" spans="2:15" customFormat="1" ht="18.75" x14ac:dyDescent="0.25">
      <c r="B60" s="393">
        <v>58</v>
      </c>
      <c r="C60" s="379" t="s">
        <v>326</v>
      </c>
      <c r="D60" s="393">
        <v>6100000762</v>
      </c>
      <c r="E60" s="343" t="s">
        <v>547</v>
      </c>
      <c r="F60" s="397" t="s">
        <v>548</v>
      </c>
      <c r="G60" s="345"/>
      <c r="H60" s="394">
        <v>293254</v>
      </c>
      <c r="I60" s="345">
        <v>30662036</v>
      </c>
      <c r="J60" s="395" t="s">
        <v>549</v>
      </c>
      <c r="K60" s="333">
        <v>43658</v>
      </c>
      <c r="L60" s="396">
        <v>43628</v>
      </c>
      <c r="M60" s="333">
        <v>43617</v>
      </c>
      <c r="N60" s="377">
        <f t="shared" ca="1" si="2"/>
        <v>115</v>
      </c>
      <c r="O60" s="378"/>
    </row>
    <row r="61" spans="2:15" customFormat="1" ht="18.75" hidden="1" x14ac:dyDescent="0.25">
      <c r="B61" s="393">
        <v>24</v>
      </c>
      <c r="C61" s="379" t="s">
        <v>106</v>
      </c>
      <c r="D61" s="393">
        <v>2100011738</v>
      </c>
      <c r="E61" s="343">
        <v>4500135137</v>
      </c>
      <c r="F61" s="395" t="s">
        <v>612</v>
      </c>
      <c r="G61" s="398">
        <v>0</v>
      </c>
      <c r="H61" s="399">
        <v>180000000</v>
      </c>
      <c r="I61" s="400"/>
      <c r="J61" s="395" t="s">
        <v>198</v>
      </c>
      <c r="K61" s="333">
        <v>43738</v>
      </c>
      <c r="L61" s="396">
        <v>43670</v>
      </c>
      <c r="M61" s="333"/>
      <c r="N61" s="377">
        <f t="shared" ca="1" si="2"/>
        <v>35</v>
      </c>
      <c r="O61" s="378"/>
    </row>
    <row r="62" spans="2:15" customFormat="1" ht="18.75" hidden="1" x14ac:dyDescent="0.25">
      <c r="B62" s="393">
        <v>62</v>
      </c>
      <c r="C62" s="379" t="s">
        <v>303</v>
      </c>
      <c r="D62" s="393">
        <v>6100000802</v>
      </c>
      <c r="E62" s="343"/>
      <c r="F62" s="395" t="s">
        <v>854</v>
      </c>
      <c r="G62" s="398"/>
      <c r="H62" s="399">
        <v>638928</v>
      </c>
      <c r="I62" s="400"/>
      <c r="J62" s="395" t="s">
        <v>729</v>
      </c>
      <c r="K62" s="333">
        <v>43740</v>
      </c>
      <c r="L62" s="396">
        <v>43731</v>
      </c>
      <c r="M62" s="333"/>
      <c r="N62" s="377">
        <f t="shared" ca="1" si="2"/>
        <v>33</v>
      </c>
      <c r="O62" s="378"/>
    </row>
    <row r="63" spans="2:15" customFormat="1" ht="18.75" x14ac:dyDescent="0.25">
      <c r="B63" s="393">
        <v>8</v>
      </c>
      <c r="C63" s="379" t="s">
        <v>110</v>
      </c>
      <c r="D63" s="393">
        <v>6100000758</v>
      </c>
      <c r="E63" s="343">
        <v>330419803</v>
      </c>
      <c r="F63" s="395" t="s">
        <v>403</v>
      </c>
      <c r="G63" s="398"/>
      <c r="H63" s="399">
        <v>532986480</v>
      </c>
      <c r="I63" s="400"/>
      <c r="J63" s="395" t="s">
        <v>171</v>
      </c>
      <c r="K63" s="333">
        <v>43742</v>
      </c>
      <c r="L63" s="396">
        <v>43577</v>
      </c>
      <c r="M63" s="333"/>
      <c r="N63" s="377">
        <f t="shared" ca="1" si="2"/>
        <v>31</v>
      </c>
      <c r="O63" s="378"/>
    </row>
    <row r="64" spans="2:15" customFormat="1" ht="18.75" hidden="1" x14ac:dyDescent="0.25">
      <c r="B64" s="393">
        <v>12</v>
      </c>
      <c r="C64" s="379" t="s">
        <v>105</v>
      </c>
      <c r="D64" s="393">
        <v>6100000801</v>
      </c>
      <c r="E64" s="343"/>
      <c r="F64" s="395" t="s">
        <v>847</v>
      </c>
      <c r="G64" s="398">
        <v>110782856</v>
      </c>
      <c r="H64" s="399"/>
      <c r="I64" s="400"/>
      <c r="J64" s="395" t="s">
        <v>729</v>
      </c>
      <c r="K64" s="333">
        <v>43745</v>
      </c>
      <c r="L64" s="396">
        <v>43727</v>
      </c>
      <c r="M64" s="333"/>
      <c r="N64" s="377">
        <f t="shared" ca="1" si="2"/>
        <v>28</v>
      </c>
      <c r="O64" s="378"/>
    </row>
    <row r="65" spans="2:15" customFormat="1" ht="18.75" hidden="1" x14ac:dyDescent="0.25">
      <c r="B65" s="393">
        <v>61</v>
      </c>
      <c r="C65" s="379" t="s">
        <v>303</v>
      </c>
      <c r="D65" s="393">
        <v>5500011978</v>
      </c>
      <c r="E65" s="343"/>
      <c r="F65" s="395" t="s">
        <v>819</v>
      </c>
      <c r="G65" s="398"/>
      <c r="H65" s="399"/>
      <c r="I65" s="400"/>
      <c r="J65" s="395" t="s">
        <v>820</v>
      </c>
      <c r="K65" s="333">
        <v>43745</v>
      </c>
      <c r="L65" s="396">
        <v>43718</v>
      </c>
      <c r="M65" s="333"/>
      <c r="N65" s="377">
        <f t="shared" ca="1" si="2"/>
        <v>28</v>
      </c>
      <c r="O65" s="378"/>
    </row>
    <row r="66" spans="2:15" customFormat="1" ht="18.75" x14ac:dyDescent="0.25">
      <c r="B66" s="393">
        <v>64</v>
      </c>
      <c r="C66" s="379" t="s">
        <v>546</v>
      </c>
      <c r="D66" s="393">
        <v>4400000992</v>
      </c>
      <c r="E66" s="343">
        <v>7500000951</v>
      </c>
      <c r="F66" s="397" t="s">
        <v>743</v>
      </c>
      <c r="G66" s="345">
        <v>0</v>
      </c>
      <c r="H66" s="394">
        <v>28780500</v>
      </c>
      <c r="I66" s="345"/>
      <c r="J66" s="395" t="s">
        <v>549</v>
      </c>
      <c r="K66" s="333">
        <v>43728</v>
      </c>
      <c r="L66" s="396">
        <v>43698</v>
      </c>
      <c r="M66" s="333"/>
      <c r="N66" s="377">
        <f ca="1">TODAY() - K66</f>
        <v>45</v>
      </c>
      <c r="O66" s="378"/>
    </row>
    <row r="67" spans="2:15" customFormat="1" ht="18.75" x14ac:dyDescent="0.25">
      <c r="B67" s="393">
        <v>65</v>
      </c>
      <c r="C67" s="379" t="s">
        <v>546</v>
      </c>
      <c r="D67" s="393">
        <v>6100000797</v>
      </c>
      <c r="E67" s="343" t="s">
        <v>825</v>
      </c>
      <c r="F67" s="397" t="s">
        <v>767</v>
      </c>
      <c r="G67" s="345">
        <v>0</v>
      </c>
      <c r="H67" s="394">
        <v>54943200</v>
      </c>
      <c r="I67" s="345"/>
      <c r="J67" s="395" t="s">
        <v>244</v>
      </c>
      <c r="K67" s="333">
        <v>43735</v>
      </c>
      <c r="L67" s="396">
        <v>43710</v>
      </c>
      <c r="M67" s="333"/>
      <c r="N67" s="377">
        <f ca="1">TODAY() - K67</f>
        <v>38</v>
      </c>
      <c r="O67" s="378"/>
    </row>
    <row r="68" spans="2:15" customFormat="1" ht="18.75" x14ac:dyDescent="0.25">
      <c r="B68" s="393">
        <v>66</v>
      </c>
      <c r="C68" s="379" t="s">
        <v>546</v>
      </c>
      <c r="D68" s="393">
        <v>6100000794</v>
      </c>
      <c r="E68" s="343" t="s">
        <v>824</v>
      </c>
      <c r="F68" s="397" t="s">
        <v>763</v>
      </c>
      <c r="G68" s="345">
        <v>11041056</v>
      </c>
      <c r="H68" s="394">
        <v>14566929</v>
      </c>
      <c r="I68" s="345"/>
      <c r="J68" s="395" t="s">
        <v>244</v>
      </c>
      <c r="K68" s="333">
        <v>43735</v>
      </c>
      <c r="L68" s="396">
        <v>43707</v>
      </c>
      <c r="M68" s="333"/>
      <c r="N68" s="377">
        <f ca="1">TODAY() - K68</f>
        <v>38</v>
      </c>
      <c r="O68" s="378"/>
    </row>
  </sheetData>
  <autoFilter ref="B2:O68">
    <filterColumn colId="8">
      <filters blank="1">
        <filter val="Yulia"/>
        <filter val="Yulia/Ashari"/>
        <filter val="Yulia/Azhari"/>
        <filter val="Yulia/Woro"/>
      </filters>
    </filterColumn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80"/>
  <sheetViews>
    <sheetView topLeftCell="A73" zoomScale="130" zoomScaleNormal="130" workbookViewId="0">
      <selection activeCell="B161" sqref="B161"/>
    </sheetView>
  </sheetViews>
  <sheetFormatPr defaultRowHeight="15" x14ac:dyDescent="0.25"/>
  <cols>
    <col min="1" max="1" width="4" bestFit="1" customWidth="1"/>
    <col min="2" max="2" width="15.28515625" bestFit="1" customWidth="1"/>
    <col min="3" max="3" width="12" bestFit="1" customWidth="1"/>
    <col min="4" max="4" width="11.85546875" bestFit="1" customWidth="1"/>
    <col min="5" max="5" width="74.5703125" bestFit="1" customWidth="1"/>
    <col min="6" max="7" width="13.5703125" bestFit="1" customWidth="1"/>
    <col min="8" max="8" width="14.140625" bestFit="1" customWidth="1"/>
    <col min="9" max="9" width="14.140625" customWidth="1"/>
  </cols>
  <sheetData>
    <row r="1" spans="1:10" x14ac:dyDescent="0.25">
      <c r="A1" s="7" t="s">
        <v>43</v>
      </c>
      <c r="B1" s="69" t="s">
        <v>64</v>
      </c>
      <c r="C1" s="7" t="s">
        <v>65</v>
      </c>
      <c r="D1" s="7" t="s">
        <v>66</v>
      </c>
      <c r="E1" s="7" t="s">
        <v>10</v>
      </c>
      <c r="F1" s="8" t="s">
        <v>67</v>
      </c>
      <c r="G1" s="48" t="s">
        <v>68</v>
      </c>
      <c r="H1" s="48" t="s">
        <v>69</v>
      </c>
      <c r="I1" s="365" t="s">
        <v>570</v>
      </c>
      <c r="J1" s="364" t="s">
        <v>844</v>
      </c>
    </row>
    <row r="2" spans="1:10" x14ac:dyDescent="0.25">
      <c r="A2" s="151">
        <v>27</v>
      </c>
      <c r="B2" s="106" t="str">
        <f>'Funding 2019'!$K$91</f>
        <v>CGMM2019M264</v>
      </c>
      <c r="C2" s="355">
        <v>2100011363</v>
      </c>
      <c r="D2" s="355">
        <v>4500133909</v>
      </c>
      <c r="E2" s="279" t="s">
        <v>492</v>
      </c>
      <c r="F2" s="166"/>
      <c r="G2" s="166"/>
      <c r="H2" s="171">
        <v>8051839450</v>
      </c>
      <c r="I2" s="366">
        <f t="shared" ref="I2:I65" si="0">SUM(F2:H2)/16222</f>
        <v>496353.06682283321</v>
      </c>
      <c r="J2" t="str">
        <f t="shared" ref="J2:J65" si="1">IF(C2="",LEFT(D2,5),LEFT(C2,5))</f>
        <v>21000</v>
      </c>
    </row>
    <row r="3" spans="1:10" hidden="1" x14ac:dyDescent="0.25">
      <c r="A3" s="151">
        <v>2</v>
      </c>
      <c r="B3" s="106" t="str">
        <f>'Funding 2019'!$K$6</f>
        <v>CGMMHRM19001</v>
      </c>
      <c r="C3" s="355"/>
      <c r="D3" s="355"/>
      <c r="E3" s="152"/>
      <c r="F3" s="153"/>
      <c r="G3" s="153"/>
      <c r="H3" s="153"/>
      <c r="I3" s="366">
        <f t="shared" si="0"/>
        <v>0</v>
      </c>
      <c r="J3" t="str">
        <f t="shared" si="1"/>
        <v/>
      </c>
    </row>
    <row r="4" spans="1:10" hidden="1" x14ac:dyDescent="0.25">
      <c r="A4" s="151">
        <v>3</v>
      </c>
      <c r="B4" s="106" t="str">
        <f>'Funding 2019'!$K$6</f>
        <v>CGMMHRM19001</v>
      </c>
      <c r="C4" s="355"/>
      <c r="D4" s="355"/>
      <c r="E4" s="152"/>
      <c r="F4" s="153"/>
      <c r="G4" s="153"/>
      <c r="H4" s="153"/>
      <c r="I4" s="366">
        <f t="shared" si="0"/>
        <v>0</v>
      </c>
      <c r="J4" t="str">
        <f t="shared" si="1"/>
        <v/>
      </c>
    </row>
    <row r="5" spans="1:10" hidden="1" x14ac:dyDescent="0.25">
      <c r="A5" s="151">
        <v>4</v>
      </c>
      <c r="B5" s="106" t="str">
        <f>'Funding 2019'!$K$6</f>
        <v>CGMMHRM19001</v>
      </c>
      <c r="C5" s="355"/>
      <c r="D5" s="355"/>
      <c r="E5" s="152"/>
      <c r="F5" s="153"/>
      <c r="G5" s="153"/>
      <c r="H5" s="153"/>
      <c r="I5" s="366">
        <f t="shared" si="0"/>
        <v>0</v>
      </c>
      <c r="J5" t="str">
        <f t="shared" si="1"/>
        <v/>
      </c>
    </row>
    <row r="6" spans="1:10" x14ac:dyDescent="0.25">
      <c r="A6" s="151">
        <v>8</v>
      </c>
      <c r="B6" s="106" t="str">
        <f>'Funding 2019'!$K$87</f>
        <v>CGMM2019V167</v>
      </c>
      <c r="C6" s="355">
        <v>2100011398</v>
      </c>
      <c r="D6" s="355">
        <v>4500134024</v>
      </c>
      <c r="E6" s="279" t="s">
        <v>172</v>
      </c>
      <c r="F6" s="166"/>
      <c r="G6" s="305">
        <v>7117358976</v>
      </c>
      <c r="H6" s="166">
        <v>584009658</v>
      </c>
      <c r="I6" s="366">
        <f t="shared" si="0"/>
        <v>474748.40549870546</v>
      </c>
      <c r="J6" t="str">
        <f t="shared" si="1"/>
        <v>21000</v>
      </c>
    </row>
    <row r="7" spans="1:10" x14ac:dyDescent="0.25">
      <c r="A7" s="151">
        <v>7</v>
      </c>
      <c r="B7" s="106" t="str">
        <f>'Funding 2019'!$K$87</f>
        <v>CGMM2019V167</v>
      </c>
      <c r="C7" s="355">
        <v>2100011359</v>
      </c>
      <c r="D7" s="355">
        <v>4500133826</v>
      </c>
      <c r="E7" s="279" t="s">
        <v>262</v>
      </c>
      <c r="F7" s="166"/>
      <c r="G7" s="166">
        <f>3730320000*0</f>
        <v>0</v>
      </c>
      <c r="H7" s="166">
        <v>3780114536</v>
      </c>
      <c r="I7" s="366">
        <f t="shared" si="0"/>
        <v>233023.9511774134</v>
      </c>
      <c r="J7" t="str">
        <f t="shared" si="1"/>
        <v>21000</v>
      </c>
    </row>
    <row r="8" spans="1:10" x14ac:dyDescent="0.25">
      <c r="A8" s="151">
        <v>1</v>
      </c>
      <c r="B8" s="106" t="str">
        <f>'Funding 2019'!$K$7</f>
        <v xml:space="preserve">CGMMHRM19002 </v>
      </c>
      <c r="C8" s="355">
        <v>2100011705</v>
      </c>
      <c r="D8" s="355">
        <v>4500135050</v>
      </c>
      <c r="E8" s="279" t="s">
        <v>586</v>
      </c>
      <c r="F8" s="153">
        <f>3649148000*0</f>
        <v>0</v>
      </c>
      <c r="G8" s="153">
        <v>3649148000</v>
      </c>
      <c r="H8" s="153"/>
      <c r="I8" s="366">
        <f t="shared" si="0"/>
        <v>224950.56096658859</v>
      </c>
      <c r="J8" t="str">
        <f t="shared" si="1"/>
        <v>21000</v>
      </c>
    </row>
    <row r="9" spans="1:10" hidden="1" x14ac:dyDescent="0.25">
      <c r="A9" s="151">
        <v>1</v>
      </c>
      <c r="B9" s="106" t="str">
        <f>'Funding 2019'!$K$13</f>
        <v>CGMMMTW19005</v>
      </c>
      <c r="C9" s="355"/>
      <c r="D9" s="355"/>
      <c r="E9" s="152"/>
      <c r="F9" s="153"/>
      <c r="G9" s="153"/>
      <c r="H9" s="153"/>
      <c r="I9" s="366">
        <f t="shared" si="0"/>
        <v>0</v>
      </c>
      <c r="J9" t="str">
        <f t="shared" si="1"/>
        <v/>
      </c>
    </row>
    <row r="10" spans="1:10" hidden="1" x14ac:dyDescent="0.25">
      <c r="A10" s="151">
        <v>2</v>
      </c>
      <c r="B10" s="106" t="str">
        <f>'Funding 2019'!$K$13</f>
        <v>CGMMMTW19005</v>
      </c>
      <c r="C10" s="355"/>
      <c r="D10" s="355"/>
      <c r="E10" s="152"/>
      <c r="F10" s="153"/>
      <c r="G10" s="153"/>
      <c r="H10" s="153"/>
      <c r="I10" s="366">
        <f t="shared" si="0"/>
        <v>0</v>
      </c>
      <c r="J10" t="str">
        <f t="shared" si="1"/>
        <v/>
      </c>
    </row>
    <row r="11" spans="1:10" hidden="1" x14ac:dyDescent="0.25">
      <c r="A11" s="151">
        <v>3</v>
      </c>
      <c r="B11" s="106" t="str">
        <f>'Funding 2019'!$K$13</f>
        <v>CGMMMTW19005</v>
      </c>
      <c r="C11" s="355"/>
      <c r="D11" s="355"/>
      <c r="E11" s="152"/>
      <c r="F11" s="153"/>
      <c r="G11" s="153"/>
      <c r="H11" s="153"/>
      <c r="I11" s="366">
        <f t="shared" si="0"/>
        <v>0</v>
      </c>
      <c r="J11" t="str">
        <f t="shared" si="1"/>
        <v/>
      </c>
    </row>
    <row r="12" spans="1:10" hidden="1" x14ac:dyDescent="0.25">
      <c r="A12" s="151">
        <v>4</v>
      </c>
      <c r="B12" s="106" t="str">
        <f>'Funding 2019'!$K$13</f>
        <v>CGMMMTW19005</v>
      </c>
      <c r="C12" s="355"/>
      <c r="D12" s="355"/>
      <c r="E12" s="152"/>
      <c r="F12" s="153"/>
      <c r="G12" s="153"/>
      <c r="H12" s="153"/>
      <c r="I12" s="366">
        <f t="shared" si="0"/>
        <v>0</v>
      </c>
      <c r="J12" t="str">
        <f t="shared" si="1"/>
        <v/>
      </c>
    </row>
    <row r="13" spans="1:10" x14ac:dyDescent="0.25">
      <c r="A13" s="151">
        <v>14</v>
      </c>
      <c r="B13" s="106" t="str">
        <f>'Funding 2019'!$K$87</f>
        <v>CGMM2019V167</v>
      </c>
      <c r="C13" s="355">
        <v>2100011527</v>
      </c>
      <c r="D13" s="355">
        <v>4500134461</v>
      </c>
      <c r="E13" s="279" t="s">
        <v>197</v>
      </c>
      <c r="F13" s="166"/>
      <c r="G13" s="166">
        <f>2390000000*0</f>
        <v>0</v>
      </c>
      <c r="H13" s="166">
        <v>2390000000</v>
      </c>
      <c r="I13" s="366">
        <f t="shared" si="0"/>
        <v>147330.78535322403</v>
      </c>
      <c r="J13" t="str">
        <f t="shared" si="1"/>
        <v>21000</v>
      </c>
    </row>
    <row r="14" spans="1:10" hidden="1" x14ac:dyDescent="0.25">
      <c r="A14" s="151">
        <v>2</v>
      </c>
      <c r="B14" s="106" t="str">
        <f>'Funding 2019'!$K$16</f>
        <v>CGMMITM19001</v>
      </c>
      <c r="C14" s="355"/>
      <c r="D14" s="355"/>
      <c r="E14" s="152"/>
      <c r="F14" s="153"/>
      <c r="G14" s="153"/>
      <c r="H14" s="153"/>
      <c r="I14" s="366">
        <f t="shared" si="0"/>
        <v>0</v>
      </c>
      <c r="J14" t="str">
        <f t="shared" si="1"/>
        <v/>
      </c>
    </row>
    <row r="15" spans="1:10" hidden="1" x14ac:dyDescent="0.25">
      <c r="A15" s="151">
        <v>3</v>
      </c>
      <c r="B15" s="106" t="str">
        <f>'Funding 2019'!$K$16</f>
        <v>CGMMITM19001</v>
      </c>
      <c r="C15" s="355"/>
      <c r="D15" s="355"/>
      <c r="E15" s="152"/>
      <c r="F15" s="153"/>
      <c r="G15" s="153"/>
      <c r="H15" s="153"/>
      <c r="I15" s="366">
        <f t="shared" si="0"/>
        <v>0</v>
      </c>
      <c r="J15" t="str">
        <f t="shared" si="1"/>
        <v/>
      </c>
    </row>
    <row r="16" spans="1:10" hidden="1" x14ac:dyDescent="0.25">
      <c r="A16" s="151">
        <v>4</v>
      </c>
      <c r="B16" s="106" t="str">
        <f>'Funding 2019'!$K$16</f>
        <v>CGMMITM19001</v>
      </c>
      <c r="C16" s="355"/>
      <c r="D16" s="355"/>
      <c r="E16" s="152"/>
      <c r="F16" s="153"/>
      <c r="G16" s="153"/>
      <c r="H16" s="153"/>
      <c r="I16" s="366">
        <f t="shared" si="0"/>
        <v>0</v>
      </c>
      <c r="J16" t="str">
        <f t="shared" si="1"/>
        <v/>
      </c>
    </row>
    <row r="17" spans="1:10" x14ac:dyDescent="0.25">
      <c r="A17" s="151">
        <v>3</v>
      </c>
      <c r="B17" s="106" t="str">
        <f>'Funding 2019'!$K$37</f>
        <v>CGMMMTW19003</v>
      </c>
      <c r="C17" s="355">
        <v>2100011640</v>
      </c>
      <c r="D17" s="355">
        <v>4500134810</v>
      </c>
      <c r="E17" s="279" t="s">
        <v>437</v>
      </c>
      <c r="F17" s="166">
        <f>2350000000*0</f>
        <v>0</v>
      </c>
      <c r="G17" s="170">
        <v>2216500000</v>
      </c>
      <c r="H17" s="166"/>
      <c r="I17" s="366">
        <f t="shared" si="0"/>
        <v>136635.43336210086</v>
      </c>
      <c r="J17" t="str">
        <f t="shared" si="1"/>
        <v>21000</v>
      </c>
    </row>
    <row r="18" spans="1:10" x14ac:dyDescent="0.25">
      <c r="A18" s="151">
        <v>9</v>
      </c>
      <c r="B18" s="106" t="str">
        <f>'Funding 2019'!$K$87</f>
        <v>CGMM2019V167</v>
      </c>
      <c r="C18" s="355">
        <v>2100011489</v>
      </c>
      <c r="D18" s="355" t="s">
        <v>842</v>
      </c>
      <c r="E18" s="279" t="s">
        <v>173</v>
      </c>
      <c r="F18" s="166"/>
      <c r="G18" s="305">
        <v>2185192373</v>
      </c>
      <c r="H18" s="166"/>
      <c r="I18" s="366">
        <f t="shared" si="0"/>
        <v>134705.48471211933</v>
      </c>
      <c r="J18" t="str">
        <f t="shared" si="1"/>
        <v>21000</v>
      </c>
    </row>
    <row r="19" spans="1:10" hidden="1" x14ac:dyDescent="0.25">
      <c r="A19" s="151">
        <v>4</v>
      </c>
      <c r="B19" s="106" t="str">
        <f>'Funding 2019'!$K$17</f>
        <v>CGMMITM19002</v>
      </c>
      <c r="C19" s="355">
        <v>5500011740</v>
      </c>
      <c r="D19" s="355"/>
      <c r="E19" s="152" t="s">
        <v>584</v>
      </c>
      <c r="F19" s="287"/>
      <c r="G19" s="139"/>
      <c r="H19" s="287">
        <v>13150000</v>
      </c>
      <c r="I19" s="366">
        <f t="shared" si="0"/>
        <v>810.62754284305265</v>
      </c>
      <c r="J19" t="str">
        <f t="shared" si="1"/>
        <v>55000</v>
      </c>
    </row>
    <row r="20" spans="1:10" x14ac:dyDescent="0.25">
      <c r="A20" s="151">
        <v>5</v>
      </c>
      <c r="B20" s="106" t="str">
        <f>'Funding 2019'!$K$91</f>
        <v>CGMM2019M264</v>
      </c>
      <c r="C20" s="355">
        <v>2100011425</v>
      </c>
      <c r="D20" s="355">
        <v>4500134095</v>
      </c>
      <c r="E20" s="279" t="s">
        <v>166</v>
      </c>
      <c r="F20" s="166"/>
      <c r="G20" s="166">
        <f>2209238626*0</f>
        <v>0</v>
      </c>
      <c r="H20" s="171">
        <v>2157075245</v>
      </c>
      <c r="I20" s="366">
        <f t="shared" si="0"/>
        <v>132972.21335223771</v>
      </c>
      <c r="J20" t="str">
        <f t="shared" si="1"/>
        <v>21000</v>
      </c>
    </row>
    <row r="21" spans="1:10" x14ac:dyDescent="0.25">
      <c r="A21" s="151">
        <v>66</v>
      </c>
      <c r="B21" s="106" t="str">
        <f>'Funding 2019'!$K$87</f>
        <v>CGMM2019V167</v>
      </c>
      <c r="C21" s="355"/>
      <c r="D21" s="355">
        <v>4500134304</v>
      </c>
      <c r="E21" s="279" t="s">
        <v>519</v>
      </c>
      <c r="F21" s="166"/>
      <c r="G21" s="166"/>
      <c r="H21" s="166">
        <v>1000000000</v>
      </c>
      <c r="I21" s="366">
        <f t="shared" si="0"/>
        <v>61644.680064110464</v>
      </c>
      <c r="J21" t="str">
        <f t="shared" si="1"/>
        <v>45001</v>
      </c>
    </row>
    <row r="22" spans="1:10" x14ac:dyDescent="0.25">
      <c r="A22" s="151">
        <v>10</v>
      </c>
      <c r="B22" s="106" t="str">
        <f>'Funding 2019'!$K$87</f>
        <v>CGMM2019V167</v>
      </c>
      <c r="C22" s="355">
        <v>2100011522</v>
      </c>
      <c r="D22" s="355">
        <v>4500134342</v>
      </c>
      <c r="E22" s="152" t="s">
        <v>263</v>
      </c>
      <c r="F22" s="166"/>
      <c r="G22" s="305">
        <v>994329000</v>
      </c>
      <c r="H22" s="166"/>
      <c r="I22" s="366">
        <f t="shared" si="0"/>
        <v>61295.093083466898</v>
      </c>
      <c r="J22" t="str">
        <f t="shared" si="1"/>
        <v>21000</v>
      </c>
    </row>
    <row r="23" spans="1:10" x14ac:dyDescent="0.25">
      <c r="A23" s="151">
        <v>48</v>
      </c>
      <c r="B23" s="106" t="str">
        <f>'Funding 2019'!$K$87</f>
        <v>CGMM2019V167</v>
      </c>
      <c r="C23" s="355">
        <v>2100011618</v>
      </c>
      <c r="D23" s="355" t="s">
        <v>468</v>
      </c>
      <c r="E23" s="152" t="s">
        <v>428</v>
      </c>
      <c r="F23" s="166">
        <f>877708119*0</f>
        <v>0</v>
      </c>
      <c r="G23" s="166">
        <f>847824000*0</f>
        <v>0</v>
      </c>
      <c r="H23" s="166">
        <v>847824000</v>
      </c>
      <c r="I23" s="366">
        <f t="shared" si="0"/>
        <v>52263.839230674392</v>
      </c>
      <c r="J23" t="str">
        <f t="shared" si="1"/>
        <v>21000</v>
      </c>
    </row>
    <row r="24" spans="1:10" hidden="1" x14ac:dyDescent="0.25">
      <c r="A24" s="151">
        <v>12</v>
      </c>
      <c r="B24" s="106" t="str">
        <f>'Funding 2019'!$K$17</f>
        <v>CGMMITM19002</v>
      </c>
      <c r="C24" s="355">
        <v>5500011904</v>
      </c>
      <c r="D24" s="355"/>
      <c r="E24" s="152" t="s">
        <v>735</v>
      </c>
      <c r="F24" s="287">
        <v>6400000</v>
      </c>
      <c r="G24" s="166"/>
      <c r="H24" s="166"/>
      <c r="I24" s="366">
        <f t="shared" si="0"/>
        <v>394.52595241030701</v>
      </c>
      <c r="J24" t="str">
        <f t="shared" si="1"/>
        <v>55000</v>
      </c>
    </row>
    <row r="25" spans="1:10" x14ac:dyDescent="0.25">
      <c r="A25" s="151">
        <v>6</v>
      </c>
      <c r="B25" s="106" t="str">
        <f>'Funding 2019'!$K$91</f>
        <v>CGMM2019M264</v>
      </c>
      <c r="C25" s="355">
        <v>2100011546</v>
      </c>
      <c r="D25" s="355">
        <v>4500134525</v>
      </c>
      <c r="E25" s="165" t="s">
        <v>275</v>
      </c>
      <c r="F25" s="166">
        <f>1400000000*0</f>
        <v>0</v>
      </c>
      <c r="G25" s="166">
        <f>(165136920-135670440)*0</f>
        <v>0</v>
      </c>
      <c r="H25" s="171">
        <v>725000040</v>
      </c>
      <c r="I25" s="366">
        <f t="shared" si="0"/>
        <v>44692.395512267292</v>
      </c>
      <c r="J25" t="str">
        <f t="shared" si="1"/>
        <v>21000</v>
      </c>
    </row>
    <row r="26" spans="1:10" x14ac:dyDescent="0.25">
      <c r="A26" s="151">
        <v>1</v>
      </c>
      <c r="B26" s="106" t="str">
        <f>'Funding 2019'!$K$16</f>
        <v>CGMMITM19001</v>
      </c>
      <c r="C26" s="355">
        <v>2100011517</v>
      </c>
      <c r="D26" s="355" t="s">
        <v>841</v>
      </c>
      <c r="E26" s="152" t="s">
        <v>175</v>
      </c>
      <c r="F26" s="153"/>
      <c r="G26" s="153">
        <f>675000000*0</f>
        <v>0</v>
      </c>
      <c r="H26" s="153">
        <v>675000000</v>
      </c>
      <c r="I26" s="366">
        <f t="shared" si="0"/>
        <v>41610.159043274565</v>
      </c>
      <c r="J26" t="str">
        <f t="shared" si="1"/>
        <v>21000</v>
      </c>
    </row>
    <row r="27" spans="1:10" x14ac:dyDescent="0.25">
      <c r="A27" s="151">
        <v>1</v>
      </c>
      <c r="B27" s="106" t="str">
        <f>'Funding 2019'!$K$77</f>
        <v>EGMMENG19002</v>
      </c>
      <c r="C27" s="355">
        <v>2500003548</v>
      </c>
      <c r="D27" s="355">
        <v>4500134577</v>
      </c>
      <c r="E27" s="152" t="s">
        <v>348</v>
      </c>
      <c r="F27" s="153">
        <f>640000000*0</f>
        <v>0</v>
      </c>
      <c r="G27" s="153">
        <v>588800000</v>
      </c>
      <c r="H27" s="153"/>
      <c r="I27" s="366">
        <f t="shared" si="0"/>
        <v>36296.387621748247</v>
      </c>
      <c r="J27" t="str">
        <f t="shared" si="1"/>
        <v>25000</v>
      </c>
    </row>
    <row r="28" spans="1:10" x14ac:dyDescent="0.25">
      <c r="A28" s="151">
        <v>19</v>
      </c>
      <c r="B28" s="106" t="str">
        <f>'Funding 2019'!$K$91</f>
        <v>CGMM2019M264</v>
      </c>
      <c r="C28" s="355">
        <v>2100011711</v>
      </c>
      <c r="D28" s="355">
        <v>4500135057</v>
      </c>
      <c r="E28" s="152" t="s">
        <v>551</v>
      </c>
      <c r="F28" s="166">
        <f>549635000*0</f>
        <v>0</v>
      </c>
      <c r="G28" s="305">
        <v>516656900</v>
      </c>
      <c r="H28" s="166"/>
      <c r="I28" s="366">
        <f t="shared" si="0"/>
        <v>31849.149303415114</v>
      </c>
      <c r="J28" t="str">
        <f t="shared" si="1"/>
        <v>21000</v>
      </c>
    </row>
    <row r="29" spans="1:10" x14ac:dyDescent="0.25">
      <c r="A29" s="151">
        <v>2</v>
      </c>
      <c r="B29" s="106" t="str">
        <f>'Funding 2019'!$K$52</f>
        <v>CGMMQPC19002</v>
      </c>
      <c r="C29" s="355">
        <v>2100011776</v>
      </c>
      <c r="D29" s="355"/>
      <c r="E29" s="152" t="s">
        <v>732</v>
      </c>
      <c r="F29" s="153"/>
      <c r="G29" s="153">
        <v>514705600</v>
      </c>
      <c r="H29" s="153"/>
      <c r="I29" s="366">
        <f t="shared" si="0"/>
        <v>31728.862039206015</v>
      </c>
      <c r="J29" t="str">
        <f t="shared" si="1"/>
        <v>21000</v>
      </c>
    </row>
    <row r="30" spans="1:10" x14ac:dyDescent="0.25">
      <c r="A30" s="151">
        <v>9</v>
      </c>
      <c r="B30" s="106" t="str">
        <f>'Funding 2019'!$K$28</f>
        <v>CGMMMTW19002</v>
      </c>
      <c r="C30" s="355">
        <v>2100011666</v>
      </c>
      <c r="D30" s="355">
        <v>4500134969</v>
      </c>
      <c r="E30" s="152" t="s">
        <v>470</v>
      </c>
      <c r="F30" s="166">
        <f>498800000*0</f>
        <v>0</v>
      </c>
      <c r="G30" s="287">
        <v>488820825</v>
      </c>
      <c r="H30" s="166"/>
      <c r="I30" s="366">
        <f t="shared" si="0"/>
        <v>30133.203365799531</v>
      </c>
      <c r="J30" t="str">
        <f t="shared" si="1"/>
        <v>21000</v>
      </c>
    </row>
    <row r="31" spans="1:10" x14ac:dyDescent="0.25">
      <c r="A31" s="151">
        <v>30</v>
      </c>
      <c r="B31" s="106" t="str">
        <f>'Funding 2019'!$K$87</f>
        <v>CGMM2019V167</v>
      </c>
      <c r="C31" s="355">
        <v>2500003563</v>
      </c>
      <c r="D31" s="355" t="s">
        <v>467</v>
      </c>
      <c r="E31" s="281" t="s">
        <v>355</v>
      </c>
      <c r="F31" s="166">
        <f>495620800*0</f>
        <v>0</v>
      </c>
      <c r="G31" s="166">
        <f>479670000*0</f>
        <v>0</v>
      </c>
      <c r="H31" s="166">
        <v>476370000</v>
      </c>
      <c r="I31" s="366">
        <f t="shared" si="0"/>
        <v>29365.676242140304</v>
      </c>
      <c r="J31" t="str">
        <f t="shared" si="1"/>
        <v>25000</v>
      </c>
    </row>
    <row r="32" spans="1:10" x14ac:dyDescent="0.25">
      <c r="A32" s="151">
        <v>56</v>
      </c>
      <c r="B32" s="106" t="str">
        <f>'Funding 2019'!$K$87</f>
        <v>CGMM2019V167</v>
      </c>
      <c r="C32" s="355">
        <v>2500003592</v>
      </c>
      <c r="D32" s="355" t="s">
        <v>441</v>
      </c>
      <c r="E32" s="152" t="s">
        <v>442</v>
      </c>
      <c r="F32" s="166"/>
      <c r="G32" s="305">
        <v>432891000</v>
      </c>
      <c r="H32" s="166"/>
      <c r="I32" s="366">
        <f t="shared" si="0"/>
        <v>26685.427197632845</v>
      </c>
      <c r="J32" t="str">
        <f t="shared" si="1"/>
        <v>25000</v>
      </c>
    </row>
    <row r="33" spans="1:10" hidden="1" x14ac:dyDescent="0.25">
      <c r="A33" s="151">
        <v>8</v>
      </c>
      <c r="B33" s="106" t="str">
        <f>'Funding 2019'!$K$20</f>
        <v>CGMMMTW19001</v>
      </c>
      <c r="C33" s="355"/>
      <c r="D33" s="355"/>
      <c r="E33" s="152"/>
      <c r="F33" s="166"/>
      <c r="G33" s="166"/>
      <c r="H33" s="166"/>
      <c r="I33" s="366">
        <f t="shared" si="0"/>
        <v>0</v>
      </c>
      <c r="J33" t="str">
        <f t="shared" si="1"/>
        <v/>
      </c>
    </row>
    <row r="34" spans="1:10" hidden="1" x14ac:dyDescent="0.25">
      <c r="A34" s="151">
        <v>9</v>
      </c>
      <c r="B34" s="106" t="str">
        <f>'Funding 2019'!$K$20</f>
        <v>CGMMMTW19001</v>
      </c>
      <c r="C34" s="355"/>
      <c r="D34" s="355"/>
      <c r="E34" s="152"/>
      <c r="F34" s="166"/>
      <c r="G34" s="166"/>
      <c r="H34" s="166"/>
      <c r="I34" s="366">
        <f t="shared" si="0"/>
        <v>0</v>
      </c>
      <c r="J34" t="str">
        <f t="shared" si="1"/>
        <v/>
      </c>
    </row>
    <row r="35" spans="1:10" hidden="1" x14ac:dyDescent="0.25">
      <c r="A35" s="151">
        <v>10</v>
      </c>
      <c r="B35" s="106" t="str">
        <f>'Funding 2019'!$K$20</f>
        <v>CGMMMTW19001</v>
      </c>
      <c r="C35" s="355"/>
      <c r="D35" s="355"/>
      <c r="E35" s="152"/>
      <c r="F35" s="166"/>
      <c r="G35" s="166"/>
      <c r="H35" s="166"/>
      <c r="I35" s="366">
        <f t="shared" si="0"/>
        <v>0</v>
      </c>
      <c r="J35" t="str">
        <f t="shared" si="1"/>
        <v/>
      </c>
    </row>
    <row r="36" spans="1:10" hidden="1" x14ac:dyDescent="0.25">
      <c r="A36" s="151">
        <v>11</v>
      </c>
      <c r="B36" s="106" t="str">
        <f>'Funding 2019'!$K$20</f>
        <v>CGMMMTW19001</v>
      </c>
      <c r="C36" s="355"/>
      <c r="D36" s="355"/>
      <c r="E36" s="152"/>
      <c r="F36" s="166"/>
      <c r="G36" s="166"/>
      <c r="H36" s="166"/>
      <c r="I36" s="366">
        <f t="shared" si="0"/>
        <v>0</v>
      </c>
      <c r="J36" t="str">
        <f t="shared" si="1"/>
        <v/>
      </c>
    </row>
    <row r="37" spans="1:10" hidden="1" x14ac:dyDescent="0.25">
      <c r="A37" s="151">
        <v>12</v>
      </c>
      <c r="B37" s="106" t="str">
        <f>'Funding 2019'!$K$20</f>
        <v>CGMMMTW19001</v>
      </c>
      <c r="C37" s="355"/>
      <c r="D37" s="355"/>
      <c r="E37" s="152"/>
      <c r="F37" s="166"/>
      <c r="G37" s="166"/>
      <c r="H37" s="166"/>
      <c r="I37" s="366">
        <f t="shared" si="0"/>
        <v>0</v>
      </c>
      <c r="J37" t="str">
        <f t="shared" si="1"/>
        <v/>
      </c>
    </row>
    <row r="38" spans="1:10" hidden="1" x14ac:dyDescent="0.25">
      <c r="A38" s="151">
        <v>1</v>
      </c>
      <c r="B38" s="106" t="str">
        <f>'Funding 2019'!$K$28</f>
        <v>CGMMMTW19002</v>
      </c>
      <c r="C38" s="355">
        <v>5500011186</v>
      </c>
      <c r="D38" s="355"/>
      <c r="E38" s="152" t="s">
        <v>184</v>
      </c>
      <c r="F38" s="166">
        <f>41800000*0</f>
        <v>0</v>
      </c>
      <c r="G38" s="166"/>
      <c r="H38" s="166">
        <v>41800000</v>
      </c>
      <c r="I38" s="366">
        <f t="shared" si="0"/>
        <v>2576.7476266798176</v>
      </c>
      <c r="J38" t="str">
        <f t="shared" si="1"/>
        <v>55000</v>
      </c>
    </row>
    <row r="39" spans="1:10" hidden="1" x14ac:dyDescent="0.25">
      <c r="A39" s="151">
        <v>2</v>
      </c>
      <c r="B39" s="106" t="str">
        <f>'Funding 2019'!$K$28</f>
        <v>CGMMMTW19002</v>
      </c>
      <c r="C39" s="355">
        <v>5500011199</v>
      </c>
      <c r="D39" s="355"/>
      <c r="E39" s="152" t="s">
        <v>200</v>
      </c>
      <c r="F39" s="166">
        <f>42560000*0</f>
        <v>0</v>
      </c>
      <c r="G39" s="166"/>
      <c r="H39" s="166">
        <v>42560000</v>
      </c>
      <c r="I39" s="366">
        <f t="shared" si="0"/>
        <v>2623.5975835285417</v>
      </c>
      <c r="J39" t="str">
        <f t="shared" si="1"/>
        <v>55000</v>
      </c>
    </row>
    <row r="40" spans="1:10" hidden="1" x14ac:dyDescent="0.25">
      <c r="A40" s="151">
        <v>3</v>
      </c>
      <c r="B40" s="106" t="str">
        <f>'Funding 2019'!$K$28</f>
        <v>CGMMMTW19002</v>
      </c>
      <c r="C40" s="356">
        <v>5500011304</v>
      </c>
      <c r="D40" s="355"/>
      <c r="E40" s="152" t="s">
        <v>323</v>
      </c>
      <c r="F40" s="166">
        <f>13000000*0</f>
        <v>0</v>
      </c>
      <c r="G40" s="166"/>
      <c r="H40" s="166">
        <v>13000000</v>
      </c>
      <c r="I40" s="366">
        <f t="shared" si="0"/>
        <v>801.38084083343608</v>
      </c>
      <c r="J40" t="str">
        <f t="shared" si="1"/>
        <v>55000</v>
      </c>
    </row>
    <row r="41" spans="1:10" x14ac:dyDescent="0.25">
      <c r="A41" s="151">
        <v>4</v>
      </c>
      <c r="B41" s="106" t="str">
        <f>'Funding 2019'!$K$52</f>
        <v>CGMMQPC19002</v>
      </c>
      <c r="C41" s="355">
        <v>2100011800</v>
      </c>
      <c r="D41" s="355"/>
      <c r="E41" s="293" t="s">
        <v>761</v>
      </c>
      <c r="F41" s="153">
        <v>427085781</v>
      </c>
      <c r="G41" s="153"/>
      <c r="H41" s="153"/>
      <c r="I41" s="366">
        <f t="shared" si="0"/>
        <v>26327.566329675748</v>
      </c>
      <c r="J41" t="str">
        <f t="shared" si="1"/>
        <v>21000</v>
      </c>
    </row>
    <row r="42" spans="1:10" x14ac:dyDescent="0.25">
      <c r="A42" s="151">
        <v>45</v>
      </c>
      <c r="B42" s="106" t="str">
        <f>'Funding 2019'!$K$87</f>
        <v>CGMM2019V167</v>
      </c>
      <c r="C42" s="355">
        <v>2100011606</v>
      </c>
      <c r="D42" s="355" t="s">
        <v>376</v>
      </c>
      <c r="E42" s="152" t="s">
        <v>377</v>
      </c>
      <c r="F42" s="166"/>
      <c r="G42" s="166">
        <f>418418193*0</f>
        <v>0</v>
      </c>
      <c r="H42" s="166">
        <v>418418193</v>
      </c>
      <c r="I42" s="366">
        <f t="shared" si="0"/>
        <v>25793.255640488227</v>
      </c>
      <c r="J42" t="str">
        <f t="shared" si="1"/>
        <v>21000</v>
      </c>
    </row>
    <row r="43" spans="1:10" x14ac:dyDescent="0.25">
      <c r="A43" s="151">
        <v>15</v>
      </c>
      <c r="B43" s="106" t="str">
        <f>'Funding 2019'!$K$91</f>
        <v>CGMM2019M264</v>
      </c>
      <c r="C43" s="355">
        <v>2100011619</v>
      </c>
      <c r="D43" s="355">
        <v>4500134765</v>
      </c>
      <c r="E43" s="152" t="s">
        <v>405</v>
      </c>
      <c r="F43" s="166"/>
      <c r="G43" s="166">
        <f>367251456*0</f>
        <v>0</v>
      </c>
      <c r="H43" s="171">
        <v>361815168</v>
      </c>
      <c r="I43" s="366">
        <f t="shared" si="0"/>
        <v>22303.980273702378</v>
      </c>
      <c r="J43" t="str">
        <f t="shared" si="1"/>
        <v>21000</v>
      </c>
    </row>
    <row r="44" spans="1:10" x14ac:dyDescent="0.25">
      <c r="A44" s="151">
        <v>8</v>
      </c>
      <c r="B44" s="106" t="str">
        <f>'Funding 2019'!$K$37</f>
        <v>CGMMMTW19003</v>
      </c>
      <c r="C44" s="355">
        <v>2100011731</v>
      </c>
      <c r="D44" s="355">
        <v>4500135119</v>
      </c>
      <c r="E44" s="152" t="s">
        <v>600</v>
      </c>
      <c r="F44" s="166">
        <f>350957320*0</f>
        <v>0</v>
      </c>
      <c r="G44" s="166">
        <v>350957320</v>
      </c>
      <c r="H44" s="166"/>
      <c r="I44" s="366">
        <f t="shared" si="0"/>
        <v>21634.651707557638</v>
      </c>
      <c r="J44" t="str">
        <f t="shared" si="1"/>
        <v>21000</v>
      </c>
    </row>
    <row r="45" spans="1:10" hidden="1" x14ac:dyDescent="0.25">
      <c r="A45" s="151">
        <v>8</v>
      </c>
      <c r="B45" s="106" t="str">
        <f>'Funding 2019'!$K$28</f>
        <v>CGMMMTW19002</v>
      </c>
      <c r="C45" s="355">
        <v>5500011537</v>
      </c>
      <c r="D45" s="355"/>
      <c r="E45" s="152" t="s">
        <v>450</v>
      </c>
      <c r="F45" s="166">
        <f>10774689*0</f>
        <v>0</v>
      </c>
      <c r="G45" s="166">
        <f>10774689*0</f>
        <v>0</v>
      </c>
      <c r="H45" s="166">
        <f>10774689</f>
        <v>10774689</v>
      </c>
      <c r="I45" s="366">
        <f t="shared" si="0"/>
        <v>664.20225619529037</v>
      </c>
      <c r="J45" t="str">
        <f t="shared" si="1"/>
        <v>55000</v>
      </c>
    </row>
    <row r="46" spans="1:10" x14ac:dyDescent="0.25">
      <c r="A46" s="151">
        <v>1</v>
      </c>
      <c r="B46" s="106" t="str">
        <f>'Funding 2019'!$K$78</f>
        <v>CGMMENG19001</v>
      </c>
      <c r="C46" s="355">
        <v>2500003561</v>
      </c>
      <c r="D46" s="355">
        <v>4500134662</v>
      </c>
      <c r="E46" s="152" t="s">
        <v>317</v>
      </c>
      <c r="F46" s="153">
        <f>331500000*0</f>
        <v>0</v>
      </c>
      <c r="G46" s="153">
        <v>349013500</v>
      </c>
      <c r="H46" s="153"/>
      <c r="I46" s="366">
        <f t="shared" si="0"/>
        <v>21514.825545555417</v>
      </c>
      <c r="J46" t="str">
        <f t="shared" si="1"/>
        <v>25000</v>
      </c>
    </row>
    <row r="47" spans="1:10" x14ac:dyDescent="0.25">
      <c r="A47" s="151">
        <v>10</v>
      </c>
      <c r="B47" s="106" t="str">
        <f>'Funding 2019'!$K$17</f>
        <v>CGMMITM19002</v>
      </c>
      <c r="C47" s="355">
        <v>2100011736</v>
      </c>
      <c r="D47" s="355">
        <v>4500135066</v>
      </c>
      <c r="E47" s="284" t="s">
        <v>588</v>
      </c>
      <c r="F47" s="166">
        <f>352435000*0</f>
        <v>0</v>
      </c>
      <c r="G47" s="287">
        <f>346106000</f>
        <v>346106000</v>
      </c>
      <c r="H47" s="166"/>
      <c r="I47" s="366">
        <f t="shared" si="0"/>
        <v>21335.593638269016</v>
      </c>
      <c r="J47" t="str">
        <f t="shared" si="1"/>
        <v>21000</v>
      </c>
    </row>
    <row r="48" spans="1:10" x14ac:dyDescent="0.25">
      <c r="A48" s="151">
        <v>1</v>
      </c>
      <c r="B48" s="106" t="str">
        <f>'Funding 2019'!$K$58</f>
        <v>CGMMLOG19002</v>
      </c>
      <c r="C48" s="355">
        <v>2100011560</v>
      </c>
      <c r="D48" s="355">
        <v>4500134661</v>
      </c>
      <c r="E48" s="152" t="s">
        <v>328</v>
      </c>
      <c r="F48" s="153">
        <f>357000000*0</f>
        <v>0</v>
      </c>
      <c r="G48" s="153">
        <f>318750000*0</f>
        <v>0</v>
      </c>
      <c r="H48" s="153">
        <v>318750000</v>
      </c>
      <c r="I48" s="366">
        <f t="shared" si="0"/>
        <v>19649.241770435212</v>
      </c>
      <c r="J48" t="str">
        <f t="shared" si="1"/>
        <v>21000</v>
      </c>
    </row>
    <row r="49" spans="1:10" x14ac:dyDescent="0.25">
      <c r="A49" s="151">
        <v>7</v>
      </c>
      <c r="B49" s="106" t="str">
        <f>'Funding 2019'!$K$91</f>
        <v>CGMM2019M264</v>
      </c>
      <c r="C49" s="355">
        <v>2100011526</v>
      </c>
      <c r="D49" s="355">
        <v>4500134449</v>
      </c>
      <c r="E49" s="165" t="s">
        <v>196</v>
      </c>
      <c r="F49" s="166"/>
      <c r="G49" s="166">
        <f>318000000*0</f>
        <v>0</v>
      </c>
      <c r="H49" s="171">
        <v>318000000</v>
      </c>
      <c r="I49" s="366">
        <f t="shared" si="0"/>
        <v>19603.008260387127</v>
      </c>
      <c r="J49" t="str">
        <f t="shared" si="1"/>
        <v>21000</v>
      </c>
    </row>
    <row r="50" spans="1:10" hidden="1" x14ac:dyDescent="0.25">
      <c r="A50" s="151">
        <v>13</v>
      </c>
      <c r="B50" s="106" t="str">
        <f>'Funding 2019'!$K$28</f>
        <v>CGMMMTW19002</v>
      </c>
      <c r="C50" s="356">
        <v>5500011304</v>
      </c>
      <c r="D50" s="355"/>
      <c r="E50" s="152" t="s">
        <v>474</v>
      </c>
      <c r="F50" s="166">
        <v>0</v>
      </c>
      <c r="G50" s="166"/>
      <c r="H50" s="166">
        <v>-13000000</v>
      </c>
      <c r="I50" s="366">
        <f t="shared" si="0"/>
        <v>-801.38084083343608</v>
      </c>
      <c r="J50" t="str">
        <f t="shared" si="1"/>
        <v>55000</v>
      </c>
    </row>
    <row r="51" spans="1:10" x14ac:dyDescent="0.25">
      <c r="A51" s="151">
        <v>37</v>
      </c>
      <c r="B51" s="106" t="str">
        <f>'Funding 2019'!$K$87</f>
        <v>CGMM2019V167</v>
      </c>
      <c r="C51" s="355">
        <v>2100011585</v>
      </c>
      <c r="D51" s="355">
        <v>4500134596</v>
      </c>
      <c r="E51" s="152" t="s">
        <v>357</v>
      </c>
      <c r="F51" s="166">
        <f>314000000*0</f>
        <v>0</v>
      </c>
      <c r="G51" s="166">
        <f>314000000*0</f>
        <v>0</v>
      </c>
      <c r="H51" s="166">
        <v>314000000</v>
      </c>
      <c r="I51" s="366">
        <f t="shared" si="0"/>
        <v>19356.429540130688</v>
      </c>
      <c r="J51" t="str">
        <f t="shared" si="1"/>
        <v>21000</v>
      </c>
    </row>
    <row r="52" spans="1:10" x14ac:dyDescent="0.25">
      <c r="A52" s="151">
        <v>1</v>
      </c>
      <c r="B52" s="106" t="str">
        <f>'Funding 2019'!$K$57</f>
        <v>CGMMLOG19001</v>
      </c>
      <c r="C52" s="355">
        <v>2100011433</v>
      </c>
      <c r="D52" s="355">
        <v>4500134443</v>
      </c>
      <c r="E52" s="152" t="s">
        <v>251</v>
      </c>
      <c r="F52" s="153">
        <f>300000000*0</f>
        <v>0</v>
      </c>
      <c r="G52" s="153"/>
      <c r="H52" s="153">
        <v>300000000</v>
      </c>
      <c r="I52" s="366">
        <f t="shared" si="0"/>
        <v>18493.404019233141</v>
      </c>
      <c r="J52" t="str">
        <f t="shared" si="1"/>
        <v>21000</v>
      </c>
    </row>
    <row r="53" spans="1:10" x14ac:dyDescent="0.25">
      <c r="A53" s="151">
        <v>4</v>
      </c>
      <c r="B53" s="106" t="str">
        <f>'Funding 2019'!$K$28</f>
        <v>CGMMMTW19002</v>
      </c>
      <c r="C53" s="355">
        <v>2100011569</v>
      </c>
      <c r="D53" s="355">
        <v>4500134569</v>
      </c>
      <c r="E53" s="152" t="s">
        <v>330</v>
      </c>
      <c r="F53" s="166">
        <f>300000000*0</f>
        <v>0</v>
      </c>
      <c r="G53" s="287">
        <v>298700000</v>
      </c>
      <c r="H53" s="166"/>
      <c r="I53" s="366">
        <f t="shared" si="0"/>
        <v>18413.265935149797</v>
      </c>
      <c r="J53" t="str">
        <f t="shared" si="1"/>
        <v>21000</v>
      </c>
    </row>
    <row r="54" spans="1:10" x14ac:dyDescent="0.25">
      <c r="A54" s="151">
        <v>58</v>
      </c>
      <c r="B54" s="106" t="str">
        <f>'Funding 2019'!$K$87</f>
        <v>CGMM2019V167</v>
      </c>
      <c r="C54" s="355">
        <v>2100011687</v>
      </c>
      <c r="D54" s="355"/>
      <c r="E54" s="152" t="s">
        <v>482</v>
      </c>
      <c r="F54" s="166">
        <f>489630682*0</f>
        <v>0</v>
      </c>
      <c r="G54" s="305">
        <v>298604000</v>
      </c>
      <c r="H54" s="166"/>
      <c r="I54" s="366">
        <f t="shared" si="0"/>
        <v>18407.34804586364</v>
      </c>
      <c r="J54" t="str">
        <f t="shared" si="1"/>
        <v>21000</v>
      </c>
    </row>
    <row r="55" spans="1:10" x14ac:dyDescent="0.25">
      <c r="A55" s="151">
        <v>5</v>
      </c>
      <c r="B55" s="106" t="str">
        <f>'Funding 2019'!$K$108</f>
        <v>EGMM0019V167</v>
      </c>
      <c r="C55" s="355">
        <v>2100011481</v>
      </c>
      <c r="D55" s="355">
        <v>4500134180</v>
      </c>
      <c r="E55" s="279" t="s">
        <v>291</v>
      </c>
      <c r="F55" s="166"/>
      <c r="G55" s="166">
        <f>8500000*0</f>
        <v>0</v>
      </c>
      <c r="H55" s="334">
        <v>298559072</v>
      </c>
      <c r="I55" s="366">
        <f t="shared" si="0"/>
        <v>18404.57847367772</v>
      </c>
      <c r="J55" t="str">
        <f t="shared" si="1"/>
        <v>21000</v>
      </c>
    </row>
    <row r="56" spans="1:10" x14ac:dyDescent="0.25">
      <c r="A56" s="151">
        <v>42</v>
      </c>
      <c r="B56" s="106" t="str">
        <f>'Funding 2019'!$K$87</f>
        <v>CGMM2019V167</v>
      </c>
      <c r="C56" s="355">
        <v>2100011599</v>
      </c>
      <c r="D56" s="355" t="s">
        <v>371</v>
      </c>
      <c r="E56" s="152" t="s">
        <v>372</v>
      </c>
      <c r="F56" s="166"/>
      <c r="G56" s="166">
        <f>290000000*0</f>
        <v>0</v>
      </c>
      <c r="H56" s="166">
        <v>290000000</v>
      </c>
      <c r="I56" s="366">
        <f t="shared" si="0"/>
        <v>17876.957218592037</v>
      </c>
      <c r="J56" t="str">
        <f t="shared" si="1"/>
        <v>21000</v>
      </c>
    </row>
    <row r="57" spans="1:10" x14ac:dyDescent="0.25">
      <c r="A57" s="151">
        <v>6</v>
      </c>
      <c r="B57" s="106" t="str">
        <f>'Funding 2019'!$K$20</f>
        <v>CGMMMTW19001</v>
      </c>
      <c r="C57" s="355">
        <v>2100011638</v>
      </c>
      <c r="D57" s="355">
        <v>4500134772</v>
      </c>
      <c r="E57" s="167" t="s">
        <v>436</v>
      </c>
      <c r="F57" s="166"/>
      <c r="G57" s="166">
        <f>290000000*0</f>
        <v>0</v>
      </c>
      <c r="H57" s="166">
        <f>290000000</f>
        <v>290000000</v>
      </c>
      <c r="I57" s="366">
        <f t="shared" si="0"/>
        <v>17876.957218592037</v>
      </c>
      <c r="J57" t="str">
        <f t="shared" si="1"/>
        <v>21000</v>
      </c>
    </row>
    <row r="58" spans="1:10" x14ac:dyDescent="0.25">
      <c r="A58" s="151">
        <v>16</v>
      </c>
      <c r="B58" s="106" t="str">
        <f>'Funding 2019'!$K$87</f>
        <v>CGMM2019V167</v>
      </c>
      <c r="C58" s="355">
        <v>2100011535</v>
      </c>
      <c r="D58" s="355">
        <v>4500134566</v>
      </c>
      <c r="E58" s="152" t="s">
        <v>266</v>
      </c>
      <c r="F58" s="166">
        <f>294974221*0</f>
        <v>0</v>
      </c>
      <c r="G58" s="166">
        <f>284563477*0</f>
        <v>0</v>
      </c>
      <c r="H58" s="166">
        <v>284563477</v>
      </c>
      <c r="I58" s="366">
        <f t="shared" si="0"/>
        <v>17541.824497595859</v>
      </c>
      <c r="J58" t="str">
        <f t="shared" si="1"/>
        <v>21000</v>
      </c>
    </row>
    <row r="59" spans="1:10" x14ac:dyDescent="0.25">
      <c r="A59" s="151">
        <v>7</v>
      </c>
      <c r="B59" s="106" t="str">
        <f>'Funding 2019'!$K$79</f>
        <v>CGMMENG19002</v>
      </c>
      <c r="C59" s="355">
        <v>2100011749</v>
      </c>
      <c r="D59" s="355">
        <v>4500135177</v>
      </c>
      <c r="E59" s="152" t="s">
        <v>625</v>
      </c>
      <c r="F59" s="153">
        <f>322662600*0</f>
        <v>0</v>
      </c>
      <c r="G59" s="287">
        <v>250525472</v>
      </c>
      <c r="H59" s="287">
        <v>31315684</v>
      </c>
      <c r="I59" s="366">
        <f t="shared" si="0"/>
        <v>17374.007890519049</v>
      </c>
      <c r="J59" t="str">
        <f t="shared" si="1"/>
        <v>21000</v>
      </c>
    </row>
    <row r="60" spans="1:10" hidden="1" x14ac:dyDescent="0.25">
      <c r="A60" s="151">
        <v>5</v>
      </c>
      <c r="B60" s="106" t="str">
        <f>'Funding 2019'!$K$37</f>
        <v>CGMMMTW19003</v>
      </c>
      <c r="C60" s="355">
        <v>5500011503</v>
      </c>
      <c r="D60" s="355"/>
      <c r="E60" s="152" t="s">
        <v>401</v>
      </c>
      <c r="F60" s="166"/>
      <c r="G60" s="166"/>
      <c r="H60" s="166">
        <v>15639000</v>
      </c>
      <c r="I60" s="366">
        <f t="shared" si="0"/>
        <v>964.06115152262362</v>
      </c>
      <c r="J60" t="str">
        <f t="shared" si="1"/>
        <v>55000</v>
      </c>
    </row>
    <row r="61" spans="1:10" x14ac:dyDescent="0.25">
      <c r="A61" s="151">
        <v>6</v>
      </c>
      <c r="B61" s="106" t="str">
        <f>'Funding 2019'!$K$108</f>
        <v>EGMM0019V167</v>
      </c>
      <c r="C61" s="355">
        <v>2100011492</v>
      </c>
      <c r="D61" s="355" t="s">
        <v>843</v>
      </c>
      <c r="E61" s="279" t="s">
        <v>292</v>
      </c>
      <c r="F61" s="166"/>
      <c r="G61" s="166">
        <f>268959804*0</f>
        <v>0</v>
      </c>
      <c r="H61" s="334">
        <v>268959790</v>
      </c>
      <c r="I61" s="366">
        <f t="shared" si="0"/>
        <v>16579.940204660339</v>
      </c>
      <c r="J61" t="str">
        <f t="shared" si="1"/>
        <v>21000</v>
      </c>
    </row>
    <row r="62" spans="1:10" x14ac:dyDescent="0.25">
      <c r="A62" s="151">
        <v>17</v>
      </c>
      <c r="B62" s="106" t="str">
        <f>'Funding 2019'!$K$28</f>
        <v>CGMMMTW19002</v>
      </c>
      <c r="C62" s="355"/>
      <c r="D62" s="355">
        <v>4500135128</v>
      </c>
      <c r="E62" s="152" t="s">
        <v>605</v>
      </c>
      <c r="F62" s="166">
        <f>291000000*0</f>
        <v>0</v>
      </c>
      <c r="G62" s="287">
        <v>259580700</v>
      </c>
      <c r="H62" s="166"/>
      <c r="I62" s="366">
        <f t="shared" si="0"/>
        <v>16001.769202317841</v>
      </c>
      <c r="J62" t="str">
        <f t="shared" si="1"/>
        <v>45001</v>
      </c>
    </row>
    <row r="63" spans="1:10" hidden="1" x14ac:dyDescent="0.25">
      <c r="A63" s="151">
        <v>9</v>
      </c>
      <c r="B63" s="106" t="str">
        <f>'Funding 2019'!$K$37</f>
        <v>CGMMMTW19003</v>
      </c>
      <c r="C63" s="355"/>
      <c r="D63" s="355"/>
      <c r="E63" s="152"/>
      <c r="F63" s="166"/>
      <c r="G63" s="166"/>
      <c r="H63" s="166"/>
      <c r="I63" s="366">
        <f t="shared" si="0"/>
        <v>0</v>
      </c>
      <c r="J63" t="str">
        <f t="shared" si="1"/>
        <v/>
      </c>
    </row>
    <row r="64" spans="1:10" hidden="1" x14ac:dyDescent="0.25">
      <c r="A64" s="151">
        <v>10</v>
      </c>
      <c r="B64" s="106" t="str">
        <f>'Funding 2019'!$K$37</f>
        <v>CGMMMTW19003</v>
      </c>
      <c r="C64" s="355"/>
      <c r="D64" s="355"/>
      <c r="E64" s="152"/>
      <c r="F64" s="166"/>
      <c r="G64" s="166"/>
      <c r="H64" s="166"/>
      <c r="I64" s="366">
        <f t="shared" si="0"/>
        <v>0</v>
      </c>
      <c r="J64" t="str">
        <f t="shared" si="1"/>
        <v/>
      </c>
    </row>
    <row r="65" spans="1:10" hidden="1" x14ac:dyDescent="0.25">
      <c r="A65" s="151">
        <v>11</v>
      </c>
      <c r="B65" s="106" t="str">
        <f>'Funding 2019'!$K$37</f>
        <v>CGMMMTW19003</v>
      </c>
      <c r="C65" s="355"/>
      <c r="D65" s="355"/>
      <c r="E65" s="152"/>
      <c r="F65" s="166"/>
      <c r="G65" s="166"/>
      <c r="H65" s="166"/>
      <c r="I65" s="366">
        <f t="shared" si="0"/>
        <v>0</v>
      </c>
      <c r="J65" t="str">
        <f t="shared" si="1"/>
        <v/>
      </c>
    </row>
    <row r="66" spans="1:10" hidden="1" x14ac:dyDescent="0.25">
      <c r="A66" s="151">
        <v>12</v>
      </c>
      <c r="B66" s="106" t="str">
        <f>'Funding 2019'!$K$37</f>
        <v>CGMMMTW19003</v>
      </c>
      <c r="C66" s="355"/>
      <c r="D66" s="355"/>
      <c r="E66" s="152"/>
      <c r="F66" s="166"/>
      <c r="G66" s="166"/>
      <c r="H66" s="166"/>
      <c r="I66" s="366">
        <f t="shared" ref="I66:I129" si="2">SUM(F66:H66)/16222</f>
        <v>0</v>
      </c>
      <c r="J66" t="str">
        <f t="shared" ref="J66:J129" si="3">IF(C66="",LEFT(D66,5),LEFT(C66,5))</f>
        <v/>
      </c>
    </row>
    <row r="67" spans="1:10" hidden="1" x14ac:dyDescent="0.25">
      <c r="A67" s="151">
        <v>13</v>
      </c>
      <c r="B67" s="106" t="str">
        <f>'Funding 2019'!$K$37</f>
        <v>CGMMMTW19003</v>
      </c>
      <c r="C67" s="356"/>
      <c r="D67" s="356"/>
      <c r="E67" s="165"/>
      <c r="F67" s="166"/>
      <c r="G67" s="166"/>
      <c r="H67" s="166"/>
      <c r="I67" s="366">
        <f t="shared" si="2"/>
        <v>0</v>
      </c>
      <c r="J67" t="str">
        <f t="shared" si="3"/>
        <v/>
      </c>
    </row>
    <row r="68" spans="1:10" hidden="1" x14ac:dyDescent="0.25">
      <c r="A68" s="151">
        <v>1</v>
      </c>
      <c r="B68" s="106" t="str">
        <f>'Funding 2019'!$K$38</f>
        <v>CGMMMTW19004</v>
      </c>
      <c r="C68" s="355"/>
      <c r="D68" s="355"/>
      <c r="E68" s="152"/>
      <c r="F68" s="153"/>
      <c r="G68" s="153"/>
      <c r="H68" s="153"/>
      <c r="I68" s="366">
        <f t="shared" si="2"/>
        <v>0</v>
      </c>
      <c r="J68" t="str">
        <f t="shared" si="3"/>
        <v/>
      </c>
    </row>
    <row r="69" spans="1:10" hidden="1" x14ac:dyDescent="0.25">
      <c r="A69" s="151">
        <v>2</v>
      </c>
      <c r="B69" s="106" t="str">
        <f>'Funding 2019'!$K$38</f>
        <v>CGMMMTW19004</v>
      </c>
      <c r="C69" s="355"/>
      <c r="D69" s="355"/>
      <c r="E69" s="152"/>
      <c r="F69" s="153"/>
      <c r="G69" s="153"/>
      <c r="H69" s="153"/>
      <c r="I69" s="366">
        <f t="shared" si="2"/>
        <v>0</v>
      </c>
      <c r="J69" t="str">
        <f t="shared" si="3"/>
        <v/>
      </c>
    </row>
    <row r="70" spans="1:10" hidden="1" x14ac:dyDescent="0.25">
      <c r="A70" s="151">
        <v>3</v>
      </c>
      <c r="B70" s="106" t="str">
        <f>'Funding 2019'!$K$38</f>
        <v>CGMMMTW19004</v>
      </c>
      <c r="C70" s="355"/>
      <c r="D70" s="355"/>
      <c r="E70" s="152"/>
      <c r="F70" s="153"/>
      <c r="G70" s="153"/>
      <c r="H70" s="153"/>
      <c r="I70" s="366">
        <f t="shared" si="2"/>
        <v>0</v>
      </c>
      <c r="J70" t="str">
        <f t="shared" si="3"/>
        <v/>
      </c>
    </row>
    <row r="71" spans="1:10" hidden="1" x14ac:dyDescent="0.25">
      <c r="A71" s="151">
        <v>4</v>
      </c>
      <c r="B71" s="106" t="str">
        <f>'Funding 2019'!$K$38</f>
        <v>CGMMMTW19004</v>
      </c>
      <c r="C71" s="355"/>
      <c r="D71" s="355"/>
      <c r="E71" s="152"/>
      <c r="F71" s="153"/>
      <c r="G71" s="153"/>
      <c r="H71" s="153"/>
      <c r="I71" s="366">
        <f t="shared" si="2"/>
        <v>0</v>
      </c>
      <c r="J71" t="str">
        <f t="shared" si="3"/>
        <v/>
      </c>
    </row>
    <row r="72" spans="1:10" x14ac:dyDescent="0.25">
      <c r="A72" s="151">
        <v>4</v>
      </c>
      <c r="B72" s="106" t="str">
        <f>'Funding 2019'!$K$7</f>
        <v xml:space="preserve">CGMMHRM19002 </v>
      </c>
      <c r="C72" s="355">
        <v>2100011773</v>
      </c>
      <c r="D72" s="355">
        <v>4500135219</v>
      </c>
      <c r="E72" s="152" t="s">
        <v>711</v>
      </c>
      <c r="F72" s="153"/>
      <c r="G72" s="153">
        <v>235095520</v>
      </c>
      <c r="H72" s="153"/>
      <c r="I72" s="366">
        <f t="shared" si="2"/>
        <v>14492.388114905683</v>
      </c>
      <c r="J72" t="str">
        <f t="shared" si="3"/>
        <v>21000</v>
      </c>
    </row>
    <row r="73" spans="1:10" x14ac:dyDescent="0.25">
      <c r="A73" s="151">
        <v>2</v>
      </c>
      <c r="B73" s="106" t="str">
        <f>'Funding 2019'!$K$98</f>
        <v>CGMM2019X253</v>
      </c>
      <c r="C73" s="357">
        <v>2100011692</v>
      </c>
      <c r="D73" s="357">
        <v>4500134996</v>
      </c>
      <c r="E73" s="284" t="s">
        <v>477</v>
      </c>
      <c r="F73" s="285">
        <f>191030000*0</f>
        <v>0</v>
      </c>
      <c r="G73" s="285">
        <v>207560000</v>
      </c>
      <c r="H73" s="153"/>
      <c r="I73" s="366">
        <f t="shared" si="2"/>
        <v>12794.969794106768</v>
      </c>
      <c r="J73" t="str">
        <f t="shared" si="3"/>
        <v>21000</v>
      </c>
    </row>
    <row r="74" spans="1:10" hidden="1" x14ac:dyDescent="0.25">
      <c r="A74" s="151">
        <v>3</v>
      </c>
      <c r="B74" s="106" t="str">
        <f>'Funding 2019'!$K$41</f>
        <v>CGMMMTW19000</v>
      </c>
      <c r="C74" s="355"/>
      <c r="D74" s="355"/>
      <c r="E74" s="152"/>
      <c r="F74" s="153"/>
      <c r="G74" s="153"/>
      <c r="H74" s="153"/>
      <c r="I74" s="366">
        <f t="shared" si="2"/>
        <v>0</v>
      </c>
      <c r="J74" t="str">
        <f t="shared" si="3"/>
        <v/>
      </c>
    </row>
    <row r="75" spans="1:10" hidden="1" x14ac:dyDescent="0.25">
      <c r="A75" s="151">
        <v>4</v>
      </c>
      <c r="B75" s="106" t="str">
        <f>'Funding 2019'!$K$41</f>
        <v>CGMMMTW19000</v>
      </c>
      <c r="C75" s="355"/>
      <c r="D75" s="355"/>
      <c r="E75" s="152"/>
      <c r="F75" s="153"/>
      <c r="G75" s="153"/>
      <c r="H75" s="153"/>
      <c r="I75" s="366">
        <f t="shared" si="2"/>
        <v>0</v>
      </c>
      <c r="J75" t="str">
        <f t="shared" si="3"/>
        <v/>
      </c>
    </row>
    <row r="76" spans="1:10" hidden="1" x14ac:dyDescent="0.25">
      <c r="A76" s="151">
        <v>1</v>
      </c>
      <c r="B76" s="106" t="str">
        <f>'Funding 2019'!$K$45</f>
        <v>CGMMMTW19006</v>
      </c>
      <c r="C76" s="355"/>
      <c r="D76" s="355"/>
      <c r="E76" s="152"/>
      <c r="F76" s="153"/>
      <c r="G76" s="153"/>
      <c r="H76" s="153"/>
      <c r="I76" s="366">
        <f t="shared" si="2"/>
        <v>0</v>
      </c>
      <c r="J76" t="str">
        <f t="shared" si="3"/>
        <v/>
      </c>
    </row>
    <row r="77" spans="1:10" hidden="1" x14ac:dyDescent="0.25">
      <c r="A77" s="151">
        <v>2</v>
      </c>
      <c r="B77" s="106" t="str">
        <f>'Funding 2019'!$K$45</f>
        <v>CGMMMTW19006</v>
      </c>
      <c r="C77" s="355"/>
      <c r="D77" s="355"/>
      <c r="E77" s="152"/>
      <c r="F77" s="153"/>
      <c r="G77" s="153"/>
      <c r="H77" s="153"/>
      <c r="I77" s="366">
        <f t="shared" si="2"/>
        <v>0</v>
      </c>
      <c r="J77" t="str">
        <f t="shared" si="3"/>
        <v/>
      </c>
    </row>
    <row r="78" spans="1:10" hidden="1" x14ac:dyDescent="0.25">
      <c r="A78" s="151">
        <v>3</v>
      </c>
      <c r="B78" s="106" t="str">
        <f>'Funding 2019'!$K$45</f>
        <v>CGMMMTW19006</v>
      </c>
      <c r="C78" s="355"/>
      <c r="D78" s="355"/>
      <c r="E78" s="152"/>
      <c r="F78" s="153"/>
      <c r="G78" s="153"/>
      <c r="H78" s="153"/>
      <c r="I78" s="366">
        <f t="shared" si="2"/>
        <v>0</v>
      </c>
      <c r="J78" t="str">
        <f t="shared" si="3"/>
        <v/>
      </c>
    </row>
    <row r="79" spans="1:10" hidden="1" x14ac:dyDescent="0.25">
      <c r="A79" s="151">
        <v>4</v>
      </c>
      <c r="B79" s="106" t="str">
        <f>'Funding 2019'!$K$45</f>
        <v>CGMMMTW19006</v>
      </c>
      <c r="C79" s="355"/>
      <c r="D79" s="355"/>
      <c r="E79" s="152"/>
      <c r="F79" s="153"/>
      <c r="G79" s="153"/>
      <c r="H79" s="153"/>
      <c r="I79" s="366">
        <f t="shared" si="2"/>
        <v>0</v>
      </c>
      <c r="J79" t="str">
        <f t="shared" si="3"/>
        <v/>
      </c>
    </row>
    <row r="80" spans="1:10" x14ac:dyDescent="0.25">
      <c r="A80" s="151">
        <v>24</v>
      </c>
      <c r="B80" s="106" t="str">
        <f>'Funding 2019'!$K$91</f>
        <v>CGMM2019M264</v>
      </c>
      <c r="C80" s="355">
        <v>2100011755</v>
      </c>
      <c r="D80" s="355">
        <v>4500135182</v>
      </c>
      <c r="E80" s="152" t="s">
        <v>638</v>
      </c>
      <c r="F80" s="166">
        <f>208667809*0</f>
        <v>0</v>
      </c>
      <c r="G80" s="305">
        <v>207253387</v>
      </c>
      <c r="H80" s="166"/>
      <c r="I80" s="366">
        <f t="shared" si="2"/>
        <v>12776.068733818271</v>
      </c>
      <c r="J80" t="str">
        <f t="shared" si="3"/>
        <v>21000</v>
      </c>
    </row>
    <row r="81" spans="1:10" hidden="1" x14ac:dyDescent="0.25">
      <c r="A81" s="151">
        <v>2</v>
      </c>
      <c r="B81" s="106" t="str">
        <f>'Funding 2019'!$K$48</f>
        <v>CGMMMTW19007</v>
      </c>
      <c r="C81" s="355"/>
      <c r="D81" s="355"/>
      <c r="E81" s="152"/>
      <c r="F81" s="153"/>
      <c r="G81" s="153"/>
      <c r="H81" s="153"/>
      <c r="I81" s="366">
        <f t="shared" si="2"/>
        <v>0</v>
      </c>
      <c r="J81" t="str">
        <f t="shared" si="3"/>
        <v/>
      </c>
    </row>
    <row r="82" spans="1:10" hidden="1" x14ac:dyDescent="0.25">
      <c r="A82" s="151">
        <v>3</v>
      </c>
      <c r="B82" s="106" t="str">
        <f>'Funding 2019'!$K$48</f>
        <v>CGMMMTW19007</v>
      </c>
      <c r="C82" s="355"/>
      <c r="D82" s="355"/>
      <c r="E82" s="152"/>
      <c r="F82" s="153"/>
      <c r="G82" s="153"/>
      <c r="H82" s="153"/>
      <c r="I82" s="366">
        <f t="shared" si="2"/>
        <v>0</v>
      </c>
      <c r="J82" t="str">
        <f t="shared" si="3"/>
        <v/>
      </c>
    </row>
    <row r="83" spans="1:10" hidden="1" x14ac:dyDescent="0.25">
      <c r="A83" s="151">
        <v>4</v>
      </c>
      <c r="B83" s="106" t="str">
        <f>'Funding 2019'!$K$48</f>
        <v>CGMMMTW19007</v>
      </c>
      <c r="C83" s="355"/>
      <c r="D83" s="355"/>
      <c r="E83" s="152"/>
      <c r="F83" s="153"/>
      <c r="G83" s="153"/>
      <c r="H83" s="153"/>
      <c r="I83" s="366">
        <f t="shared" si="2"/>
        <v>0</v>
      </c>
      <c r="J83" t="str">
        <f t="shared" si="3"/>
        <v/>
      </c>
    </row>
    <row r="84" spans="1:10" x14ac:dyDescent="0.25">
      <c r="A84" s="151">
        <v>1</v>
      </c>
      <c r="B84" s="106" t="str">
        <f>'Funding 2019'!$K$41</f>
        <v>CGMMMTW19000</v>
      </c>
      <c r="C84" s="355">
        <v>2500003523</v>
      </c>
      <c r="D84" s="355">
        <v>4500134359</v>
      </c>
      <c r="E84" s="152" t="s">
        <v>312</v>
      </c>
      <c r="F84" s="153"/>
      <c r="G84" s="153">
        <v>144130000</v>
      </c>
      <c r="H84" s="153">
        <v>61770000</v>
      </c>
      <c r="I84" s="366">
        <f t="shared" si="2"/>
        <v>12692.639625200345</v>
      </c>
      <c r="J84" t="str">
        <f t="shared" si="3"/>
        <v>25000</v>
      </c>
    </row>
    <row r="85" spans="1:10" hidden="1" x14ac:dyDescent="0.25">
      <c r="A85" s="151">
        <v>2</v>
      </c>
      <c r="B85" s="106" t="str">
        <f>'Funding 2019'!$K$51</f>
        <v>CGMMQPC19001</v>
      </c>
      <c r="C85" s="355">
        <v>6100000771</v>
      </c>
      <c r="D85" s="355">
        <v>330419809</v>
      </c>
      <c r="E85" s="152" t="s">
        <v>480</v>
      </c>
      <c r="F85" s="166">
        <f>110359610*0</f>
        <v>0</v>
      </c>
      <c r="G85" s="166">
        <f>0*7626968</f>
        <v>0</v>
      </c>
      <c r="H85" s="166">
        <v>112495868</v>
      </c>
      <c r="I85" s="366">
        <f t="shared" si="2"/>
        <v>6934.7717913944025</v>
      </c>
      <c r="J85" t="str">
        <f t="shared" si="3"/>
        <v>61000</v>
      </c>
    </row>
    <row r="86" spans="1:10" hidden="1" x14ac:dyDescent="0.25">
      <c r="A86" s="151">
        <v>3</v>
      </c>
      <c r="B86" s="106" t="str">
        <f>'Funding 2019'!$K$51</f>
        <v>CGMMQPC19001</v>
      </c>
      <c r="C86" s="355">
        <v>6100000798</v>
      </c>
      <c r="D86" s="355"/>
      <c r="E86" s="152" t="s">
        <v>640</v>
      </c>
      <c r="F86" s="166">
        <v>131359620</v>
      </c>
      <c r="G86" s="280"/>
      <c r="H86" s="280"/>
      <c r="I86" s="366">
        <f t="shared" si="2"/>
        <v>8097.6217482431266</v>
      </c>
      <c r="J86" t="str">
        <f t="shared" si="3"/>
        <v>61000</v>
      </c>
    </row>
    <row r="87" spans="1:10" hidden="1" x14ac:dyDescent="0.25">
      <c r="A87" s="151">
        <v>4</v>
      </c>
      <c r="B87" s="106" t="str">
        <f>'Funding 2019'!$K$51</f>
        <v>CGMMQPC19001</v>
      </c>
      <c r="C87" s="355"/>
      <c r="D87" s="355"/>
      <c r="E87" s="152"/>
      <c r="F87" s="166"/>
      <c r="G87" s="166"/>
      <c r="H87" s="166"/>
      <c r="I87" s="366">
        <f t="shared" si="2"/>
        <v>0</v>
      </c>
      <c r="J87" t="str">
        <f t="shared" si="3"/>
        <v/>
      </c>
    </row>
    <row r="88" spans="1:10" x14ac:dyDescent="0.25">
      <c r="A88" s="151">
        <v>10</v>
      </c>
      <c r="B88" s="106" t="str">
        <f>'Funding 2019'!$K$84</f>
        <v>CGMM2019X167</v>
      </c>
      <c r="C88" s="355">
        <v>2100011791</v>
      </c>
      <c r="D88" s="355"/>
      <c r="E88" s="152" t="s">
        <v>762</v>
      </c>
      <c r="F88" s="166"/>
      <c r="G88" s="166">
        <v>195000000</v>
      </c>
      <c r="H88" s="166"/>
      <c r="I88" s="366">
        <f t="shared" si="2"/>
        <v>12020.712612501542</v>
      </c>
      <c r="J88" t="str">
        <f t="shared" si="3"/>
        <v>21000</v>
      </c>
    </row>
    <row r="89" spans="1:10" x14ac:dyDescent="0.25">
      <c r="A89" s="151">
        <v>2</v>
      </c>
      <c r="B89" s="106" t="str">
        <f>'Funding 2019'!$K$41</f>
        <v>CGMMMTW19000</v>
      </c>
      <c r="C89" s="355">
        <v>2500003551</v>
      </c>
      <c r="D89" s="355">
        <v>4500134570</v>
      </c>
      <c r="E89" s="152" t="s">
        <v>336</v>
      </c>
      <c r="F89" s="153"/>
      <c r="G89" s="153">
        <v>74189380</v>
      </c>
      <c r="H89" s="153">
        <v>115810620</v>
      </c>
      <c r="I89" s="366">
        <f t="shared" si="2"/>
        <v>11712.489212180988</v>
      </c>
      <c r="J89" t="str">
        <f t="shared" si="3"/>
        <v>25000</v>
      </c>
    </row>
    <row r="90" spans="1:10" x14ac:dyDescent="0.25">
      <c r="A90" s="151">
        <v>7</v>
      </c>
      <c r="B90" s="106" t="str">
        <f>'Funding 2019'!$K$61</f>
        <v>CGMMPRD19000</v>
      </c>
      <c r="C90" s="355">
        <v>2100011706</v>
      </c>
      <c r="D90" s="355">
        <v>4500135051</v>
      </c>
      <c r="E90" s="152" t="s">
        <v>510</v>
      </c>
      <c r="F90" s="153">
        <f>190000000*0</f>
        <v>0</v>
      </c>
      <c r="G90" s="171">
        <v>184300000</v>
      </c>
      <c r="H90" s="153"/>
      <c r="I90" s="366">
        <f t="shared" si="2"/>
        <v>11361.114535815559</v>
      </c>
      <c r="J90" t="str">
        <f t="shared" si="3"/>
        <v>21000</v>
      </c>
    </row>
    <row r="91" spans="1:10" x14ac:dyDescent="0.25">
      <c r="A91" s="151">
        <v>74</v>
      </c>
      <c r="B91" s="106" t="str">
        <f>'Funding 2019'!$K$87</f>
        <v>CGMM2019V167</v>
      </c>
      <c r="C91" s="355">
        <v>2100011738</v>
      </c>
      <c r="D91" s="355">
        <v>4500135137</v>
      </c>
      <c r="E91" s="152" t="s">
        <v>612</v>
      </c>
      <c r="F91" s="166">
        <f>200000000*0</f>
        <v>0</v>
      </c>
      <c r="G91" s="305">
        <v>180000000</v>
      </c>
      <c r="H91" s="166"/>
      <c r="I91" s="366">
        <f t="shared" si="2"/>
        <v>11096.042411539884</v>
      </c>
      <c r="J91" t="str">
        <f t="shared" si="3"/>
        <v>21000</v>
      </c>
    </row>
    <row r="92" spans="1:10" x14ac:dyDescent="0.25">
      <c r="A92" s="151">
        <v>1</v>
      </c>
      <c r="B92" s="106" t="str">
        <f>'Funding 2019'!$K$20</f>
        <v>CGMMMTW19001</v>
      </c>
      <c r="C92" s="355">
        <v>2100011556</v>
      </c>
      <c r="D92" s="355">
        <v>4500134592</v>
      </c>
      <c r="E92" s="167" t="s">
        <v>321</v>
      </c>
      <c r="F92" s="166">
        <f>179996490*0</f>
        <v>0</v>
      </c>
      <c r="G92" s="166">
        <f>175000000*0</f>
        <v>0</v>
      </c>
      <c r="H92" s="166">
        <v>175000000</v>
      </c>
      <c r="I92" s="366">
        <f t="shared" si="2"/>
        <v>10787.819011219332</v>
      </c>
      <c r="J92" t="str">
        <f t="shared" si="3"/>
        <v>21000</v>
      </c>
    </row>
    <row r="93" spans="1:10" x14ac:dyDescent="0.25">
      <c r="A93" s="151">
        <v>11</v>
      </c>
      <c r="B93" s="106" t="str">
        <f>'Funding 2019'!$K$28</f>
        <v>CGMMMTW19002</v>
      </c>
      <c r="C93" s="355">
        <v>2100011676</v>
      </c>
      <c r="D93" s="355">
        <v>4500134931</v>
      </c>
      <c r="E93" s="152" t="s">
        <v>472</v>
      </c>
      <c r="F93" s="166">
        <f>170000000*0</f>
        <v>0</v>
      </c>
      <c r="G93" s="166">
        <f>169800000*0</f>
        <v>0</v>
      </c>
      <c r="H93" s="166">
        <v>169800000</v>
      </c>
      <c r="I93" s="366">
        <f t="shared" si="2"/>
        <v>10467.266674885957</v>
      </c>
      <c r="J93" t="str">
        <f t="shared" si="3"/>
        <v>21000</v>
      </c>
    </row>
    <row r="94" spans="1:10" hidden="1" x14ac:dyDescent="0.25">
      <c r="A94" s="151">
        <v>7</v>
      </c>
      <c r="B94" s="106" t="str">
        <f>'Funding 2019'!$K$52</f>
        <v>CGMMQPC19002</v>
      </c>
      <c r="C94" s="355"/>
      <c r="D94" s="355"/>
      <c r="E94" s="152"/>
      <c r="F94" s="153"/>
      <c r="G94" s="153"/>
      <c r="H94" s="153"/>
      <c r="I94" s="366">
        <f t="shared" si="2"/>
        <v>0</v>
      </c>
      <c r="J94" t="str">
        <f t="shared" si="3"/>
        <v/>
      </c>
    </row>
    <row r="95" spans="1:10" hidden="1" x14ac:dyDescent="0.25">
      <c r="A95" s="151">
        <v>1</v>
      </c>
      <c r="B95" s="106" t="str">
        <f>'Funding 2019'!$K$53</f>
        <v>CGMMQPC19003</v>
      </c>
      <c r="C95" s="355"/>
      <c r="D95" s="355"/>
      <c r="E95" s="152"/>
      <c r="F95" s="153"/>
      <c r="G95" s="153"/>
      <c r="H95" s="153"/>
      <c r="I95" s="366">
        <f t="shared" si="2"/>
        <v>0</v>
      </c>
      <c r="J95" t="str">
        <f t="shared" si="3"/>
        <v/>
      </c>
    </row>
    <row r="96" spans="1:10" hidden="1" x14ac:dyDescent="0.25">
      <c r="A96" s="151">
        <v>2</v>
      </c>
      <c r="B96" s="106" t="str">
        <f>'Funding 2019'!$K$53</f>
        <v>CGMMQPC19003</v>
      </c>
      <c r="C96" s="355"/>
      <c r="D96" s="355"/>
      <c r="E96" s="152"/>
      <c r="F96" s="153"/>
      <c r="G96" s="153"/>
      <c r="H96" s="153"/>
      <c r="I96" s="366">
        <f t="shared" si="2"/>
        <v>0</v>
      </c>
      <c r="J96" t="str">
        <f t="shared" si="3"/>
        <v/>
      </c>
    </row>
    <row r="97" spans="1:10" hidden="1" x14ac:dyDescent="0.25">
      <c r="A97" s="151">
        <v>3</v>
      </c>
      <c r="B97" s="106" t="str">
        <f>'Funding 2019'!$K$53</f>
        <v>CGMMQPC19003</v>
      </c>
      <c r="C97" s="355"/>
      <c r="D97" s="355"/>
      <c r="E97" s="152"/>
      <c r="F97" s="153"/>
      <c r="G97" s="153"/>
      <c r="H97" s="153"/>
      <c r="I97" s="366">
        <f t="shared" si="2"/>
        <v>0</v>
      </c>
      <c r="J97" t="str">
        <f t="shared" si="3"/>
        <v/>
      </c>
    </row>
    <row r="98" spans="1:10" hidden="1" x14ac:dyDescent="0.25">
      <c r="A98" s="151">
        <v>4</v>
      </c>
      <c r="B98" s="106" t="str">
        <f>'Funding 2019'!$K$53</f>
        <v>CGMMQPC19003</v>
      </c>
      <c r="C98" s="355"/>
      <c r="D98" s="355"/>
      <c r="E98" s="152"/>
      <c r="F98" s="153"/>
      <c r="G98" s="153"/>
      <c r="H98" s="153"/>
      <c r="I98" s="366">
        <f t="shared" si="2"/>
        <v>0</v>
      </c>
      <c r="J98" t="str">
        <f t="shared" si="3"/>
        <v/>
      </c>
    </row>
    <row r="99" spans="1:10" x14ac:dyDescent="0.25">
      <c r="A99" s="151">
        <v>17</v>
      </c>
      <c r="B99" s="106" t="str">
        <f>'Funding 2019'!$K$87</f>
        <v>CGMM2019V167</v>
      </c>
      <c r="C99" s="355">
        <v>2100011539</v>
      </c>
      <c r="D99" s="355">
        <v>4500134503</v>
      </c>
      <c r="E99" s="152" t="s">
        <v>267</v>
      </c>
      <c r="F99" s="166">
        <f>173300000*0</f>
        <v>0</v>
      </c>
      <c r="G99" s="166">
        <f>150771000*0</f>
        <v>0</v>
      </c>
      <c r="H99" s="166">
        <v>150771000</v>
      </c>
      <c r="I99" s="366">
        <f t="shared" si="2"/>
        <v>9294.2300579459989</v>
      </c>
      <c r="J99" t="str">
        <f t="shared" si="3"/>
        <v>21000</v>
      </c>
    </row>
    <row r="100" spans="1:10" x14ac:dyDescent="0.25">
      <c r="A100" s="151">
        <v>3</v>
      </c>
      <c r="B100" s="106" t="str">
        <f>'Funding 2019'!$K$20</f>
        <v>CGMMMTW19001</v>
      </c>
      <c r="C100" s="355">
        <v>2100011563</v>
      </c>
      <c r="D100" s="355">
        <v>4500134576</v>
      </c>
      <c r="E100" s="167" t="s">
        <v>329</v>
      </c>
      <c r="F100" s="166">
        <f>150000000*0</f>
        <v>0</v>
      </c>
      <c r="G100" s="166">
        <f>150000000*0</f>
        <v>0</v>
      </c>
      <c r="H100" s="166">
        <f>150000000</f>
        <v>150000000</v>
      </c>
      <c r="I100" s="366">
        <f t="shared" si="2"/>
        <v>9246.7020096165706</v>
      </c>
      <c r="J100" t="str">
        <f t="shared" si="3"/>
        <v>21000</v>
      </c>
    </row>
    <row r="101" spans="1:10" x14ac:dyDescent="0.25">
      <c r="A101" s="151">
        <v>2</v>
      </c>
      <c r="B101" s="106" t="str">
        <f>'Funding 2019'!$K$77</f>
        <v>EGMMENG19002</v>
      </c>
      <c r="C101" s="355">
        <v>2500003625</v>
      </c>
      <c r="D101" s="355">
        <v>4500135060</v>
      </c>
      <c r="E101" s="152" t="s">
        <v>580</v>
      </c>
      <c r="F101" s="153">
        <f>138000000*0</f>
        <v>0</v>
      </c>
      <c r="G101" s="153">
        <v>138000000</v>
      </c>
      <c r="H101" s="153"/>
      <c r="I101" s="366">
        <f t="shared" si="2"/>
        <v>8506.9658488472451</v>
      </c>
      <c r="J101" t="str">
        <f t="shared" si="3"/>
        <v>25000</v>
      </c>
    </row>
    <row r="102" spans="1:10" x14ac:dyDescent="0.25">
      <c r="A102" s="151">
        <v>64</v>
      </c>
      <c r="B102" s="106" t="str">
        <f>'Funding 2019'!$K$87</f>
        <v>CGMM2019V167</v>
      </c>
      <c r="C102" s="355">
        <v>2100011702</v>
      </c>
      <c r="D102" s="355">
        <v>4500135039</v>
      </c>
      <c r="E102" s="152" t="s">
        <v>515</v>
      </c>
      <c r="F102" s="166">
        <f>135000000*0</f>
        <v>0</v>
      </c>
      <c r="G102" s="305">
        <v>135000000</v>
      </c>
      <c r="H102" s="166"/>
      <c r="I102" s="366">
        <f t="shared" si="2"/>
        <v>8322.0318086549123</v>
      </c>
      <c r="J102" t="str">
        <f t="shared" si="3"/>
        <v>21000</v>
      </c>
    </row>
    <row r="103" spans="1:10" x14ac:dyDescent="0.25">
      <c r="A103" s="151">
        <v>6</v>
      </c>
      <c r="B103" s="106" t="str">
        <f>'Funding 2019'!$K$28</f>
        <v>CGMMMTW19002</v>
      </c>
      <c r="C103" s="355">
        <v>2100011641</v>
      </c>
      <c r="D103" s="355">
        <v>4500134843</v>
      </c>
      <c r="E103" s="152" t="s">
        <v>448</v>
      </c>
      <c r="F103" s="166">
        <f>147500000*0</f>
        <v>0</v>
      </c>
      <c r="G103" s="166">
        <f>134320000*0</f>
        <v>0</v>
      </c>
      <c r="H103" s="166">
        <v>134320000</v>
      </c>
      <c r="I103" s="366">
        <f t="shared" si="2"/>
        <v>8280.1134262113173</v>
      </c>
      <c r="J103" t="str">
        <f t="shared" si="3"/>
        <v>21000</v>
      </c>
    </row>
    <row r="104" spans="1:10" hidden="1" x14ac:dyDescent="0.25">
      <c r="A104" s="151">
        <v>7</v>
      </c>
      <c r="B104" s="106" t="str">
        <f>'Funding 2019'!$K$57</f>
        <v>CGMMLOG19001</v>
      </c>
      <c r="C104" s="355"/>
      <c r="D104" s="355"/>
      <c r="E104" s="152"/>
      <c r="F104" s="153"/>
      <c r="G104" s="153"/>
      <c r="H104" s="153"/>
      <c r="I104" s="366">
        <f t="shared" si="2"/>
        <v>0</v>
      </c>
      <c r="J104" t="str">
        <f t="shared" si="3"/>
        <v/>
      </c>
    </row>
    <row r="105" spans="1:10" hidden="1" x14ac:dyDescent="0.25">
      <c r="A105" s="151">
        <v>8</v>
      </c>
      <c r="B105" s="106" t="str">
        <f>'Funding 2019'!$K$57</f>
        <v>CGMMLOG19001</v>
      </c>
      <c r="C105" s="355"/>
      <c r="D105" s="355"/>
      <c r="E105" s="152"/>
      <c r="F105" s="153"/>
      <c r="G105" s="153"/>
      <c r="H105" s="153"/>
      <c r="I105" s="366">
        <f t="shared" si="2"/>
        <v>0</v>
      </c>
      <c r="J105" t="str">
        <f t="shared" si="3"/>
        <v/>
      </c>
    </row>
    <row r="106" spans="1:10" hidden="1" x14ac:dyDescent="0.25">
      <c r="A106" s="151">
        <v>9</v>
      </c>
      <c r="B106" s="106" t="str">
        <f>'Funding 2019'!$K$57</f>
        <v>CGMMLOG19001</v>
      </c>
      <c r="C106" s="355"/>
      <c r="D106" s="355"/>
      <c r="E106" s="152"/>
      <c r="F106" s="153"/>
      <c r="G106" s="153"/>
      <c r="H106" s="153"/>
      <c r="I106" s="366">
        <f t="shared" si="2"/>
        <v>0</v>
      </c>
      <c r="J106" t="str">
        <f t="shared" si="3"/>
        <v/>
      </c>
    </row>
    <row r="107" spans="1:10" hidden="1" x14ac:dyDescent="0.25">
      <c r="A107" s="151">
        <v>10</v>
      </c>
      <c r="B107" s="106" t="str">
        <f>'Funding 2019'!$K$57</f>
        <v>CGMMLOG19001</v>
      </c>
      <c r="C107" s="355"/>
      <c r="D107" s="355"/>
      <c r="E107" s="152"/>
      <c r="F107" s="153"/>
      <c r="G107" s="153"/>
      <c r="H107" s="153"/>
      <c r="I107" s="366">
        <f t="shared" si="2"/>
        <v>0</v>
      </c>
      <c r="J107" t="str">
        <f t="shared" si="3"/>
        <v/>
      </c>
    </row>
    <row r="108" spans="1:10" x14ac:dyDescent="0.25">
      <c r="A108" s="151">
        <v>4</v>
      </c>
      <c r="B108" s="106" t="str">
        <f>'Funding 2019'!$K$37</f>
        <v>CGMMMTW19003</v>
      </c>
      <c r="C108" s="355">
        <v>2100011640</v>
      </c>
      <c r="D108" s="355">
        <v>4500134810</v>
      </c>
      <c r="E108" s="152" t="s">
        <v>475</v>
      </c>
      <c r="F108" s="166"/>
      <c r="G108" s="170">
        <v>133500000</v>
      </c>
      <c r="H108" s="166"/>
      <c r="I108" s="366">
        <f t="shared" si="2"/>
        <v>8229.5647885587478</v>
      </c>
      <c r="J108" t="str">
        <f t="shared" si="3"/>
        <v>21000</v>
      </c>
    </row>
    <row r="109" spans="1:10" hidden="1" x14ac:dyDescent="0.25">
      <c r="A109" s="151">
        <v>2</v>
      </c>
      <c r="B109" s="106" t="str">
        <f>'Funding 2019'!$K$58</f>
        <v>CGMMLOG19002</v>
      </c>
      <c r="C109" s="355"/>
      <c r="D109" s="355"/>
      <c r="E109" s="152"/>
      <c r="F109" s="153"/>
      <c r="G109" s="153"/>
      <c r="H109" s="153"/>
      <c r="I109" s="366">
        <f t="shared" si="2"/>
        <v>0</v>
      </c>
      <c r="J109" t="str">
        <f t="shared" si="3"/>
        <v/>
      </c>
    </row>
    <row r="110" spans="1:10" hidden="1" x14ac:dyDescent="0.25">
      <c r="A110" s="151">
        <v>3</v>
      </c>
      <c r="B110" s="106" t="str">
        <f>'Funding 2019'!$K$58</f>
        <v>CGMMLOG19002</v>
      </c>
      <c r="C110" s="355"/>
      <c r="D110" s="355"/>
      <c r="E110" s="152"/>
      <c r="F110" s="153"/>
      <c r="G110" s="153"/>
      <c r="H110" s="153"/>
      <c r="I110" s="366">
        <f t="shared" si="2"/>
        <v>0</v>
      </c>
      <c r="J110" t="str">
        <f t="shared" si="3"/>
        <v/>
      </c>
    </row>
    <row r="111" spans="1:10" hidden="1" x14ac:dyDescent="0.25">
      <c r="A111" s="151">
        <v>4</v>
      </c>
      <c r="B111" s="106" t="str">
        <f>'Funding 2019'!$K$58</f>
        <v>CGMMLOG19002</v>
      </c>
      <c r="C111" s="355"/>
      <c r="D111" s="355"/>
      <c r="E111" s="152"/>
      <c r="F111" s="153"/>
      <c r="G111" s="153"/>
      <c r="H111" s="153"/>
      <c r="I111" s="366">
        <f t="shared" si="2"/>
        <v>0</v>
      </c>
      <c r="J111" t="str">
        <f t="shared" si="3"/>
        <v/>
      </c>
    </row>
    <row r="112" spans="1:10" x14ac:dyDescent="0.25">
      <c r="A112" s="151">
        <v>68</v>
      </c>
      <c r="B112" s="106" t="str">
        <f>'Funding 2019'!$K$87</f>
        <v>CGMM2019V167</v>
      </c>
      <c r="C112" s="355">
        <v>2100011716</v>
      </c>
      <c r="D112" s="355">
        <v>4500135153</v>
      </c>
      <c r="E112" s="152" t="s">
        <v>577</v>
      </c>
      <c r="F112" s="166">
        <f>137541181*0</f>
        <v>0</v>
      </c>
      <c r="G112" s="305">
        <v>132089478</v>
      </c>
      <c r="H112" s="166"/>
      <c r="I112" s="366">
        <f t="shared" si="2"/>
        <v>8142.6136111453579</v>
      </c>
      <c r="J112" t="str">
        <f t="shared" si="3"/>
        <v>21000</v>
      </c>
    </row>
    <row r="113" spans="1:10" x14ac:dyDescent="0.25">
      <c r="A113" s="151">
        <v>3</v>
      </c>
      <c r="B113" s="106" t="str">
        <f>'Funding 2019'!$K$79</f>
        <v>CGMMENG19002</v>
      </c>
      <c r="C113" s="355">
        <v>2100011652</v>
      </c>
      <c r="D113" s="355">
        <v>4500134881</v>
      </c>
      <c r="E113" s="152" t="s">
        <v>445</v>
      </c>
      <c r="F113" s="153">
        <f>140750000*0</f>
        <v>0</v>
      </c>
      <c r="G113" s="287">
        <v>131999998</v>
      </c>
      <c r="H113" s="166"/>
      <c r="I113" s="366">
        <f t="shared" si="2"/>
        <v>8137.0976451732213</v>
      </c>
      <c r="J113" t="str">
        <f t="shared" si="3"/>
        <v>21000</v>
      </c>
    </row>
    <row r="114" spans="1:10" x14ac:dyDescent="0.25">
      <c r="A114" s="151">
        <v>7</v>
      </c>
      <c r="B114" s="106" t="str">
        <f>'Funding 2019'!$K$28</f>
        <v>CGMMMTW19002</v>
      </c>
      <c r="C114" s="355">
        <v>2100011653</v>
      </c>
      <c r="D114" s="355">
        <v>4500134852</v>
      </c>
      <c r="E114" s="152" t="s">
        <v>449</v>
      </c>
      <c r="F114" s="166">
        <f>130000000*0</f>
        <v>0</v>
      </c>
      <c r="G114" s="166">
        <f>122797000*0</f>
        <v>0</v>
      </c>
      <c r="H114" s="166">
        <f>122797000</f>
        <v>122797000</v>
      </c>
      <c r="I114" s="366">
        <f t="shared" si="2"/>
        <v>7569.7817778325734</v>
      </c>
      <c r="J114" t="str">
        <f t="shared" si="3"/>
        <v>21000</v>
      </c>
    </row>
    <row r="115" spans="1:10" x14ac:dyDescent="0.25">
      <c r="A115" s="151">
        <v>3</v>
      </c>
      <c r="B115" s="106" t="str">
        <f>'Funding 2019'!$K$61</f>
        <v>CGMMPRD19000</v>
      </c>
      <c r="C115" s="355">
        <v>2100011627</v>
      </c>
      <c r="D115" s="355">
        <v>4500134764</v>
      </c>
      <c r="E115" s="152" t="s">
        <v>367</v>
      </c>
      <c r="F115" s="153">
        <f>108362471*0</f>
        <v>0</v>
      </c>
      <c r="G115" s="153">
        <f>107635205*0</f>
        <v>0</v>
      </c>
      <c r="H115" s="171">
        <v>121729949</v>
      </c>
      <c r="I115" s="366">
        <f t="shared" si="2"/>
        <v>7504.0037603254841</v>
      </c>
      <c r="J115" t="str">
        <f t="shared" si="3"/>
        <v>21000</v>
      </c>
    </row>
    <row r="116" spans="1:10" x14ac:dyDescent="0.25">
      <c r="A116" s="151">
        <v>1</v>
      </c>
      <c r="B116" s="106" t="str">
        <f>'Funding 2019'!$K$37</f>
        <v>CGMMMTW19003</v>
      </c>
      <c r="C116" s="355">
        <v>2100011554</v>
      </c>
      <c r="D116" s="355">
        <v>4500134578</v>
      </c>
      <c r="E116" s="152" t="s">
        <v>242</v>
      </c>
      <c r="F116" s="166">
        <f>120000000*0</f>
        <v>0</v>
      </c>
      <c r="G116" s="166">
        <f>119350000*0</f>
        <v>0</v>
      </c>
      <c r="H116" s="166">
        <v>119350000</v>
      </c>
      <c r="I116" s="366">
        <f t="shared" si="2"/>
        <v>7357.2925656515845</v>
      </c>
      <c r="J116" t="str">
        <f t="shared" si="3"/>
        <v>21000</v>
      </c>
    </row>
    <row r="117" spans="1:10" hidden="1" x14ac:dyDescent="0.25">
      <c r="A117" s="151">
        <v>8</v>
      </c>
      <c r="B117" s="106" t="str">
        <f>'Funding 2019'!$K$61</f>
        <v>CGMMPRD19000</v>
      </c>
      <c r="C117" s="355">
        <v>5500011738</v>
      </c>
      <c r="D117" s="355">
        <v>1920201719</v>
      </c>
      <c r="E117" s="152" t="s">
        <v>511</v>
      </c>
      <c r="F117" s="153">
        <f>0*15450000</f>
        <v>0</v>
      </c>
      <c r="G117" s="153"/>
      <c r="H117" s="287">
        <v>15450000</v>
      </c>
      <c r="I117" s="366">
        <f t="shared" si="2"/>
        <v>952.41030699050668</v>
      </c>
      <c r="J117" t="str">
        <f t="shared" si="3"/>
        <v>55000</v>
      </c>
    </row>
    <row r="118" spans="1:10" hidden="1" x14ac:dyDescent="0.25">
      <c r="A118" s="151">
        <v>9</v>
      </c>
      <c r="B118" s="106" t="str">
        <f>'Funding 2019'!$K$61</f>
        <v>CGMMPRD19000</v>
      </c>
      <c r="C118" s="355">
        <v>5500011739</v>
      </c>
      <c r="D118" s="355"/>
      <c r="E118" s="152" t="s">
        <v>512</v>
      </c>
      <c r="F118" s="153">
        <v>15861000</v>
      </c>
      <c r="G118" s="153"/>
      <c r="H118" s="153"/>
      <c r="I118" s="366">
        <f t="shared" si="2"/>
        <v>977.74627049685614</v>
      </c>
      <c r="J118" t="str">
        <f t="shared" si="3"/>
        <v>55000</v>
      </c>
    </row>
    <row r="119" spans="1:10" x14ac:dyDescent="0.25">
      <c r="A119" s="151">
        <v>77</v>
      </c>
      <c r="B119" s="106" t="str">
        <f>'Funding 2019'!$K$87</f>
        <v>CGMM2019V167</v>
      </c>
      <c r="C119" s="355">
        <v>2100011750</v>
      </c>
      <c r="D119" s="355">
        <v>4500135196</v>
      </c>
      <c r="E119" s="152" t="s">
        <v>636</v>
      </c>
      <c r="F119" s="166">
        <f>0*139000000</f>
        <v>0</v>
      </c>
      <c r="G119" s="305">
        <v>112950000</v>
      </c>
      <c r="H119" s="166"/>
      <c r="I119" s="366">
        <f t="shared" si="2"/>
        <v>6962.7666132412769</v>
      </c>
      <c r="J119" t="str">
        <f t="shared" si="3"/>
        <v>21000</v>
      </c>
    </row>
    <row r="120" spans="1:10" x14ac:dyDescent="0.25">
      <c r="A120" s="151">
        <v>3</v>
      </c>
      <c r="B120" s="106" t="str">
        <f>'Funding 2019'!$K$7</f>
        <v xml:space="preserve">CGMMHRM19002 </v>
      </c>
      <c r="C120" s="355">
        <v>2500003647</v>
      </c>
      <c r="D120" s="355">
        <v>4500135167</v>
      </c>
      <c r="E120" s="152" t="s">
        <v>641</v>
      </c>
      <c r="F120" s="153">
        <f>111284070*0</f>
        <v>0</v>
      </c>
      <c r="G120" s="153">
        <v>111284070</v>
      </c>
      <c r="H120" s="153"/>
      <c r="I120" s="366">
        <f t="shared" si="2"/>
        <v>6860.0708913820736</v>
      </c>
      <c r="J120" t="str">
        <f t="shared" si="3"/>
        <v>25000</v>
      </c>
    </row>
    <row r="121" spans="1:10" hidden="1" x14ac:dyDescent="0.25">
      <c r="A121" s="151">
        <v>12</v>
      </c>
      <c r="B121" s="106" t="str">
        <f>'Funding 2019'!$K$61</f>
        <v>CGMMPRD19000</v>
      </c>
      <c r="C121" s="355"/>
      <c r="D121" s="355"/>
      <c r="E121" s="152"/>
      <c r="F121" s="153"/>
      <c r="G121" s="153"/>
      <c r="H121" s="153"/>
      <c r="I121" s="366">
        <f t="shared" si="2"/>
        <v>0</v>
      </c>
      <c r="J121" t="str">
        <f t="shared" si="3"/>
        <v/>
      </c>
    </row>
    <row r="122" spans="1:10" hidden="1" x14ac:dyDescent="0.25">
      <c r="A122" s="151">
        <v>13</v>
      </c>
      <c r="B122" s="106" t="str">
        <f>'Funding 2019'!$K$61</f>
        <v>CGMMPRD19000</v>
      </c>
      <c r="C122" s="355"/>
      <c r="D122" s="355"/>
      <c r="E122" s="152"/>
      <c r="F122" s="153"/>
      <c r="G122" s="153"/>
      <c r="H122" s="153"/>
      <c r="I122" s="366">
        <f t="shared" si="2"/>
        <v>0</v>
      </c>
      <c r="J122" t="str">
        <f t="shared" si="3"/>
        <v/>
      </c>
    </row>
    <row r="123" spans="1:10" hidden="1" x14ac:dyDescent="0.25">
      <c r="A123" s="151">
        <v>1</v>
      </c>
      <c r="B123" s="106" t="str">
        <f>'Funding 2019'!$K$69</f>
        <v>EGMMPRD19000</v>
      </c>
      <c r="C123" s="355"/>
      <c r="D123" s="355"/>
      <c r="E123" s="152"/>
      <c r="F123" s="153"/>
      <c r="G123" s="153"/>
      <c r="H123" s="153"/>
      <c r="I123" s="366">
        <f t="shared" si="2"/>
        <v>0</v>
      </c>
      <c r="J123" t="str">
        <f t="shared" si="3"/>
        <v/>
      </c>
    </row>
    <row r="124" spans="1:10" hidden="1" x14ac:dyDescent="0.25">
      <c r="A124" s="151">
        <v>2</v>
      </c>
      <c r="B124" s="106" t="str">
        <f>'Funding 2019'!$K$69</f>
        <v>EGMMPRD19000</v>
      </c>
      <c r="C124" s="355"/>
      <c r="D124" s="355"/>
      <c r="E124" s="152"/>
      <c r="F124" s="153"/>
      <c r="G124" s="153"/>
      <c r="H124" s="153"/>
      <c r="I124" s="366">
        <f t="shared" si="2"/>
        <v>0</v>
      </c>
      <c r="J124" t="str">
        <f t="shared" si="3"/>
        <v/>
      </c>
    </row>
    <row r="125" spans="1:10" hidden="1" x14ac:dyDescent="0.25">
      <c r="A125" s="151">
        <v>3</v>
      </c>
      <c r="B125" s="106" t="str">
        <f>'Funding 2019'!$K$69</f>
        <v>EGMMPRD19000</v>
      </c>
      <c r="C125" s="355"/>
      <c r="D125" s="355"/>
      <c r="E125" s="152"/>
      <c r="F125" s="153"/>
      <c r="G125" s="153"/>
      <c r="H125" s="153"/>
      <c r="I125" s="366">
        <f t="shared" si="2"/>
        <v>0</v>
      </c>
      <c r="J125" t="str">
        <f t="shared" si="3"/>
        <v/>
      </c>
    </row>
    <row r="126" spans="1:10" hidden="1" x14ac:dyDescent="0.25">
      <c r="A126" s="151">
        <v>4</v>
      </c>
      <c r="B126" s="106" t="str">
        <f>'Funding 2019'!$K$69</f>
        <v>EGMMPRD19000</v>
      </c>
      <c r="C126" s="355"/>
      <c r="D126" s="355"/>
      <c r="E126" s="152"/>
      <c r="F126" s="153"/>
      <c r="G126" s="153"/>
      <c r="H126" s="153"/>
      <c r="I126" s="366">
        <f t="shared" si="2"/>
        <v>0</v>
      </c>
      <c r="J126" t="str">
        <f t="shared" si="3"/>
        <v/>
      </c>
    </row>
    <row r="127" spans="1:10" hidden="1" x14ac:dyDescent="0.25">
      <c r="A127" s="151">
        <v>1</v>
      </c>
      <c r="B127" s="106" t="str">
        <f>'Funding 2019'!$K$65</f>
        <v>CGMMPRD19001</v>
      </c>
      <c r="C127" s="355"/>
      <c r="D127" s="355"/>
      <c r="E127" s="152"/>
      <c r="F127" s="153"/>
      <c r="G127" s="153"/>
      <c r="H127" s="153"/>
      <c r="I127" s="366">
        <f t="shared" si="2"/>
        <v>0</v>
      </c>
      <c r="J127" t="str">
        <f t="shared" si="3"/>
        <v/>
      </c>
    </row>
    <row r="128" spans="1:10" hidden="1" x14ac:dyDescent="0.25">
      <c r="A128" s="151">
        <v>2</v>
      </c>
      <c r="B128" s="106" t="str">
        <f>'Funding 2019'!$K$65</f>
        <v>CGMMPRD19001</v>
      </c>
      <c r="C128" s="355"/>
      <c r="D128" s="355"/>
      <c r="E128" s="152"/>
      <c r="F128" s="153"/>
      <c r="G128" s="153"/>
      <c r="H128" s="153"/>
      <c r="I128" s="366">
        <f t="shared" si="2"/>
        <v>0</v>
      </c>
      <c r="J128" t="str">
        <f t="shared" si="3"/>
        <v/>
      </c>
    </row>
    <row r="129" spans="1:10" hidden="1" x14ac:dyDescent="0.25">
      <c r="A129" s="151">
        <v>3</v>
      </c>
      <c r="B129" s="106" t="str">
        <f>'Funding 2019'!$K$65</f>
        <v>CGMMPRD19001</v>
      </c>
      <c r="C129" s="355"/>
      <c r="D129" s="355"/>
      <c r="E129" s="152"/>
      <c r="F129" s="153"/>
      <c r="G129" s="153"/>
      <c r="H129" s="153"/>
      <c r="I129" s="366">
        <f t="shared" si="2"/>
        <v>0</v>
      </c>
      <c r="J129" t="str">
        <f t="shared" si="3"/>
        <v/>
      </c>
    </row>
    <row r="130" spans="1:10" hidden="1" x14ac:dyDescent="0.25">
      <c r="A130" s="151">
        <v>4</v>
      </c>
      <c r="B130" s="106" t="str">
        <f>'Funding 2019'!$K$65</f>
        <v>CGMMPRD19001</v>
      </c>
      <c r="C130" s="355"/>
      <c r="D130" s="355"/>
      <c r="E130" s="152"/>
      <c r="F130" s="153"/>
      <c r="G130" s="153"/>
      <c r="H130" s="153"/>
      <c r="I130" s="366">
        <f t="shared" ref="I130:I193" si="4">SUM(F130:H130)/16222</f>
        <v>0</v>
      </c>
      <c r="J130" t="str">
        <f t="shared" ref="J130:J193" si="5">IF(C130="",LEFT(D130,5),LEFT(C130,5))</f>
        <v/>
      </c>
    </row>
    <row r="131" spans="1:10" hidden="1" x14ac:dyDescent="0.25">
      <c r="A131" s="151">
        <v>1</v>
      </c>
      <c r="B131" s="106" t="str">
        <f>'Funding 2019'!$K$66</f>
        <v>CGMMPRD19002</v>
      </c>
      <c r="C131" s="355">
        <v>5500011134</v>
      </c>
      <c r="D131" s="355"/>
      <c r="E131" s="152" t="s">
        <v>256</v>
      </c>
      <c r="F131" s="153">
        <f>23950000*0</f>
        <v>0</v>
      </c>
      <c r="G131" s="153"/>
      <c r="H131" s="153">
        <v>23950000</v>
      </c>
      <c r="I131" s="366">
        <f t="shared" si="4"/>
        <v>1476.3900875354457</v>
      </c>
      <c r="J131" t="str">
        <f t="shared" si="5"/>
        <v>55000</v>
      </c>
    </row>
    <row r="132" spans="1:10" hidden="1" x14ac:dyDescent="0.25">
      <c r="A132" s="151">
        <v>2</v>
      </c>
      <c r="B132" s="106" t="str">
        <f>'Funding 2019'!$K$66</f>
        <v>CGMMPRD19002</v>
      </c>
      <c r="C132" s="355"/>
      <c r="D132" s="355"/>
      <c r="E132" s="152" t="s">
        <v>587</v>
      </c>
      <c r="F132" s="153"/>
      <c r="G132" s="153"/>
      <c r="H132" s="153">
        <v>3975000</v>
      </c>
      <c r="I132" s="366">
        <f t="shared" si="4"/>
        <v>245.0376032548391</v>
      </c>
      <c r="J132" t="str">
        <f t="shared" si="5"/>
        <v/>
      </c>
    </row>
    <row r="133" spans="1:10" hidden="1" x14ac:dyDescent="0.25">
      <c r="A133" s="151">
        <v>3</v>
      </c>
      <c r="B133" s="106" t="str">
        <f>'Funding 2019'!$K$66</f>
        <v>CGMMPRD19002</v>
      </c>
      <c r="C133" s="355"/>
      <c r="D133" s="355"/>
      <c r="E133" s="152" t="s">
        <v>715</v>
      </c>
      <c r="F133" s="153"/>
      <c r="G133" s="153"/>
      <c r="H133" s="153">
        <v>5525000</v>
      </c>
      <c r="I133" s="366">
        <f t="shared" si="4"/>
        <v>340.58685735421034</v>
      </c>
      <c r="J133" t="str">
        <f t="shared" si="5"/>
        <v/>
      </c>
    </row>
    <row r="134" spans="1:10" hidden="1" x14ac:dyDescent="0.25">
      <c r="A134" s="151">
        <v>4</v>
      </c>
      <c r="B134" s="106" t="str">
        <f>'Funding 2019'!$K$66</f>
        <v>CGMMPRD19002</v>
      </c>
      <c r="C134" s="355"/>
      <c r="D134" s="355"/>
      <c r="E134" s="152"/>
      <c r="F134" s="153"/>
      <c r="G134" s="153"/>
      <c r="H134" s="153"/>
      <c r="I134" s="366">
        <f t="shared" si="4"/>
        <v>0</v>
      </c>
      <c r="J134" t="str">
        <f t="shared" si="5"/>
        <v/>
      </c>
    </row>
    <row r="135" spans="1:10" hidden="1" x14ac:dyDescent="0.25">
      <c r="A135" s="151">
        <v>1</v>
      </c>
      <c r="B135" s="106" t="str">
        <f>'Funding 2019'!$K$67</f>
        <v>CGMMPRD19003</v>
      </c>
      <c r="C135" s="355"/>
      <c r="D135" s="355"/>
      <c r="E135" s="152" t="s">
        <v>319</v>
      </c>
      <c r="F135" s="153"/>
      <c r="G135" s="153"/>
      <c r="H135" s="153">
        <v>45000000</v>
      </c>
      <c r="I135" s="366">
        <f t="shared" si="4"/>
        <v>2774.0106028849709</v>
      </c>
      <c r="J135" t="str">
        <f t="shared" si="5"/>
        <v/>
      </c>
    </row>
    <row r="136" spans="1:10" hidden="1" x14ac:dyDescent="0.25">
      <c r="A136" s="151">
        <v>2</v>
      </c>
      <c r="B136" s="106" t="str">
        <f>'Funding 2019'!$K$67</f>
        <v>CGMMPRD19003</v>
      </c>
      <c r="C136" s="355"/>
      <c r="D136" s="355"/>
      <c r="E136" s="152"/>
      <c r="F136" s="153"/>
      <c r="G136" s="153"/>
      <c r="H136" s="153"/>
      <c r="I136" s="366">
        <f t="shared" si="4"/>
        <v>0</v>
      </c>
      <c r="J136" t="str">
        <f t="shared" si="5"/>
        <v/>
      </c>
    </row>
    <row r="137" spans="1:10" hidden="1" x14ac:dyDescent="0.25">
      <c r="A137" s="151">
        <v>3</v>
      </c>
      <c r="B137" s="106" t="str">
        <f>'Funding 2019'!$K$67</f>
        <v>CGMMPRD19003</v>
      </c>
      <c r="C137" s="355"/>
      <c r="D137" s="355"/>
      <c r="E137" s="152"/>
      <c r="F137" s="153"/>
      <c r="G137" s="153"/>
      <c r="H137" s="153"/>
      <c r="I137" s="366">
        <f t="shared" si="4"/>
        <v>0</v>
      </c>
      <c r="J137" t="str">
        <f t="shared" si="5"/>
        <v/>
      </c>
    </row>
    <row r="138" spans="1:10" hidden="1" x14ac:dyDescent="0.25">
      <c r="A138" s="151">
        <v>4</v>
      </c>
      <c r="B138" s="106" t="str">
        <f>'Funding 2019'!$K$67</f>
        <v>CGMMPRD19003</v>
      </c>
      <c r="C138" s="355"/>
      <c r="D138" s="355"/>
      <c r="E138" s="152"/>
      <c r="F138" s="153"/>
      <c r="G138" s="153"/>
      <c r="H138" s="153"/>
      <c r="I138" s="366">
        <f t="shared" si="4"/>
        <v>0</v>
      </c>
      <c r="J138" t="str">
        <f t="shared" si="5"/>
        <v/>
      </c>
    </row>
    <row r="139" spans="1:10" hidden="1" x14ac:dyDescent="0.25">
      <c r="A139" s="151">
        <v>1</v>
      </c>
      <c r="B139" s="106" t="str">
        <f>'Funding 2019'!$K$68</f>
        <v>CGMMPRD19004</v>
      </c>
      <c r="C139" s="355"/>
      <c r="D139" s="355"/>
      <c r="E139" s="152"/>
      <c r="F139" s="153"/>
      <c r="G139" s="153"/>
      <c r="H139" s="153"/>
      <c r="I139" s="366">
        <f t="shared" si="4"/>
        <v>0</v>
      </c>
      <c r="J139" t="str">
        <f t="shared" si="5"/>
        <v/>
      </c>
    </row>
    <row r="140" spans="1:10" hidden="1" x14ac:dyDescent="0.25">
      <c r="A140" s="151">
        <v>2</v>
      </c>
      <c r="B140" s="106" t="str">
        <f>'Funding 2019'!$K$68</f>
        <v>CGMMPRD19004</v>
      </c>
      <c r="C140" s="355"/>
      <c r="D140" s="355"/>
      <c r="E140" s="152"/>
      <c r="F140" s="153"/>
      <c r="G140" s="153"/>
      <c r="H140" s="153"/>
      <c r="I140" s="366">
        <f t="shared" si="4"/>
        <v>0</v>
      </c>
      <c r="J140" t="str">
        <f t="shared" si="5"/>
        <v/>
      </c>
    </row>
    <row r="141" spans="1:10" hidden="1" x14ac:dyDescent="0.25">
      <c r="A141" s="151">
        <v>3</v>
      </c>
      <c r="B141" s="106" t="str">
        <f>'Funding 2019'!$K$68</f>
        <v>CGMMPRD19004</v>
      </c>
      <c r="C141" s="355"/>
      <c r="D141" s="355"/>
      <c r="E141" s="152"/>
      <c r="F141" s="153"/>
      <c r="G141" s="153"/>
      <c r="H141" s="153"/>
      <c r="I141" s="366">
        <f t="shared" si="4"/>
        <v>0</v>
      </c>
      <c r="J141" t="str">
        <f t="shared" si="5"/>
        <v/>
      </c>
    </row>
    <row r="142" spans="1:10" hidden="1" x14ac:dyDescent="0.25">
      <c r="A142" s="151">
        <v>4</v>
      </c>
      <c r="B142" s="106" t="str">
        <f>'Funding 2019'!$K$68</f>
        <v>CGMMPRD19004</v>
      </c>
      <c r="C142" s="355"/>
      <c r="D142" s="355"/>
      <c r="E142" s="152"/>
      <c r="F142" s="153"/>
      <c r="G142" s="153"/>
      <c r="H142" s="153"/>
      <c r="I142" s="366">
        <f t="shared" si="4"/>
        <v>0</v>
      </c>
      <c r="J142" t="str">
        <f t="shared" si="5"/>
        <v/>
      </c>
    </row>
    <row r="143" spans="1:10" hidden="1" x14ac:dyDescent="0.25">
      <c r="A143" s="151">
        <v>1</v>
      </c>
      <c r="B143" s="106" t="str">
        <f>'Funding 2019'!$K$83</f>
        <v>CGMM2019V177</v>
      </c>
      <c r="C143" s="355">
        <v>6100000753</v>
      </c>
      <c r="D143" s="355">
        <v>330419802</v>
      </c>
      <c r="E143" s="152" t="s">
        <v>402</v>
      </c>
      <c r="F143" s="153"/>
      <c r="G143" s="153">
        <v>1621463393</v>
      </c>
      <c r="H143" s="153"/>
      <c r="I143" s="366">
        <f t="shared" si="4"/>
        <v>99954.59209715201</v>
      </c>
      <c r="J143" t="str">
        <f t="shared" si="5"/>
        <v>61000</v>
      </c>
    </row>
    <row r="144" spans="1:10" hidden="1" x14ac:dyDescent="0.25">
      <c r="A144" s="151">
        <v>2</v>
      </c>
      <c r="B144" s="106" t="str">
        <f>'Funding 2019'!$K$83</f>
        <v>CGMM2019V177</v>
      </c>
      <c r="C144" s="355">
        <v>6100000758</v>
      </c>
      <c r="D144" s="355">
        <v>330419803</v>
      </c>
      <c r="E144" s="152" t="s">
        <v>403</v>
      </c>
      <c r="F144" s="153"/>
      <c r="G144" s="153">
        <v>532986480</v>
      </c>
      <c r="H144" s="153"/>
      <c r="I144" s="366">
        <f t="shared" si="4"/>
        <v>32855.781038096415</v>
      </c>
      <c r="J144" t="str">
        <f t="shared" si="5"/>
        <v>61000</v>
      </c>
    </row>
    <row r="145" spans="1:10" hidden="1" x14ac:dyDescent="0.25">
      <c r="A145" s="151">
        <v>3</v>
      </c>
      <c r="B145" s="106" t="str">
        <f>'Funding 2019'!$K$83</f>
        <v>CGMM2019V177</v>
      </c>
      <c r="C145" s="355">
        <v>6100000759</v>
      </c>
      <c r="D145" s="355">
        <v>330419807</v>
      </c>
      <c r="E145" s="152" t="s">
        <v>404</v>
      </c>
      <c r="F145" s="153"/>
      <c r="G145" s="153">
        <v>23214522</v>
      </c>
      <c r="H145" s="153"/>
      <c r="I145" s="366">
        <f t="shared" si="4"/>
        <v>1431.0517815312539</v>
      </c>
      <c r="J145" t="str">
        <f t="shared" si="5"/>
        <v>61000</v>
      </c>
    </row>
    <row r="146" spans="1:10" hidden="1" x14ac:dyDescent="0.25">
      <c r="A146" s="151">
        <v>4</v>
      </c>
      <c r="B146" s="106" t="str">
        <f>'Funding 2019'!$K$83</f>
        <v>CGMM2019V177</v>
      </c>
      <c r="C146" s="355"/>
      <c r="D146" s="355"/>
      <c r="E146" s="152"/>
      <c r="F146" s="153"/>
      <c r="G146" s="153"/>
      <c r="H146" s="153"/>
      <c r="I146" s="366">
        <f t="shared" si="4"/>
        <v>0</v>
      </c>
      <c r="J146" t="str">
        <f t="shared" si="5"/>
        <v/>
      </c>
    </row>
    <row r="147" spans="1:10" hidden="1" x14ac:dyDescent="0.25">
      <c r="A147" s="151">
        <v>5</v>
      </c>
      <c r="B147" s="106" t="str">
        <f>'Funding 2019'!$K$83</f>
        <v>CGMM2019V177</v>
      </c>
      <c r="C147" s="355"/>
      <c r="D147" s="355"/>
      <c r="E147" s="152"/>
      <c r="F147" s="153"/>
      <c r="G147" s="153"/>
      <c r="H147" s="153"/>
      <c r="I147" s="366">
        <f t="shared" si="4"/>
        <v>0</v>
      </c>
      <c r="J147" t="str">
        <f t="shared" si="5"/>
        <v/>
      </c>
    </row>
    <row r="148" spans="1:10" hidden="1" x14ac:dyDescent="0.25">
      <c r="A148" s="151">
        <v>6</v>
      </c>
      <c r="B148" s="106" t="str">
        <f>'Funding 2019'!$K$83</f>
        <v>CGMM2019V177</v>
      </c>
      <c r="C148" s="355"/>
      <c r="D148" s="355"/>
      <c r="E148" s="152"/>
      <c r="F148" s="153"/>
      <c r="G148" s="153"/>
      <c r="H148" s="153"/>
      <c r="I148" s="366">
        <f t="shared" si="4"/>
        <v>0</v>
      </c>
      <c r="J148" t="str">
        <f t="shared" si="5"/>
        <v/>
      </c>
    </row>
    <row r="149" spans="1:10" hidden="1" x14ac:dyDescent="0.25">
      <c r="A149" s="151">
        <v>7</v>
      </c>
      <c r="B149" s="106" t="str">
        <f>'Funding 2019'!$K$83</f>
        <v>CGMM2019V177</v>
      </c>
      <c r="C149" s="355"/>
      <c r="D149" s="355"/>
      <c r="E149" s="152"/>
      <c r="F149" s="153"/>
      <c r="G149" s="153"/>
      <c r="H149" s="153"/>
      <c r="I149" s="366">
        <f t="shared" si="4"/>
        <v>0</v>
      </c>
      <c r="J149" t="str">
        <f t="shared" si="5"/>
        <v/>
      </c>
    </row>
    <row r="150" spans="1:10" hidden="1" x14ac:dyDescent="0.25">
      <c r="A150" s="151">
        <v>8</v>
      </c>
      <c r="B150" s="106" t="str">
        <f>'Funding 2019'!$K$83</f>
        <v>CGMM2019V177</v>
      </c>
      <c r="C150" s="355"/>
      <c r="D150" s="355"/>
      <c r="E150" s="152"/>
      <c r="F150" s="153"/>
      <c r="G150" s="153"/>
      <c r="H150" s="153"/>
      <c r="I150" s="366">
        <f t="shared" si="4"/>
        <v>0</v>
      </c>
      <c r="J150" t="str">
        <f t="shared" si="5"/>
        <v/>
      </c>
    </row>
    <row r="151" spans="1:10" hidden="1" x14ac:dyDescent="0.25">
      <c r="A151" s="151">
        <v>9</v>
      </c>
      <c r="B151" s="106" t="str">
        <f>'Funding 2019'!$K$83</f>
        <v>CGMM2019V177</v>
      </c>
      <c r="C151" s="355"/>
      <c r="D151" s="355"/>
      <c r="E151" s="152"/>
      <c r="F151" s="153"/>
      <c r="G151" s="153"/>
      <c r="H151" s="153"/>
      <c r="I151" s="366">
        <f t="shared" si="4"/>
        <v>0</v>
      </c>
      <c r="J151" t="str">
        <f t="shared" si="5"/>
        <v/>
      </c>
    </row>
    <row r="152" spans="1:10" hidden="1" x14ac:dyDescent="0.25">
      <c r="A152" s="151">
        <v>10</v>
      </c>
      <c r="B152" s="106" t="str">
        <f>'Funding 2019'!$K$83</f>
        <v>CGMM2019V177</v>
      </c>
      <c r="C152" s="355"/>
      <c r="D152" s="355"/>
      <c r="E152" s="152"/>
      <c r="F152" s="153"/>
      <c r="G152" s="153"/>
      <c r="H152" s="153"/>
      <c r="I152" s="366">
        <f t="shared" si="4"/>
        <v>0</v>
      </c>
      <c r="J152" t="str">
        <f t="shared" si="5"/>
        <v/>
      </c>
    </row>
    <row r="153" spans="1:10" hidden="1" x14ac:dyDescent="0.25">
      <c r="A153" s="151">
        <v>11</v>
      </c>
      <c r="B153" s="106" t="str">
        <f>'Funding 2019'!$K$83</f>
        <v>CGMM2019V177</v>
      </c>
      <c r="C153" s="355"/>
      <c r="D153" s="355"/>
      <c r="E153" s="152"/>
      <c r="F153" s="153"/>
      <c r="G153" s="153"/>
      <c r="H153" s="153"/>
      <c r="I153" s="366">
        <f t="shared" si="4"/>
        <v>0</v>
      </c>
      <c r="J153" t="str">
        <f t="shared" si="5"/>
        <v/>
      </c>
    </row>
    <row r="154" spans="1:10" hidden="1" x14ac:dyDescent="0.25">
      <c r="A154" s="151">
        <v>12</v>
      </c>
      <c r="B154" s="106" t="str">
        <f>'Funding 2019'!$K$83</f>
        <v>CGMM2019V177</v>
      </c>
      <c r="C154" s="355"/>
      <c r="D154" s="355"/>
      <c r="E154" s="152"/>
      <c r="F154" s="153"/>
      <c r="G154" s="153"/>
      <c r="H154" s="153"/>
      <c r="I154" s="366">
        <f t="shared" si="4"/>
        <v>0</v>
      </c>
      <c r="J154" t="str">
        <f t="shared" si="5"/>
        <v/>
      </c>
    </row>
    <row r="155" spans="1:10" hidden="1" x14ac:dyDescent="0.25">
      <c r="A155" s="151">
        <v>13</v>
      </c>
      <c r="B155" s="106" t="str">
        <f>'Funding 2019'!$K$83</f>
        <v>CGMM2019V177</v>
      </c>
      <c r="C155" s="355"/>
      <c r="D155" s="355"/>
      <c r="E155" s="152"/>
      <c r="F155" s="153"/>
      <c r="G155" s="153"/>
      <c r="H155" s="153"/>
      <c r="I155" s="366">
        <f t="shared" si="4"/>
        <v>0</v>
      </c>
      <c r="J155" t="str">
        <f t="shared" si="5"/>
        <v/>
      </c>
    </row>
    <row r="156" spans="1:10" hidden="1" x14ac:dyDescent="0.25">
      <c r="A156" s="151">
        <v>1</v>
      </c>
      <c r="B156" s="106" t="str">
        <f>'Funding 2019'!$K$84</f>
        <v>CGMM2019X167</v>
      </c>
      <c r="C156" s="355">
        <v>6100000731</v>
      </c>
      <c r="D156" s="355">
        <v>330219807</v>
      </c>
      <c r="E156" s="152" t="s">
        <v>331</v>
      </c>
      <c r="F156" s="286">
        <v>76469054</v>
      </c>
      <c r="G156" s="166">
        <f>50217432+80808000</f>
        <v>131025432</v>
      </c>
      <c r="H156" s="184">
        <v>241923463</v>
      </c>
      <c r="I156" s="366">
        <f t="shared" si="4"/>
        <v>27704.225681173713</v>
      </c>
      <c r="J156" t="str">
        <f t="shared" si="5"/>
        <v>61000</v>
      </c>
    </row>
    <row r="157" spans="1:10" hidden="1" x14ac:dyDescent="0.25">
      <c r="A157" s="151">
        <v>2</v>
      </c>
      <c r="B157" s="106" t="str">
        <f>'Funding 2019'!$K$84</f>
        <v>CGMM2019X167</v>
      </c>
      <c r="C157" s="355">
        <v>6100000733</v>
      </c>
      <c r="D157" s="355">
        <v>330219808</v>
      </c>
      <c r="E157" s="284" t="s">
        <v>334</v>
      </c>
      <c r="F157" s="286">
        <f>287534398*0</f>
        <v>0</v>
      </c>
      <c r="G157" s="166"/>
      <c r="H157" s="184">
        <v>203766336</v>
      </c>
      <c r="I157" s="366">
        <f t="shared" si="4"/>
        <v>12561.110590556034</v>
      </c>
      <c r="J157" t="str">
        <f t="shared" si="5"/>
        <v>61000</v>
      </c>
    </row>
    <row r="158" spans="1:10" hidden="1" x14ac:dyDescent="0.25">
      <c r="A158" s="151">
        <v>3</v>
      </c>
      <c r="B158" s="106" t="str">
        <f>'Funding 2019'!$K$84</f>
        <v>CGMM2019X167</v>
      </c>
      <c r="C158" s="355">
        <v>6100000741</v>
      </c>
      <c r="D158" s="355">
        <v>330319804</v>
      </c>
      <c r="E158" s="284" t="s">
        <v>350</v>
      </c>
      <c r="F158" s="286"/>
      <c r="G158" s="166"/>
      <c r="H158" s="184">
        <v>762682412</v>
      </c>
      <c r="I158" s="366">
        <f t="shared" si="4"/>
        <v>47015.313278264082</v>
      </c>
      <c r="J158" t="str">
        <f t="shared" si="5"/>
        <v>61000</v>
      </c>
    </row>
    <row r="159" spans="1:10" hidden="1" x14ac:dyDescent="0.25">
      <c r="A159" s="151">
        <v>4</v>
      </c>
      <c r="B159" s="106" t="str">
        <f>'Funding 2019'!$K$84</f>
        <v>CGMM2019X167</v>
      </c>
      <c r="C159" s="355">
        <v>6100000746</v>
      </c>
      <c r="D159" s="355">
        <v>330319807</v>
      </c>
      <c r="E159" s="152" t="s">
        <v>351</v>
      </c>
      <c r="F159" s="286">
        <f>519051029*0</f>
        <v>0</v>
      </c>
      <c r="G159" s="166"/>
      <c r="H159" s="184">
        <v>391329313</v>
      </c>
      <c r="I159" s="366">
        <f t="shared" si="4"/>
        <v>24123.370299593145</v>
      </c>
      <c r="J159" t="str">
        <f t="shared" si="5"/>
        <v>61000</v>
      </c>
    </row>
    <row r="160" spans="1:10" hidden="1" x14ac:dyDescent="0.25">
      <c r="A160" s="151">
        <v>5</v>
      </c>
      <c r="B160" s="106" t="str">
        <f>'Funding 2019'!$K$84</f>
        <v>CGMM2019X167</v>
      </c>
      <c r="C160" s="355">
        <v>6100000783</v>
      </c>
      <c r="D160" s="355"/>
      <c r="E160" s="152" t="s">
        <v>613</v>
      </c>
      <c r="F160" s="286">
        <v>140313703</v>
      </c>
      <c r="G160" s="166"/>
      <c r="H160" s="166"/>
      <c r="I160" s="366">
        <f t="shared" si="4"/>
        <v>8649.5933300456163</v>
      </c>
      <c r="J160" t="str">
        <f t="shared" si="5"/>
        <v>61000</v>
      </c>
    </row>
    <row r="161" spans="1:10" x14ac:dyDescent="0.25">
      <c r="A161" s="151">
        <v>3</v>
      </c>
      <c r="B161" s="106" t="str">
        <f>'Funding 2019'!$K$95</f>
        <v>CGMM2019W213</v>
      </c>
      <c r="C161" s="355">
        <v>2100011680</v>
      </c>
      <c r="D161" s="355">
        <v>4500135034</v>
      </c>
      <c r="E161" s="152" t="s">
        <v>520</v>
      </c>
      <c r="F161" s="166"/>
      <c r="G161" s="166">
        <f>111200000*0</f>
        <v>0</v>
      </c>
      <c r="H161" s="166">
        <v>111200000</v>
      </c>
      <c r="I161" s="366">
        <f t="shared" si="4"/>
        <v>6854.888423129084</v>
      </c>
      <c r="J161" t="str">
        <f t="shared" si="5"/>
        <v>21000</v>
      </c>
    </row>
    <row r="162" spans="1:10" hidden="1" x14ac:dyDescent="0.25">
      <c r="A162" s="151">
        <v>7</v>
      </c>
      <c r="B162" s="106" t="str">
        <f>'Funding 2019'!$K$84</f>
        <v>CGMM2019X167</v>
      </c>
      <c r="C162" s="355"/>
      <c r="D162" s="355" t="s">
        <v>718</v>
      </c>
      <c r="E162" s="152" t="s">
        <v>719</v>
      </c>
      <c r="F162" s="286"/>
      <c r="G162" s="166"/>
      <c r="H162" s="184">
        <f>3644442-3547644</f>
        <v>96798</v>
      </c>
      <c r="I162" s="366">
        <f t="shared" si="4"/>
        <v>5.9670817408457646</v>
      </c>
      <c r="J162" t="str">
        <f t="shared" si="5"/>
        <v>33071</v>
      </c>
    </row>
    <row r="163" spans="1:10" hidden="1" x14ac:dyDescent="0.25">
      <c r="A163" s="151">
        <v>8</v>
      </c>
      <c r="B163" s="106" t="str">
        <f>'Funding 2019'!$K$84</f>
        <v>CGMM2019X167</v>
      </c>
      <c r="C163" s="355"/>
      <c r="D163" s="355" t="s">
        <v>716</v>
      </c>
      <c r="E163" s="152" t="s">
        <v>717</v>
      </c>
      <c r="F163" s="286"/>
      <c r="G163" s="166"/>
      <c r="H163" s="184">
        <v>33647966</v>
      </c>
      <c r="I163" s="366">
        <f t="shared" si="4"/>
        <v>2074.2180988780669</v>
      </c>
      <c r="J163" t="str">
        <f t="shared" si="5"/>
        <v>0719G</v>
      </c>
    </row>
    <row r="164" spans="1:10" hidden="1" x14ac:dyDescent="0.25">
      <c r="A164" s="151">
        <v>9</v>
      </c>
      <c r="B164" s="106" t="str">
        <f>'Funding 2019'!$K$84</f>
        <v>CGMM2019X167</v>
      </c>
      <c r="C164" s="355">
        <v>5500011947</v>
      </c>
      <c r="D164" s="355"/>
      <c r="E164" s="152" t="s">
        <v>758</v>
      </c>
      <c r="F164" s="286">
        <v>15800000</v>
      </c>
      <c r="G164" s="166"/>
      <c r="H164" s="166"/>
      <c r="I164" s="366">
        <f t="shared" si="4"/>
        <v>973.98594501294542</v>
      </c>
      <c r="J164" t="str">
        <f t="shared" si="5"/>
        <v>55000</v>
      </c>
    </row>
    <row r="165" spans="1:10" x14ac:dyDescent="0.25">
      <c r="A165" s="151">
        <v>1</v>
      </c>
      <c r="B165" s="106" t="str">
        <f>'Funding 2019'!$K$52</f>
        <v>CGMMQPC19002</v>
      </c>
      <c r="C165" s="355">
        <v>2100011764</v>
      </c>
      <c r="D165" s="355">
        <v>4500135197</v>
      </c>
      <c r="E165" s="152" t="s">
        <v>692</v>
      </c>
      <c r="F165" s="153">
        <f>120200000*0</f>
        <v>0</v>
      </c>
      <c r="G165" s="153"/>
      <c r="H165" s="153">
        <v>108180000</v>
      </c>
      <c r="I165" s="366">
        <f t="shared" si="4"/>
        <v>6668.7214893354703</v>
      </c>
      <c r="J165" t="str">
        <f t="shared" si="5"/>
        <v>21000</v>
      </c>
    </row>
    <row r="166" spans="1:10" hidden="1" x14ac:dyDescent="0.25">
      <c r="A166" s="151">
        <v>11</v>
      </c>
      <c r="B166" s="106" t="str">
        <f>'Funding 2019'!$K$84</f>
        <v>CGMM2019X167</v>
      </c>
      <c r="C166" s="355"/>
      <c r="D166" s="355"/>
      <c r="E166" s="152"/>
      <c r="F166" s="166"/>
      <c r="G166" s="166"/>
      <c r="H166" s="166"/>
      <c r="I166" s="366">
        <f t="shared" si="4"/>
        <v>0</v>
      </c>
      <c r="J166" t="str">
        <f t="shared" si="5"/>
        <v/>
      </c>
    </row>
    <row r="167" spans="1:10" hidden="1" x14ac:dyDescent="0.25">
      <c r="A167" s="151">
        <v>12</v>
      </c>
      <c r="B167" s="106" t="str">
        <f>'Funding 2019'!$K$84</f>
        <v>CGMM2019X167</v>
      </c>
      <c r="C167" s="355"/>
      <c r="D167" s="355"/>
      <c r="E167" s="152"/>
      <c r="F167" s="166"/>
      <c r="G167" s="166"/>
      <c r="H167" s="166"/>
      <c r="I167" s="366">
        <f t="shared" si="4"/>
        <v>0</v>
      </c>
      <c r="J167" t="str">
        <f t="shared" si="5"/>
        <v/>
      </c>
    </row>
    <row r="168" spans="1:10" hidden="1" x14ac:dyDescent="0.25">
      <c r="A168" s="151">
        <v>13</v>
      </c>
      <c r="B168" s="106" t="str">
        <f>'Funding 2019'!$K$84</f>
        <v>CGMM2019X167</v>
      </c>
      <c r="C168" s="355"/>
      <c r="D168" s="358" t="s">
        <v>464</v>
      </c>
      <c r="E168" s="173" t="s">
        <v>476</v>
      </c>
      <c r="F168" s="174"/>
      <c r="G168" s="174"/>
      <c r="H168" s="174">
        <v>145497974</v>
      </c>
      <c r="I168" s="366">
        <f t="shared" si="4"/>
        <v>8969.1760572062631</v>
      </c>
      <c r="J168" t="str">
        <f t="shared" si="5"/>
        <v>33081</v>
      </c>
    </row>
    <row r="169" spans="1:10" hidden="1" x14ac:dyDescent="0.25">
      <c r="A169" s="151">
        <v>1</v>
      </c>
      <c r="B169" s="106" t="str">
        <f>'Funding 2019'!$K$85</f>
        <v>CGMMLA19X167</v>
      </c>
      <c r="C169" s="355">
        <v>6100000789</v>
      </c>
      <c r="D169" s="356" t="s">
        <v>800</v>
      </c>
      <c r="E169" s="165" t="s">
        <v>728</v>
      </c>
      <c r="F169" s="166"/>
      <c r="G169" s="166">
        <v>242098613</v>
      </c>
      <c r="H169" s="166"/>
      <c r="I169" s="366">
        <f t="shared" si="4"/>
        <v>14924.091542349895</v>
      </c>
      <c r="J169" t="str">
        <f t="shared" si="5"/>
        <v>61000</v>
      </c>
    </row>
    <row r="170" spans="1:10" x14ac:dyDescent="0.25">
      <c r="A170" s="151">
        <v>19</v>
      </c>
      <c r="B170" s="106" t="str">
        <f>'Funding 2019'!$K$87</f>
        <v>CGMM2019V167</v>
      </c>
      <c r="C170" s="355">
        <v>2100011542</v>
      </c>
      <c r="D170" s="355">
        <v>4500134560</v>
      </c>
      <c r="E170" s="152" t="s">
        <v>269</v>
      </c>
      <c r="F170" s="166">
        <f>114300000*0</f>
        <v>0</v>
      </c>
      <c r="G170" s="166">
        <f>102870000*0</f>
        <v>0</v>
      </c>
      <c r="H170" s="166">
        <v>102870000</v>
      </c>
      <c r="I170" s="366">
        <f t="shared" si="4"/>
        <v>6341.3882381950434</v>
      </c>
      <c r="J170" t="str">
        <f t="shared" si="5"/>
        <v>21000</v>
      </c>
    </row>
    <row r="171" spans="1:10" hidden="1" x14ac:dyDescent="0.25">
      <c r="A171" s="151">
        <v>3</v>
      </c>
      <c r="B171" s="106" t="str">
        <f>'Funding 2019'!$K$85</f>
        <v>CGMMLA19X167</v>
      </c>
      <c r="C171" s="355">
        <v>6100000795</v>
      </c>
      <c r="D171" s="356" t="s">
        <v>797</v>
      </c>
      <c r="E171" s="165" t="s">
        <v>765</v>
      </c>
      <c r="F171" s="166"/>
      <c r="G171" s="166">
        <v>60125663</v>
      </c>
      <c r="H171" s="166"/>
      <c r="I171" s="366">
        <f t="shared" si="4"/>
        <v>3706.4272592775242</v>
      </c>
      <c r="J171" t="str">
        <f t="shared" si="5"/>
        <v>61000</v>
      </c>
    </row>
    <row r="172" spans="1:10" hidden="1" x14ac:dyDescent="0.25">
      <c r="A172" s="151">
        <v>4</v>
      </c>
      <c r="B172" s="106" t="str">
        <f>'Funding 2019'!$K$85</f>
        <v>CGMMLA19X167</v>
      </c>
      <c r="C172" s="355">
        <v>6100000796</v>
      </c>
      <c r="D172" s="356" t="s">
        <v>798</v>
      </c>
      <c r="E172" s="165" t="s">
        <v>766</v>
      </c>
      <c r="F172" s="166"/>
      <c r="G172" s="166">
        <v>94848975</v>
      </c>
      <c r="H172" s="166"/>
      <c r="I172" s="366">
        <f t="shared" si="4"/>
        <v>5846.9347182838119</v>
      </c>
      <c r="J172" t="str">
        <f t="shared" si="5"/>
        <v>61000</v>
      </c>
    </row>
    <row r="173" spans="1:10" hidden="1" x14ac:dyDescent="0.25">
      <c r="A173" s="151">
        <v>5</v>
      </c>
      <c r="B173" s="106" t="str">
        <f>'Funding 2019'!$K$85</f>
        <v>CGMMLA19X167</v>
      </c>
      <c r="C173" s="355"/>
      <c r="D173" s="356"/>
      <c r="E173" s="165"/>
      <c r="F173" s="166"/>
      <c r="G173" s="166"/>
      <c r="H173" s="166"/>
      <c r="I173" s="366">
        <f t="shared" si="4"/>
        <v>0</v>
      </c>
      <c r="J173" t="str">
        <f t="shared" si="5"/>
        <v/>
      </c>
    </row>
    <row r="174" spans="1:10" hidden="1" x14ac:dyDescent="0.25">
      <c r="A174" s="151">
        <v>6</v>
      </c>
      <c r="B174" s="106" t="str">
        <f>'Funding 2019'!$K$85</f>
        <v>CGMMLA19X167</v>
      </c>
      <c r="C174" s="355"/>
      <c r="D174" s="356"/>
      <c r="E174" s="165"/>
      <c r="F174" s="166"/>
      <c r="G174" s="166"/>
      <c r="H174" s="166"/>
      <c r="I174" s="366">
        <f t="shared" si="4"/>
        <v>0</v>
      </c>
      <c r="J174" t="str">
        <f t="shared" si="5"/>
        <v/>
      </c>
    </row>
    <row r="175" spans="1:10" hidden="1" x14ac:dyDescent="0.25">
      <c r="A175" s="151">
        <v>7</v>
      </c>
      <c r="B175" s="106" t="str">
        <f>'Funding 2019'!$K$85</f>
        <v>CGMMLA19X167</v>
      </c>
      <c r="C175" s="355"/>
      <c r="D175" s="356"/>
      <c r="E175" s="165"/>
      <c r="F175" s="166"/>
      <c r="G175" s="166"/>
      <c r="H175" s="166"/>
      <c r="I175" s="366">
        <f t="shared" si="4"/>
        <v>0</v>
      </c>
      <c r="J175" t="str">
        <f t="shared" si="5"/>
        <v/>
      </c>
    </row>
    <row r="176" spans="1:10" hidden="1" x14ac:dyDescent="0.25">
      <c r="A176" s="151">
        <v>8</v>
      </c>
      <c r="B176" s="106" t="str">
        <f>'Funding 2019'!$K$85</f>
        <v>CGMMLA19X167</v>
      </c>
      <c r="C176" s="355"/>
      <c r="D176" s="356"/>
      <c r="E176" s="165"/>
      <c r="F176" s="166"/>
      <c r="G176" s="166"/>
      <c r="H176" s="166"/>
      <c r="I176" s="366">
        <f t="shared" si="4"/>
        <v>0</v>
      </c>
      <c r="J176" t="str">
        <f t="shared" si="5"/>
        <v/>
      </c>
    </row>
    <row r="177" spans="1:10" hidden="1" x14ac:dyDescent="0.25">
      <c r="A177" s="151">
        <v>9</v>
      </c>
      <c r="B177" s="106" t="str">
        <f>'Funding 2019'!$K$85</f>
        <v>CGMMLA19X167</v>
      </c>
      <c r="C177" s="355"/>
      <c r="D177" s="356"/>
      <c r="E177" s="165"/>
      <c r="F177" s="166"/>
      <c r="G177" s="166"/>
      <c r="H177" s="166"/>
      <c r="I177" s="366">
        <f t="shared" si="4"/>
        <v>0</v>
      </c>
      <c r="J177" t="str">
        <f t="shared" si="5"/>
        <v/>
      </c>
    </row>
    <row r="178" spans="1:10" hidden="1" x14ac:dyDescent="0.25">
      <c r="A178" s="151">
        <v>10</v>
      </c>
      <c r="B178" s="106" t="str">
        <f>'Funding 2019'!$K$85</f>
        <v>CGMMLA19X167</v>
      </c>
      <c r="C178" s="355"/>
      <c r="D178" s="356"/>
      <c r="E178" s="165"/>
      <c r="F178" s="166"/>
      <c r="G178" s="166"/>
      <c r="H178" s="166"/>
      <c r="I178" s="366">
        <f t="shared" si="4"/>
        <v>0</v>
      </c>
      <c r="J178" t="str">
        <f t="shared" si="5"/>
        <v/>
      </c>
    </row>
    <row r="179" spans="1:10" hidden="1" x14ac:dyDescent="0.25">
      <c r="A179" s="151">
        <v>11</v>
      </c>
      <c r="B179" s="106" t="str">
        <f>'Funding 2019'!$K$85</f>
        <v>CGMMLA19X167</v>
      </c>
      <c r="C179" s="355"/>
      <c r="D179" s="356"/>
      <c r="E179" s="165"/>
      <c r="F179" s="166"/>
      <c r="G179" s="166"/>
      <c r="H179" s="166"/>
      <c r="I179" s="366">
        <f t="shared" si="4"/>
        <v>0</v>
      </c>
      <c r="J179" t="str">
        <f t="shared" si="5"/>
        <v/>
      </c>
    </row>
    <row r="180" spans="1:10" hidden="1" x14ac:dyDescent="0.25">
      <c r="A180" s="151">
        <v>12</v>
      </c>
      <c r="B180" s="106" t="str">
        <f>'Funding 2019'!$K$85</f>
        <v>CGMMLA19X167</v>
      </c>
      <c r="C180" s="355"/>
      <c r="D180" s="356"/>
      <c r="E180" s="165"/>
      <c r="F180" s="166"/>
      <c r="G180" s="166"/>
      <c r="H180" s="166"/>
      <c r="I180" s="366">
        <f t="shared" si="4"/>
        <v>0</v>
      </c>
      <c r="J180" t="str">
        <f t="shared" si="5"/>
        <v/>
      </c>
    </row>
    <row r="181" spans="1:10" hidden="1" x14ac:dyDescent="0.25">
      <c r="A181" s="151">
        <v>13</v>
      </c>
      <c r="B181" s="106" t="str">
        <f>'Funding 2019'!$K$85</f>
        <v>CGMMLA19X167</v>
      </c>
      <c r="C181" s="355"/>
      <c r="D181" s="356"/>
      <c r="E181" s="165"/>
      <c r="F181" s="166"/>
      <c r="G181" s="166"/>
      <c r="H181" s="166"/>
      <c r="I181" s="366">
        <f t="shared" si="4"/>
        <v>0</v>
      </c>
      <c r="J181" t="str">
        <f t="shared" si="5"/>
        <v/>
      </c>
    </row>
    <row r="182" spans="1:10" hidden="1" x14ac:dyDescent="0.25">
      <c r="A182" s="151">
        <v>1</v>
      </c>
      <c r="B182" s="106" t="str">
        <f>'Funding 2019'!$K$87</f>
        <v>CGMM2019V167</v>
      </c>
      <c r="C182" s="355">
        <v>6100000690</v>
      </c>
      <c r="D182" s="355">
        <v>330918805</v>
      </c>
      <c r="E182" s="152" t="s">
        <v>257</v>
      </c>
      <c r="F182" s="166"/>
      <c r="G182" s="166">
        <f>211036752*0</f>
        <v>0</v>
      </c>
      <c r="H182" s="166">
        <v>824463918</v>
      </c>
      <c r="I182" s="366">
        <f t="shared" si="4"/>
        <v>50823.814449513004</v>
      </c>
      <c r="J182" t="str">
        <f t="shared" si="5"/>
        <v>61000</v>
      </c>
    </row>
    <row r="183" spans="1:10" hidden="1" x14ac:dyDescent="0.25">
      <c r="A183" s="151">
        <v>2</v>
      </c>
      <c r="B183" s="106" t="str">
        <f>'Funding 2019'!$K$87</f>
        <v>CGMM2019V167</v>
      </c>
      <c r="C183" s="355">
        <v>6100000693</v>
      </c>
      <c r="D183" s="355">
        <v>331018801</v>
      </c>
      <c r="E183" s="152" t="s">
        <v>168</v>
      </c>
      <c r="F183" s="166"/>
      <c r="G183" s="166">
        <f>(39569391+39569391)*0</f>
        <v>0</v>
      </c>
      <c r="H183" s="166">
        <v>298246115</v>
      </c>
      <c r="I183" s="366">
        <f t="shared" si="4"/>
        <v>18385.286339538899</v>
      </c>
      <c r="J183" t="str">
        <f t="shared" si="5"/>
        <v>61000</v>
      </c>
    </row>
    <row r="184" spans="1:10" hidden="1" x14ac:dyDescent="0.25">
      <c r="A184" s="151">
        <v>3</v>
      </c>
      <c r="B184" s="106" t="str">
        <f>'Funding 2019'!$K$87</f>
        <v>CGMM2019V167</v>
      </c>
      <c r="C184" s="356">
        <v>6100000694</v>
      </c>
      <c r="D184" s="356">
        <v>331018802</v>
      </c>
      <c r="E184" s="281" t="s">
        <v>258</v>
      </c>
      <c r="F184" s="166"/>
      <c r="G184" s="305">
        <v>37730732</v>
      </c>
      <c r="H184" s="166">
        <f>104015285+525500+9335144</f>
        <v>113875929</v>
      </c>
      <c r="I184" s="366">
        <f t="shared" si="4"/>
        <v>9345.7441129330546</v>
      </c>
      <c r="J184" t="str">
        <f t="shared" si="5"/>
        <v>61000</v>
      </c>
    </row>
    <row r="185" spans="1:10" hidden="1" x14ac:dyDescent="0.25">
      <c r="A185" s="151">
        <v>4</v>
      </c>
      <c r="B185" s="106" t="str">
        <f>'Funding 2019'!$K$87</f>
        <v>CGMM2019V167</v>
      </c>
      <c r="C185" s="355">
        <v>6100000697</v>
      </c>
      <c r="D185" s="355">
        <v>331018804</v>
      </c>
      <c r="E185" s="281" t="s">
        <v>259</v>
      </c>
      <c r="F185" s="166"/>
      <c r="G185" s="166">
        <f>18176206*0</f>
        <v>0</v>
      </c>
      <c r="H185" s="166">
        <v>21073236</v>
      </c>
      <c r="I185" s="366">
        <f t="shared" si="4"/>
        <v>1299.052891135495</v>
      </c>
      <c r="J185" t="str">
        <f t="shared" si="5"/>
        <v>61000</v>
      </c>
    </row>
    <row r="186" spans="1:10" hidden="1" x14ac:dyDescent="0.25">
      <c r="A186" s="151">
        <v>5</v>
      </c>
      <c r="B186" s="106" t="str">
        <f>'Funding 2019'!$K$87</f>
        <v>CGMM2019V167</v>
      </c>
      <c r="C186" s="355">
        <v>6100000699</v>
      </c>
      <c r="D186" s="355" t="s">
        <v>169</v>
      </c>
      <c r="E186" s="279" t="s">
        <v>260</v>
      </c>
      <c r="F186" s="166"/>
      <c r="G186" s="305">
        <v>301755253</v>
      </c>
      <c r="H186" s="166">
        <v>591861639</v>
      </c>
      <c r="I186" s="366">
        <f t="shared" si="4"/>
        <v>55086.72740722476</v>
      </c>
      <c r="J186" t="str">
        <f t="shared" si="5"/>
        <v>61000</v>
      </c>
    </row>
    <row r="187" spans="1:10" hidden="1" x14ac:dyDescent="0.25">
      <c r="A187" s="151">
        <v>6</v>
      </c>
      <c r="B187" s="106" t="str">
        <f>'Funding 2019'!$K$87</f>
        <v>CGMM2019V167</v>
      </c>
      <c r="C187" s="355">
        <v>6100000700</v>
      </c>
      <c r="D187" s="355" t="s">
        <v>170</v>
      </c>
      <c r="E187" s="279" t="s">
        <v>261</v>
      </c>
      <c r="F187" s="166"/>
      <c r="G187" s="166">
        <f>0*99554049</f>
        <v>0</v>
      </c>
      <c r="H187" s="166">
        <v>82528047</v>
      </c>
      <c r="I187" s="366">
        <f t="shared" si="4"/>
        <v>5087.4150536308716</v>
      </c>
      <c r="J187" t="str">
        <f t="shared" si="5"/>
        <v>61000</v>
      </c>
    </row>
    <row r="188" spans="1:10" x14ac:dyDescent="0.25">
      <c r="A188" s="151">
        <v>4</v>
      </c>
      <c r="B188" s="106" t="str">
        <f>'Funding 2019'!$K$98</f>
        <v>CGMM2019X253</v>
      </c>
      <c r="C188" s="355">
        <v>2100011765</v>
      </c>
      <c r="D188" s="355">
        <v>4500135195</v>
      </c>
      <c r="E188" s="152" t="s">
        <v>611</v>
      </c>
      <c r="F188" s="153">
        <f>104214000*0</f>
        <v>0</v>
      </c>
      <c r="G188" s="153">
        <v>101068180</v>
      </c>
      <c r="H188" s="153"/>
      <c r="I188" s="366">
        <f t="shared" si="4"/>
        <v>6230.3156207619286</v>
      </c>
      <c r="J188" t="str">
        <f t="shared" si="5"/>
        <v>21000</v>
      </c>
    </row>
    <row r="189" spans="1:10" x14ac:dyDescent="0.25">
      <c r="A189" s="151">
        <v>6</v>
      </c>
      <c r="B189" s="106" t="str">
        <f>'Funding 2019'!$K$79</f>
        <v>CGMMENG19002</v>
      </c>
      <c r="C189" s="355">
        <v>2100011715</v>
      </c>
      <c r="D189" s="355">
        <v>4500135200</v>
      </c>
      <c r="E189" s="152" t="s">
        <v>576</v>
      </c>
      <c r="F189" s="153">
        <f>100591450*0</f>
        <v>0</v>
      </c>
      <c r="G189" s="287">
        <f>100591450*0</f>
        <v>0</v>
      </c>
      <c r="H189" s="287">
        <v>100591450</v>
      </c>
      <c r="I189" s="366">
        <f t="shared" si="4"/>
        <v>6200.9277524349645</v>
      </c>
      <c r="J189" t="str">
        <f t="shared" si="5"/>
        <v>21000</v>
      </c>
    </row>
    <row r="190" spans="1:10" x14ac:dyDescent="0.25">
      <c r="A190" s="151">
        <v>52</v>
      </c>
      <c r="B190" s="106" t="str">
        <f>'Funding 2019'!$K$87</f>
        <v>CGMM2019V167</v>
      </c>
      <c r="C190" s="355">
        <v>2100011625</v>
      </c>
      <c r="D190" s="355" t="s">
        <v>431</v>
      </c>
      <c r="E190" s="152" t="s">
        <v>432</v>
      </c>
      <c r="F190" s="166"/>
      <c r="G190" s="166">
        <f>99397845*0</f>
        <v>0</v>
      </c>
      <c r="H190" s="166">
        <v>99856550</v>
      </c>
      <c r="I190" s="366">
        <f t="shared" si="4"/>
        <v>6155.6250770558499</v>
      </c>
      <c r="J190" t="str">
        <f t="shared" si="5"/>
        <v>21000</v>
      </c>
    </row>
    <row r="191" spans="1:10" x14ac:dyDescent="0.25">
      <c r="A191" s="151">
        <v>16</v>
      </c>
      <c r="B191" s="106" t="str">
        <f>'Funding 2019'!$K$91</f>
        <v>CGMM2019M264</v>
      </c>
      <c r="C191" s="356">
        <v>2100011683</v>
      </c>
      <c r="D191" s="356">
        <v>4500134966</v>
      </c>
      <c r="E191" s="165" t="s">
        <v>486</v>
      </c>
      <c r="F191" s="166"/>
      <c r="G191" s="305">
        <v>99300000</v>
      </c>
      <c r="H191" s="166"/>
      <c r="I191" s="366">
        <f t="shared" si="4"/>
        <v>6121.3167303661694</v>
      </c>
      <c r="J191" t="str">
        <f t="shared" si="5"/>
        <v>21000</v>
      </c>
    </row>
    <row r="192" spans="1:10" hidden="1" x14ac:dyDescent="0.25">
      <c r="A192" s="151">
        <v>12</v>
      </c>
      <c r="B192" s="106" t="str">
        <f>'Funding 2019'!$K$87</f>
        <v>CGMM2019V167</v>
      </c>
      <c r="C192" s="355">
        <v>6100000714</v>
      </c>
      <c r="D192" s="355">
        <v>330119805</v>
      </c>
      <c r="E192" s="152" t="s">
        <v>264</v>
      </c>
      <c r="F192" s="166"/>
      <c r="G192" s="166">
        <f>15212918*0</f>
        <v>0</v>
      </c>
      <c r="H192" s="166">
        <v>51726463</v>
      </c>
      <c r="I192" s="366">
        <f t="shared" si="4"/>
        <v>3188.6612624830477</v>
      </c>
      <c r="J192" t="str">
        <f t="shared" si="5"/>
        <v>61000</v>
      </c>
    </row>
    <row r="193" spans="1:10" hidden="1" x14ac:dyDescent="0.25">
      <c r="A193" s="151">
        <v>13</v>
      </c>
      <c r="B193" s="106" t="str">
        <f>'Funding 2019'!$K$87</f>
        <v>CGMM2019V167</v>
      </c>
      <c r="C193" s="355">
        <v>6100000710</v>
      </c>
      <c r="D193" s="355">
        <v>330818802</v>
      </c>
      <c r="E193" s="281" t="s">
        <v>265</v>
      </c>
      <c r="F193" s="166"/>
      <c r="G193" s="166">
        <f>37730732*0</f>
        <v>0</v>
      </c>
      <c r="H193" s="166">
        <f>0*46385703</f>
        <v>0</v>
      </c>
      <c r="I193" s="366">
        <f t="shared" si="4"/>
        <v>0</v>
      </c>
      <c r="J193" t="str">
        <f t="shared" si="5"/>
        <v>61000</v>
      </c>
    </row>
    <row r="194" spans="1:10" x14ac:dyDescent="0.25">
      <c r="A194" s="151">
        <v>2</v>
      </c>
      <c r="B194" s="106" t="str">
        <f>'Funding 2019'!$K$20</f>
        <v>CGMMMTW19001</v>
      </c>
      <c r="C194" s="355">
        <v>2100011557</v>
      </c>
      <c r="D194" s="355">
        <v>4500134653</v>
      </c>
      <c r="E194" s="167" t="s">
        <v>322</v>
      </c>
      <c r="F194" s="166">
        <f>99284250*0</f>
        <v>0</v>
      </c>
      <c r="G194" s="166">
        <f>99000000*0</f>
        <v>0</v>
      </c>
      <c r="H194" s="166">
        <v>99000000</v>
      </c>
      <c r="I194" s="366">
        <f t="shared" ref="I194:I257" si="6">SUM(F194:H194)/16222</f>
        <v>6102.8233263469365</v>
      </c>
      <c r="J194" t="str">
        <f t="shared" ref="J194:J257" si="7">IF(C194="",LEFT(D194,5),LEFT(C194,5))</f>
        <v>21000</v>
      </c>
    </row>
    <row r="195" spans="1:10" x14ac:dyDescent="0.25">
      <c r="A195" s="151">
        <v>4</v>
      </c>
      <c r="B195" s="106" t="str">
        <f>'Funding 2019'!$K$61</f>
        <v>CGMMPRD19000</v>
      </c>
      <c r="C195" s="355">
        <v>2100011634</v>
      </c>
      <c r="D195" s="355">
        <v>4500134774</v>
      </c>
      <c r="E195" s="152" t="s">
        <v>433</v>
      </c>
      <c r="F195" s="153">
        <f>93499000*0</f>
        <v>0</v>
      </c>
      <c r="G195" s="153">
        <f>87571104*0</f>
        <v>0</v>
      </c>
      <c r="H195" s="171">
        <f>98427638</f>
        <v>98427638</v>
      </c>
      <c r="I195" s="366">
        <f t="shared" si="6"/>
        <v>6067.5402539760817</v>
      </c>
      <c r="J195" t="str">
        <f t="shared" si="7"/>
        <v>21000</v>
      </c>
    </row>
    <row r="196" spans="1:10" x14ac:dyDescent="0.25">
      <c r="A196" s="151">
        <v>43</v>
      </c>
      <c r="B196" s="106" t="str">
        <f>'Funding 2019'!$K$87</f>
        <v>CGMM2019V167</v>
      </c>
      <c r="C196" s="355">
        <v>2100011609</v>
      </c>
      <c r="D196" s="355" t="s">
        <v>373</v>
      </c>
      <c r="E196" s="152" t="s">
        <v>374</v>
      </c>
      <c r="F196" s="166"/>
      <c r="G196" s="305">
        <v>97000000</v>
      </c>
      <c r="H196" s="166"/>
      <c r="I196" s="366">
        <f t="shared" si="6"/>
        <v>5979.5339662187152</v>
      </c>
      <c r="J196" t="str">
        <f t="shared" si="7"/>
        <v>21000</v>
      </c>
    </row>
    <row r="197" spans="1:10" x14ac:dyDescent="0.25">
      <c r="A197" s="151">
        <v>5</v>
      </c>
      <c r="B197" s="106" t="str">
        <f>'Funding 2019'!$K$28</f>
        <v>CGMMMTW19002</v>
      </c>
      <c r="C197" s="355">
        <v>2100011574</v>
      </c>
      <c r="D197" s="355">
        <v>4500134688</v>
      </c>
      <c r="E197" s="152" t="s">
        <v>341</v>
      </c>
      <c r="F197" s="166">
        <f>90700000*0</f>
        <v>0</v>
      </c>
      <c r="G197" s="166">
        <f>90700000*0</f>
        <v>0</v>
      </c>
      <c r="H197" s="166">
        <v>90700000</v>
      </c>
      <c r="I197" s="366">
        <f t="shared" si="6"/>
        <v>5591.1724818148195</v>
      </c>
      <c r="J197" t="str">
        <f t="shared" si="7"/>
        <v>21000</v>
      </c>
    </row>
    <row r="198" spans="1:10" x14ac:dyDescent="0.25">
      <c r="A198" s="151">
        <v>58</v>
      </c>
      <c r="B198" s="106" t="str">
        <f>'Funding 2019'!$K$108</f>
        <v>EGMM0019V167</v>
      </c>
      <c r="C198" s="355">
        <v>2100011763</v>
      </c>
      <c r="D198" s="355">
        <v>4500135198</v>
      </c>
      <c r="E198" s="152" t="s">
        <v>703</v>
      </c>
      <c r="F198" s="166"/>
      <c r="G198" s="334">
        <v>28842000</v>
      </c>
      <c r="H198" s="334">
        <v>60306000</v>
      </c>
      <c r="I198" s="366">
        <f t="shared" si="6"/>
        <v>5495.4999383553195</v>
      </c>
      <c r="J198" t="str">
        <f t="shared" si="7"/>
        <v>21000</v>
      </c>
    </row>
    <row r="199" spans="1:10" x14ac:dyDescent="0.25">
      <c r="A199" s="151">
        <v>26</v>
      </c>
      <c r="B199" s="106" t="str">
        <f>'Funding 2019'!$K$91</f>
        <v>CGMM2019M264</v>
      </c>
      <c r="C199" s="355">
        <v>2100011784</v>
      </c>
      <c r="D199" s="355"/>
      <c r="E199" s="152" t="s">
        <v>749</v>
      </c>
      <c r="F199" s="305">
        <v>87500000</v>
      </c>
      <c r="G199" s="166"/>
      <c r="H199" s="166"/>
      <c r="I199" s="366">
        <f t="shared" si="6"/>
        <v>5393.9095056096658</v>
      </c>
      <c r="J199" t="str">
        <f t="shared" si="7"/>
        <v>21000</v>
      </c>
    </row>
    <row r="200" spans="1:10" x14ac:dyDescent="0.25">
      <c r="A200" s="151">
        <v>7</v>
      </c>
      <c r="B200" s="106" t="str">
        <f>'Funding 2019'!$K$20</f>
        <v>CGMMMTW19001</v>
      </c>
      <c r="C200" s="355">
        <v>2100011639</v>
      </c>
      <c r="D200" s="355">
        <v>4500134838</v>
      </c>
      <c r="E200" s="167" t="s">
        <v>447</v>
      </c>
      <c r="F200" s="166"/>
      <c r="G200" s="166">
        <f>87364000*0</f>
        <v>0</v>
      </c>
      <c r="H200" s="166">
        <f>87364000</f>
        <v>87364000</v>
      </c>
      <c r="I200" s="366">
        <f t="shared" si="6"/>
        <v>5385.5258291209466</v>
      </c>
      <c r="J200" t="str">
        <f t="shared" si="7"/>
        <v>21000</v>
      </c>
    </row>
    <row r="201" spans="1:10" x14ac:dyDescent="0.25">
      <c r="A201" s="151">
        <v>13</v>
      </c>
      <c r="B201" s="106" t="str">
        <f>'Funding 2019'!$K$17</f>
        <v>CGMMITM19002</v>
      </c>
      <c r="C201" s="355">
        <v>2100011805</v>
      </c>
      <c r="D201" s="355"/>
      <c r="E201" s="152" t="s">
        <v>838</v>
      </c>
      <c r="F201" s="153">
        <v>86640000</v>
      </c>
      <c r="G201" s="153"/>
      <c r="H201" s="153"/>
      <c r="I201" s="366">
        <f t="shared" si="6"/>
        <v>5340.8950807545307</v>
      </c>
      <c r="J201" t="str">
        <f t="shared" si="7"/>
        <v>21000</v>
      </c>
    </row>
    <row r="202" spans="1:10" x14ac:dyDescent="0.25">
      <c r="A202" s="151">
        <v>4</v>
      </c>
      <c r="B202" s="106" t="str">
        <f>'Funding 2019'!$K$20</f>
        <v>CGMMMTW19001</v>
      </c>
      <c r="C202" s="355">
        <v>2100011615</v>
      </c>
      <c r="D202" s="355">
        <v>4500134750</v>
      </c>
      <c r="E202" s="167" t="s">
        <v>369</v>
      </c>
      <c r="F202" s="166"/>
      <c r="G202" s="166">
        <f>79500000*0</f>
        <v>0</v>
      </c>
      <c r="H202" s="166">
        <v>79500000</v>
      </c>
      <c r="I202" s="366">
        <f t="shared" si="6"/>
        <v>4900.7520650967817</v>
      </c>
      <c r="J202" t="str">
        <f t="shared" si="7"/>
        <v>21000</v>
      </c>
    </row>
    <row r="203" spans="1:10" x14ac:dyDescent="0.25">
      <c r="A203" s="151">
        <v>10</v>
      </c>
      <c r="B203" s="106" t="str">
        <f>'Funding 2019'!$K$61</f>
        <v>CGMMPRD19000</v>
      </c>
      <c r="C203" s="355">
        <v>2100011729</v>
      </c>
      <c r="D203" s="355">
        <v>4500135129</v>
      </c>
      <c r="E203" s="152" t="s">
        <v>598</v>
      </c>
      <c r="F203" s="153">
        <f>85000000*0</f>
        <v>0</v>
      </c>
      <c r="G203" s="153">
        <f>76500000*0</f>
        <v>0</v>
      </c>
      <c r="H203" s="171">
        <v>76500000</v>
      </c>
      <c r="I203" s="366">
        <f t="shared" si="6"/>
        <v>4715.8180249044508</v>
      </c>
      <c r="J203" t="str">
        <f t="shared" si="7"/>
        <v>21000</v>
      </c>
    </row>
    <row r="204" spans="1:10" x14ac:dyDescent="0.25">
      <c r="A204" s="151">
        <v>14</v>
      </c>
      <c r="B204" s="106" t="str">
        <f>'Funding 2019'!$K$28</f>
        <v>CGMMMTW19002</v>
      </c>
      <c r="C204" s="355">
        <v>2500003629</v>
      </c>
      <c r="D204" s="355">
        <v>4500135108</v>
      </c>
      <c r="E204" s="152" t="s">
        <v>607</v>
      </c>
      <c r="F204" s="166">
        <f>76625000*0</f>
        <v>0</v>
      </c>
      <c r="G204" s="166">
        <f>72832500*0</f>
        <v>0</v>
      </c>
      <c r="H204" s="287">
        <v>72832500</v>
      </c>
      <c r="I204" s="366">
        <f t="shared" si="6"/>
        <v>4489.7361607693256</v>
      </c>
      <c r="J204" t="str">
        <f t="shared" si="7"/>
        <v>25000</v>
      </c>
    </row>
    <row r="205" spans="1:10" hidden="1" x14ac:dyDescent="0.25">
      <c r="A205" s="151">
        <v>36</v>
      </c>
      <c r="B205" s="106" t="str">
        <f>'Funding 2019'!$K$87</f>
        <v>CGMM2019V167</v>
      </c>
      <c r="C205" s="355">
        <v>6100000737</v>
      </c>
      <c r="D205" s="355">
        <v>330319801</v>
      </c>
      <c r="E205" s="152" t="s">
        <v>356</v>
      </c>
      <c r="F205" s="166"/>
      <c r="G205" s="166">
        <f>36056158*0</f>
        <v>0</v>
      </c>
      <c r="H205" s="166">
        <v>32479778</v>
      </c>
      <c r="I205" s="366">
        <f t="shared" si="6"/>
        <v>2002.2055233633337</v>
      </c>
      <c r="J205" t="str">
        <f t="shared" si="7"/>
        <v>61000</v>
      </c>
    </row>
    <row r="206" spans="1:10" x14ac:dyDescent="0.25">
      <c r="A206" s="151">
        <v>49</v>
      </c>
      <c r="B206" s="106" t="str">
        <f>'Funding 2019'!$K$87</f>
        <v>CGMM2019V167</v>
      </c>
      <c r="C206" s="355">
        <v>2100011630</v>
      </c>
      <c r="D206" s="355" t="s">
        <v>440</v>
      </c>
      <c r="E206" s="152" t="s">
        <v>429</v>
      </c>
      <c r="F206" s="166">
        <f>98000000*0</f>
        <v>0</v>
      </c>
      <c r="G206" s="166">
        <f>71647200*0</f>
        <v>0</v>
      </c>
      <c r="H206" s="166">
        <v>71647200</v>
      </c>
      <c r="I206" s="366">
        <f t="shared" si="6"/>
        <v>4416.6687214893354</v>
      </c>
      <c r="J206" t="str">
        <f t="shared" si="7"/>
        <v>21000</v>
      </c>
    </row>
    <row r="207" spans="1:10" hidden="1" x14ac:dyDescent="0.25">
      <c r="A207" s="151">
        <v>40</v>
      </c>
      <c r="B207" s="106" t="str">
        <f>'Funding 2019'!$K$87</f>
        <v>CGMM2019V167</v>
      </c>
      <c r="C207" s="355">
        <v>6100000774</v>
      </c>
      <c r="D207" s="355" t="s">
        <v>720</v>
      </c>
      <c r="E207" s="152" t="s">
        <v>489</v>
      </c>
      <c r="F207" s="166">
        <f>301460737*0</f>
        <v>0</v>
      </c>
      <c r="G207" s="166">
        <f>117171600*0</f>
        <v>0</v>
      </c>
      <c r="H207" s="166">
        <v>121548314</v>
      </c>
      <c r="I207" s="366">
        <f t="shared" si="6"/>
        <v>7492.8069288620391</v>
      </c>
      <c r="J207" t="str">
        <f t="shared" si="7"/>
        <v>61000</v>
      </c>
    </row>
    <row r="208" spans="1:10" hidden="1" x14ac:dyDescent="0.25">
      <c r="A208" s="151">
        <v>41</v>
      </c>
      <c r="B208" s="106" t="str">
        <f>'Funding 2019'!$K$87</f>
        <v>CGMM2019V167</v>
      </c>
      <c r="C208" s="355">
        <v>6100000749</v>
      </c>
      <c r="D208" s="355">
        <v>330319803</v>
      </c>
      <c r="E208" s="152" t="s">
        <v>370</v>
      </c>
      <c r="F208" s="166"/>
      <c r="G208" s="166"/>
      <c r="H208" s="166">
        <v>140774076</v>
      </c>
      <c r="I208" s="366">
        <f t="shared" si="6"/>
        <v>8677.9728763407711</v>
      </c>
      <c r="J208" t="str">
        <f t="shared" si="7"/>
        <v>61000</v>
      </c>
    </row>
    <row r="209" spans="1:10" x14ac:dyDescent="0.25">
      <c r="A209" s="151">
        <v>23</v>
      </c>
      <c r="B209" s="106" t="str">
        <f>'Funding 2019'!$K$91</f>
        <v>CGMM2019M264</v>
      </c>
      <c r="C209" s="355">
        <v>2100011754</v>
      </c>
      <c r="D209" s="355">
        <v>4500135194</v>
      </c>
      <c r="E209" s="152" t="s">
        <v>638</v>
      </c>
      <c r="F209" s="166">
        <f>82360000*0</f>
        <v>0</v>
      </c>
      <c r="G209" s="305">
        <v>71126250</v>
      </c>
      <c r="H209" s="166"/>
      <c r="I209" s="366">
        <f t="shared" si="6"/>
        <v>4384.5549254099369</v>
      </c>
      <c r="J209" t="str">
        <f t="shared" si="7"/>
        <v>21000</v>
      </c>
    </row>
    <row r="210" spans="1:10" x14ac:dyDescent="0.25">
      <c r="A210" s="151">
        <v>3</v>
      </c>
      <c r="B210" s="106" t="str">
        <f>'Funding 2019'!$K$52</f>
        <v>CGMMQPC19002</v>
      </c>
      <c r="C210" s="355">
        <v>2100011781</v>
      </c>
      <c r="D210" s="355"/>
      <c r="E210" s="293" t="s">
        <v>748</v>
      </c>
      <c r="F210" s="171">
        <v>69390000</v>
      </c>
      <c r="G210" s="153"/>
      <c r="H210" s="153"/>
      <c r="I210" s="366">
        <f t="shared" si="6"/>
        <v>4277.5243496486255</v>
      </c>
      <c r="J210" t="str">
        <f t="shared" si="7"/>
        <v>21000</v>
      </c>
    </row>
    <row r="211" spans="1:10" x14ac:dyDescent="0.25">
      <c r="A211" s="151">
        <v>15</v>
      </c>
      <c r="B211" s="106" t="str">
        <f>'Funding 2019'!$K$28</f>
        <v>CGMMMTW19002</v>
      </c>
      <c r="C211" s="355">
        <v>2100011712</v>
      </c>
      <c r="D211" s="355">
        <v>4500135199</v>
      </c>
      <c r="E211" s="152" t="s">
        <v>608</v>
      </c>
      <c r="F211" s="166">
        <f>69500000*0</f>
        <v>0</v>
      </c>
      <c r="G211" s="287">
        <v>68500000</v>
      </c>
      <c r="H211" s="166"/>
      <c r="I211" s="366">
        <f t="shared" si="6"/>
        <v>4222.6605843915668</v>
      </c>
      <c r="J211" t="str">
        <f t="shared" si="7"/>
        <v>21000</v>
      </c>
    </row>
    <row r="212" spans="1:10" x14ac:dyDescent="0.25">
      <c r="A212" s="151">
        <v>65</v>
      </c>
      <c r="B212" s="106" t="str">
        <f>'Funding 2019'!$K$87</f>
        <v>CGMM2019V167</v>
      </c>
      <c r="C212" s="355">
        <v>2100011699</v>
      </c>
      <c r="D212" s="355">
        <v>4500135035</v>
      </c>
      <c r="E212" s="152" t="s">
        <v>516</v>
      </c>
      <c r="F212" s="166">
        <f>75500000*0</f>
        <v>0</v>
      </c>
      <c r="G212" s="305">
        <v>67500000</v>
      </c>
      <c r="H212" s="166"/>
      <c r="I212" s="366">
        <f t="shared" si="6"/>
        <v>4161.0159043274562</v>
      </c>
      <c r="J212" t="str">
        <f t="shared" si="7"/>
        <v>21000</v>
      </c>
    </row>
    <row r="213" spans="1:10" x14ac:dyDescent="0.25">
      <c r="A213" s="151">
        <v>26</v>
      </c>
      <c r="B213" s="106" t="str">
        <f>'Funding 2019'!$K$87</f>
        <v>CGMM2019V167</v>
      </c>
      <c r="C213" s="355">
        <v>2100011566</v>
      </c>
      <c r="D213" s="355">
        <v>4500134567</v>
      </c>
      <c r="E213" s="152" t="s">
        <v>324</v>
      </c>
      <c r="F213" s="166">
        <f>65000000*0</f>
        <v>0</v>
      </c>
      <c r="G213" s="166">
        <f>65000000*0</f>
        <v>0</v>
      </c>
      <c r="H213" s="166">
        <v>65000000</v>
      </c>
      <c r="I213" s="366">
        <f t="shared" si="6"/>
        <v>4006.9042041671805</v>
      </c>
      <c r="J213" t="str">
        <f t="shared" si="7"/>
        <v>21000</v>
      </c>
    </row>
    <row r="214" spans="1:10" x14ac:dyDescent="0.25">
      <c r="A214" s="151">
        <v>2</v>
      </c>
      <c r="B214" s="106" t="str">
        <f>'Funding 2019'!$K$95</f>
        <v>CGMM2019W213</v>
      </c>
      <c r="C214" s="355">
        <v>2100011675</v>
      </c>
      <c r="D214" s="355">
        <v>4500135058</v>
      </c>
      <c r="E214" s="152" t="s">
        <v>465</v>
      </c>
      <c r="F214" s="166">
        <f>65000000*0</f>
        <v>0</v>
      </c>
      <c r="G214" s="166">
        <f>65000000</f>
        <v>65000000</v>
      </c>
      <c r="H214" s="166"/>
      <c r="I214" s="366">
        <f t="shared" si="6"/>
        <v>4006.9042041671805</v>
      </c>
      <c r="J214" t="str">
        <f t="shared" si="7"/>
        <v>21000</v>
      </c>
    </row>
    <row r="215" spans="1:10" x14ac:dyDescent="0.25">
      <c r="A215" s="151">
        <v>5</v>
      </c>
      <c r="B215" s="106" t="str">
        <f>'Funding 2019'!$K$52</f>
        <v>CGMMQPC19002</v>
      </c>
      <c r="C215" s="355">
        <v>2100011797</v>
      </c>
      <c r="D215" s="355"/>
      <c r="E215" s="293" t="s">
        <v>789</v>
      </c>
      <c r="F215" s="171">
        <v>63928500</v>
      </c>
      <c r="G215" s="153"/>
      <c r="H215" s="153"/>
      <c r="I215" s="366">
        <f t="shared" si="6"/>
        <v>3940.851929478486</v>
      </c>
      <c r="J215" t="str">
        <f t="shared" si="7"/>
        <v>21000</v>
      </c>
    </row>
    <row r="216" spans="1:10" hidden="1" x14ac:dyDescent="0.25">
      <c r="A216" s="151">
        <v>51</v>
      </c>
      <c r="B216" s="106" t="str">
        <f>'Funding 2019'!$K$87</f>
        <v>CGMM2019V167</v>
      </c>
      <c r="C216" s="355">
        <v>6100000760</v>
      </c>
      <c r="D216" s="355" t="s">
        <v>466</v>
      </c>
      <c r="E216" s="152" t="s">
        <v>430</v>
      </c>
      <c r="F216" s="305">
        <v>13606022</v>
      </c>
      <c r="G216" s="166">
        <f>13606022*0</f>
        <v>0</v>
      </c>
      <c r="H216" s="166">
        <f>12709424*0</f>
        <v>0</v>
      </c>
      <c r="I216" s="366">
        <f t="shared" si="6"/>
        <v>838.73887313524847</v>
      </c>
      <c r="J216" t="str">
        <f t="shared" si="7"/>
        <v>61000</v>
      </c>
    </row>
    <row r="217" spans="1:10" x14ac:dyDescent="0.25">
      <c r="A217" s="151">
        <v>8</v>
      </c>
      <c r="B217" s="106" t="str">
        <f>'Funding 2019'!$K$73</f>
        <v>EGMMEPC19002</v>
      </c>
      <c r="C217" s="355">
        <v>2500003571</v>
      </c>
      <c r="D217" s="355">
        <v>4500134747</v>
      </c>
      <c r="E217" s="152" t="s">
        <v>407</v>
      </c>
      <c r="F217" s="166"/>
      <c r="G217" s="183">
        <v>8498300</v>
      </c>
      <c r="H217" s="166">
        <v>54701700</v>
      </c>
      <c r="I217" s="366">
        <f t="shared" si="6"/>
        <v>3895.9437800517817</v>
      </c>
      <c r="J217" t="str">
        <f t="shared" si="7"/>
        <v>25000</v>
      </c>
    </row>
    <row r="218" spans="1:10" x14ac:dyDescent="0.25">
      <c r="A218" s="151">
        <v>19</v>
      </c>
      <c r="B218" s="106" t="str">
        <f>'Funding 2019'!$K$28</f>
        <v>CGMMMTW19002</v>
      </c>
      <c r="C218" s="356">
        <v>2100011783</v>
      </c>
      <c r="D218" s="356"/>
      <c r="E218" s="165" t="s">
        <v>746</v>
      </c>
      <c r="F218" s="166">
        <v>63150000</v>
      </c>
      <c r="G218" s="166"/>
      <c r="H218" s="166"/>
      <c r="I218" s="366">
        <f t="shared" si="6"/>
        <v>3892.8615460485762</v>
      </c>
      <c r="J218" t="str">
        <f t="shared" si="7"/>
        <v>21000</v>
      </c>
    </row>
    <row r="219" spans="1:10" x14ac:dyDescent="0.25">
      <c r="A219" s="151">
        <v>82</v>
      </c>
      <c r="B219" s="106" t="str">
        <f>'Funding 2019'!$K$87</f>
        <v>CGMM2019V167</v>
      </c>
      <c r="C219" s="355"/>
      <c r="D219" s="355">
        <v>4500134965</v>
      </c>
      <c r="E219" s="152" t="s">
        <v>484</v>
      </c>
      <c r="F219" s="166"/>
      <c r="G219" s="166"/>
      <c r="H219" s="166">
        <v>62779500</v>
      </c>
      <c r="I219" s="366">
        <f t="shared" si="6"/>
        <v>3870.022192084823</v>
      </c>
      <c r="J219" t="str">
        <f t="shared" si="7"/>
        <v>45001</v>
      </c>
    </row>
    <row r="220" spans="1:10" x14ac:dyDescent="0.25">
      <c r="A220" s="151">
        <v>3</v>
      </c>
      <c r="B220" s="106" t="str">
        <f>'Funding 2019'!$K$98</f>
        <v>CGMM2019X253</v>
      </c>
      <c r="C220" s="355">
        <v>2100011737</v>
      </c>
      <c r="D220" s="355">
        <v>4500135155</v>
      </c>
      <c r="E220" s="152" t="s">
        <v>611</v>
      </c>
      <c r="F220" s="153">
        <f>62732700*0</f>
        <v>0</v>
      </c>
      <c r="G220" s="152"/>
      <c r="H220" s="153">
        <v>62732700</v>
      </c>
      <c r="I220" s="366">
        <f t="shared" si="6"/>
        <v>3867.1372210578229</v>
      </c>
      <c r="J220" t="str">
        <f t="shared" si="7"/>
        <v>21000</v>
      </c>
    </row>
    <row r="221" spans="1:10" x14ac:dyDescent="0.25">
      <c r="A221" s="151">
        <v>16</v>
      </c>
      <c r="B221" s="106" t="str">
        <f>'Funding 2019'!$K$108</f>
        <v>EGMM0019V167</v>
      </c>
      <c r="C221" s="355">
        <v>2100011583</v>
      </c>
      <c r="D221" s="355">
        <v>4500134748</v>
      </c>
      <c r="E221" s="152" t="s">
        <v>346</v>
      </c>
      <c r="F221" s="166"/>
      <c r="G221" s="166">
        <f>(36211463-22685066)*0</f>
        <v>0</v>
      </c>
      <c r="H221" s="334">
        <v>62691094</v>
      </c>
      <c r="I221" s="366">
        <f t="shared" si="6"/>
        <v>3864.5724324990751</v>
      </c>
      <c r="J221" t="str">
        <f t="shared" si="7"/>
        <v>21000</v>
      </c>
    </row>
    <row r="222" spans="1:10" hidden="1" x14ac:dyDescent="0.25">
      <c r="A222" s="151">
        <v>62</v>
      </c>
      <c r="B222" s="106" t="str">
        <f>'Funding 2019'!$K$87</f>
        <v>CGMM2019V167</v>
      </c>
      <c r="C222" s="355">
        <v>6100000776</v>
      </c>
      <c r="D222" s="359"/>
      <c r="E222" s="152" t="s">
        <v>513</v>
      </c>
      <c r="F222" s="305">
        <v>277933879</v>
      </c>
      <c r="G222" s="166"/>
      <c r="H222" s="166"/>
      <c r="I222" s="366">
        <f t="shared" si="6"/>
        <v>17133.145049932191</v>
      </c>
      <c r="J222" t="str">
        <f t="shared" si="7"/>
        <v>61000</v>
      </c>
    </row>
    <row r="223" spans="1:10" hidden="1" x14ac:dyDescent="0.25">
      <c r="A223" s="151">
        <v>63</v>
      </c>
      <c r="B223" s="331" t="str">
        <f>'Funding 2019'!$K$87</f>
        <v>CGMM2019V167</v>
      </c>
      <c r="C223" s="357">
        <v>6100000775</v>
      </c>
      <c r="D223" s="360" t="s">
        <v>642</v>
      </c>
      <c r="E223" s="284" t="s">
        <v>514</v>
      </c>
      <c r="F223" s="280"/>
      <c r="G223" s="280">
        <f>0*676484172</f>
        <v>0</v>
      </c>
      <c r="H223" s="280">
        <v>681181568</v>
      </c>
      <c r="I223" s="366">
        <f t="shared" si="6"/>
        <v>41991.21982492911</v>
      </c>
      <c r="J223" t="str">
        <f t="shared" si="7"/>
        <v>61000</v>
      </c>
    </row>
    <row r="224" spans="1:10" x14ac:dyDescent="0.25">
      <c r="A224" s="151">
        <v>4</v>
      </c>
      <c r="B224" s="331" t="str">
        <f>'Funding 2019'!$K$110</f>
        <v>EGMMLA19V167</v>
      </c>
      <c r="C224" s="357">
        <v>2100011579</v>
      </c>
      <c r="D224" s="362" t="s">
        <v>392</v>
      </c>
      <c r="E224" s="284" t="s">
        <v>347</v>
      </c>
      <c r="F224" s="280">
        <f>69250000*0</f>
        <v>0</v>
      </c>
      <c r="G224" s="335">
        <v>4252500</v>
      </c>
      <c r="H224" s="337">
        <f>51322500+6750000</f>
        <v>58072500</v>
      </c>
      <c r="I224" s="366">
        <f t="shared" si="6"/>
        <v>3842.0046849956848</v>
      </c>
      <c r="J224" t="str">
        <f t="shared" si="7"/>
        <v>21000</v>
      </c>
    </row>
    <row r="225" spans="1:10" x14ac:dyDescent="0.25">
      <c r="A225" s="151">
        <v>10</v>
      </c>
      <c r="B225" s="106" t="str">
        <f>'Funding 2019'!$K$28</f>
        <v>CGMMMTW19002</v>
      </c>
      <c r="C225" s="355">
        <v>2100011670</v>
      </c>
      <c r="D225" s="361">
        <v>4500134930</v>
      </c>
      <c r="E225" s="152" t="s">
        <v>471</v>
      </c>
      <c r="F225" s="166">
        <f>60000000*0</f>
        <v>0</v>
      </c>
      <c r="G225" s="166">
        <f>60000000*0</f>
        <v>0</v>
      </c>
      <c r="H225" s="166">
        <v>60000000</v>
      </c>
      <c r="I225" s="366">
        <f t="shared" si="6"/>
        <v>3698.6808038466279</v>
      </c>
      <c r="J225" t="str">
        <f t="shared" si="7"/>
        <v>21000</v>
      </c>
    </row>
    <row r="226" spans="1:10" x14ac:dyDescent="0.25">
      <c r="A226" s="151">
        <v>1</v>
      </c>
      <c r="B226" s="106" t="str">
        <f>'Funding 2019'!$K$113</f>
        <v>EGMM0019X167</v>
      </c>
      <c r="C226" s="355">
        <v>2100011769</v>
      </c>
      <c r="D226" s="355">
        <v>4500135212</v>
      </c>
      <c r="E226" s="152" t="s">
        <v>696</v>
      </c>
      <c r="F226" s="166">
        <f>81468000*0</f>
        <v>0</v>
      </c>
      <c r="G226" s="166">
        <v>57467988</v>
      </c>
      <c r="H226" s="166"/>
      <c r="I226" s="366">
        <f t="shared" si="6"/>
        <v>3542.5957341881394</v>
      </c>
      <c r="J226" t="str">
        <f t="shared" si="7"/>
        <v>21000</v>
      </c>
    </row>
    <row r="227" spans="1:10" x14ac:dyDescent="0.25">
      <c r="A227" s="151">
        <v>73</v>
      </c>
      <c r="B227" s="106" t="str">
        <f>'Funding 2019'!$K$87</f>
        <v>CGMM2019V167</v>
      </c>
      <c r="C227" s="355">
        <v>2100011735</v>
      </c>
      <c r="D227" s="355">
        <v>4500135134</v>
      </c>
      <c r="E227" s="152" t="s">
        <v>610</v>
      </c>
      <c r="F227" s="166">
        <f>69000000*0</f>
        <v>0</v>
      </c>
      <c r="G227" s="305">
        <v>57000000</v>
      </c>
      <c r="H227" s="166"/>
      <c r="I227" s="366">
        <f t="shared" si="6"/>
        <v>3513.7467636542965</v>
      </c>
      <c r="J227" t="str">
        <f t="shared" si="7"/>
        <v>21000</v>
      </c>
    </row>
    <row r="228" spans="1:10" x14ac:dyDescent="0.25">
      <c r="A228" s="151">
        <v>69</v>
      </c>
      <c r="B228" s="106" t="str">
        <f>'Funding 2019'!$K$87</f>
        <v>CGMM2019V167</v>
      </c>
      <c r="C228" s="355">
        <v>2100011719</v>
      </c>
      <c r="D228" s="355">
        <v>4500135107</v>
      </c>
      <c r="E228" s="152" t="s">
        <v>578</v>
      </c>
      <c r="F228" s="166">
        <f>60100000*0</f>
        <v>0</v>
      </c>
      <c r="G228" s="166"/>
      <c r="H228" s="166">
        <v>55900000</v>
      </c>
      <c r="I228" s="366">
        <f t="shared" si="6"/>
        <v>3445.9376155837749</v>
      </c>
      <c r="J228" t="str">
        <f t="shared" si="7"/>
        <v>21000</v>
      </c>
    </row>
    <row r="229" spans="1:10" x14ac:dyDescent="0.25">
      <c r="A229" s="151">
        <v>55</v>
      </c>
      <c r="B229" s="106" t="str">
        <f>'Funding 2019'!$K$108</f>
        <v>EGMM0019V167</v>
      </c>
      <c r="C229" s="355">
        <v>2100011757</v>
      </c>
      <c r="D229" s="355">
        <v>4500135209</v>
      </c>
      <c r="E229" s="152" t="s">
        <v>662</v>
      </c>
      <c r="F229" s="166">
        <f>54810500*0</f>
        <v>0</v>
      </c>
      <c r="G229" s="166">
        <f>54810500*0</f>
        <v>0</v>
      </c>
      <c r="H229" s="334">
        <v>51521870</v>
      </c>
      <c r="I229" s="366">
        <f t="shared" si="6"/>
        <v>3176.0491924546914</v>
      </c>
      <c r="J229" t="str">
        <f t="shared" si="7"/>
        <v>21000</v>
      </c>
    </row>
    <row r="230" spans="1:10" x14ac:dyDescent="0.25">
      <c r="A230" s="151">
        <v>9</v>
      </c>
      <c r="B230" s="106" t="str">
        <f>'Funding 2019'!$K$106</f>
        <v>EGMM0019M264</v>
      </c>
      <c r="C230" s="355">
        <v>2100011597</v>
      </c>
      <c r="D230" s="355" t="s">
        <v>408</v>
      </c>
      <c r="E230" s="152" t="s">
        <v>409</v>
      </c>
      <c r="F230" s="166"/>
      <c r="G230" s="166"/>
      <c r="H230" s="183">
        <v>50000000</v>
      </c>
      <c r="I230" s="366">
        <f t="shared" si="6"/>
        <v>3082.2340032055235</v>
      </c>
      <c r="J230" t="str">
        <f t="shared" si="7"/>
        <v>21000</v>
      </c>
    </row>
    <row r="231" spans="1:10" x14ac:dyDescent="0.25">
      <c r="A231" s="151">
        <v>2</v>
      </c>
      <c r="B231" s="106" t="str">
        <f>'Funding 2019'!$K$57</f>
        <v>CGMMLOG19001</v>
      </c>
      <c r="C231" s="355">
        <v>2100011547</v>
      </c>
      <c r="D231" s="355">
        <v>4500134546</v>
      </c>
      <c r="E231" s="152" t="s">
        <v>252</v>
      </c>
      <c r="F231" s="153">
        <f>62226500*0</f>
        <v>0</v>
      </c>
      <c r="G231" s="153">
        <f>49158935*0</f>
        <v>0</v>
      </c>
      <c r="H231" s="153">
        <v>49158935</v>
      </c>
      <c r="I231" s="366">
        <f t="shared" si="6"/>
        <v>3030.3868203674024</v>
      </c>
      <c r="J231" t="str">
        <f t="shared" si="7"/>
        <v>21000</v>
      </c>
    </row>
    <row r="232" spans="1:10" x14ac:dyDescent="0.25">
      <c r="A232" s="151">
        <v>3</v>
      </c>
      <c r="B232" s="106" t="str">
        <f>'Funding 2019'!$K$110</f>
        <v>EGMMLA19V167</v>
      </c>
      <c r="C232" s="355">
        <v>2100011562</v>
      </c>
      <c r="D232" s="355" t="s">
        <v>393</v>
      </c>
      <c r="E232" s="152" t="s">
        <v>338</v>
      </c>
      <c r="F232" s="166">
        <f>94617*0</f>
        <v>0</v>
      </c>
      <c r="G232" s="334">
        <v>48922741</v>
      </c>
      <c r="H232" s="336"/>
      <c r="I232" s="366">
        <f t="shared" si="6"/>
        <v>3015.8267168043399</v>
      </c>
      <c r="J232" t="str">
        <f t="shared" si="7"/>
        <v>21000</v>
      </c>
    </row>
    <row r="233" spans="1:10" x14ac:dyDescent="0.25">
      <c r="A233" s="151">
        <v>6</v>
      </c>
      <c r="B233" s="106" t="str">
        <f>'Funding 2019'!$K$61</f>
        <v>CGMMPRD19000</v>
      </c>
      <c r="C233" s="355">
        <v>2100011644</v>
      </c>
      <c r="D233" s="355">
        <v>4500134793</v>
      </c>
      <c r="E233" s="152" t="s">
        <v>444</v>
      </c>
      <c r="F233" s="153">
        <f>47700000*0</f>
        <v>0</v>
      </c>
      <c r="G233" s="153">
        <f>47700000*0</f>
        <v>0</v>
      </c>
      <c r="H233" s="171">
        <v>47700000</v>
      </c>
      <c r="I233" s="366">
        <f t="shared" si="6"/>
        <v>2940.4512390580694</v>
      </c>
      <c r="J233" t="str">
        <f t="shared" si="7"/>
        <v>21000</v>
      </c>
    </row>
    <row r="234" spans="1:10" hidden="1" x14ac:dyDescent="0.25">
      <c r="A234" s="151">
        <v>75</v>
      </c>
      <c r="B234" s="106" t="str">
        <f>'Funding 2019'!$K$87</f>
        <v>CGMM2019V167</v>
      </c>
      <c r="C234" s="355">
        <v>5500011806</v>
      </c>
      <c r="D234" s="355">
        <v>1920202315</v>
      </c>
      <c r="E234" s="152" t="s">
        <v>617</v>
      </c>
      <c r="F234" s="166"/>
      <c r="G234" s="166"/>
      <c r="H234" s="166">
        <v>15700000</v>
      </c>
      <c r="I234" s="366">
        <f t="shared" si="6"/>
        <v>967.82147700653434</v>
      </c>
      <c r="J234" t="str">
        <f t="shared" si="7"/>
        <v>55000</v>
      </c>
    </row>
    <row r="235" spans="1:10" x14ac:dyDescent="0.25">
      <c r="A235" s="151">
        <v>11</v>
      </c>
      <c r="B235" s="106" t="str">
        <f>'Funding 2019'!$K$17</f>
        <v>CGMMITM19002</v>
      </c>
      <c r="C235" s="355">
        <v>2100011777</v>
      </c>
      <c r="D235" s="355">
        <v>4500135227</v>
      </c>
      <c r="E235" s="152" t="s">
        <v>733</v>
      </c>
      <c r="F235" s="166">
        <f>50300000*0</f>
        <v>0</v>
      </c>
      <c r="G235" s="287"/>
      <c r="H235" s="287">
        <v>47500000</v>
      </c>
      <c r="I235" s="366">
        <f t="shared" si="6"/>
        <v>2928.122303045247</v>
      </c>
      <c r="J235" t="str">
        <f t="shared" si="7"/>
        <v>21000</v>
      </c>
    </row>
    <row r="236" spans="1:10" x14ac:dyDescent="0.25">
      <c r="A236" s="151">
        <v>4</v>
      </c>
      <c r="B236" s="106" t="str">
        <f>'Funding 2019'!$K$97</f>
        <v>CGMM2019W205</v>
      </c>
      <c r="C236" s="355">
        <v>2100011743</v>
      </c>
      <c r="D236" s="355">
        <v>4500135146</v>
      </c>
      <c r="E236" s="152" t="s">
        <v>649</v>
      </c>
      <c r="F236" s="153"/>
      <c r="G236" s="287"/>
      <c r="H236" s="153">
        <v>46780024</v>
      </c>
      <c r="I236" s="366">
        <f t="shared" si="6"/>
        <v>2883.739612871409</v>
      </c>
      <c r="J236" t="str">
        <f t="shared" si="7"/>
        <v>21000</v>
      </c>
    </row>
    <row r="237" spans="1:10" hidden="1" x14ac:dyDescent="0.25">
      <c r="A237" s="151">
        <v>78</v>
      </c>
      <c r="B237" s="106" t="str">
        <f>'Funding 2019'!$K$87</f>
        <v>CGMM2019V167</v>
      </c>
      <c r="C237" s="355">
        <v>6100000773</v>
      </c>
      <c r="D237" s="355" t="s">
        <v>644</v>
      </c>
      <c r="E237" s="152" t="s">
        <v>490</v>
      </c>
      <c r="F237" s="166"/>
      <c r="G237" s="166">
        <f>0*14653548</f>
        <v>0</v>
      </c>
      <c r="H237" s="166">
        <v>20220186</v>
      </c>
      <c r="I237" s="366">
        <f t="shared" si="6"/>
        <v>1246.4668968068056</v>
      </c>
      <c r="J237" t="str">
        <f t="shared" si="7"/>
        <v>61000</v>
      </c>
    </row>
    <row r="238" spans="1:10" hidden="1" x14ac:dyDescent="0.25">
      <c r="A238" s="151">
        <v>79</v>
      </c>
      <c r="B238" s="106" t="str">
        <f>'Funding 2019'!$K$87</f>
        <v>CGMM2019V167</v>
      </c>
      <c r="C238" s="355"/>
      <c r="D238" s="355" t="s">
        <v>645</v>
      </c>
      <c r="E238" s="152" t="s">
        <v>430</v>
      </c>
      <c r="F238" s="166"/>
      <c r="G238" s="166">
        <f>0*9696960</f>
        <v>0</v>
      </c>
      <c r="H238" s="166">
        <v>14154206</v>
      </c>
      <c r="I238" s="366">
        <f t="shared" si="6"/>
        <v>872.53150043151277</v>
      </c>
      <c r="J238" t="str">
        <f t="shared" si="7"/>
        <v>33041</v>
      </c>
    </row>
    <row r="239" spans="1:10" x14ac:dyDescent="0.25">
      <c r="A239" s="151">
        <v>18</v>
      </c>
      <c r="B239" s="106" t="str">
        <f>'Funding 2019'!$K$28</f>
        <v>CGMMMTW19002</v>
      </c>
      <c r="C239" s="355">
        <v>2100011732</v>
      </c>
      <c r="D239" s="355">
        <v>4500135154</v>
      </c>
      <c r="E239" s="152" t="s">
        <v>606</v>
      </c>
      <c r="F239" s="166">
        <f>48000000*0</f>
        <v>0</v>
      </c>
      <c r="G239" s="287">
        <v>46591800</v>
      </c>
      <c r="H239" s="166"/>
      <c r="I239" s="366">
        <f t="shared" si="6"/>
        <v>2872.136604611022</v>
      </c>
      <c r="J239" t="str">
        <f t="shared" si="7"/>
        <v>21000</v>
      </c>
    </row>
    <row r="240" spans="1:10" x14ac:dyDescent="0.25">
      <c r="A240" s="151">
        <v>26</v>
      </c>
      <c r="B240" s="106" t="str">
        <f>'Funding 2019'!$K$106</f>
        <v>EGMM0019M264</v>
      </c>
      <c r="C240" s="355">
        <v>2100011756</v>
      </c>
      <c r="D240" s="355">
        <v>4500135183</v>
      </c>
      <c r="E240" s="152" t="s">
        <v>637</v>
      </c>
      <c r="F240" s="166">
        <f>44578271*0</f>
        <v>0</v>
      </c>
      <c r="G240" s="183">
        <v>45598406</v>
      </c>
      <c r="H240" s="166"/>
      <c r="I240" s="366">
        <f t="shared" si="6"/>
        <v>2810.899149303415</v>
      </c>
      <c r="J240" t="str">
        <f t="shared" si="7"/>
        <v>21000</v>
      </c>
    </row>
    <row r="241" spans="1:10" x14ac:dyDescent="0.25">
      <c r="A241" s="151">
        <v>5</v>
      </c>
      <c r="B241" s="106" t="str">
        <f>'Funding 2019'!$K$103</f>
        <v>EGMM0019W205</v>
      </c>
      <c r="C241" s="355">
        <v>2100011745</v>
      </c>
      <c r="D241" s="355">
        <v>4500135139</v>
      </c>
      <c r="E241" s="152" t="s">
        <v>621</v>
      </c>
      <c r="F241" s="166">
        <f>45087990*0</f>
        <v>0</v>
      </c>
      <c r="G241" s="166"/>
      <c r="H241" s="294">
        <v>45087990</v>
      </c>
      <c r="I241" s="366">
        <f t="shared" si="6"/>
        <v>2779.4347182838119</v>
      </c>
      <c r="J241" t="str">
        <f t="shared" si="7"/>
        <v>21000</v>
      </c>
    </row>
    <row r="242" spans="1:10" hidden="1" x14ac:dyDescent="0.25">
      <c r="A242" s="151">
        <v>85</v>
      </c>
      <c r="B242" s="106" t="str">
        <f>'Funding 2019'!$K$87</f>
        <v>CGMM2019V167</v>
      </c>
      <c r="C242" s="355"/>
      <c r="D242" s="356">
        <v>121236833</v>
      </c>
      <c r="E242" s="165" t="s">
        <v>772</v>
      </c>
      <c r="F242" s="166"/>
      <c r="G242" s="166"/>
      <c r="H242" s="166">
        <v>-20220186</v>
      </c>
      <c r="I242" s="366">
        <f t="shared" si="6"/>
        <v>-1246.4668968068056</v>
      </c>
      <c r="J242" t="str">
        <f t="shared" si="7"/>
        <v>12123</v>
      </c>
    </row>
    <row r="243" spans="1:10" hidden="1" x14ac:dyDescent="0.25">
      <c r="A243" s="151">
        <v>86</v>
      </c>
      <c r="B243" s="106" t="str">
        <f>'Funding 2019'!$K$87</f>
        <v>CGMM2019V167</v>
      </c>
      <c r="C243" s="355"/>
      <c r="D243" s="356">
        <v>121235272</v>
      </c>
      <c r="E243" s="165" t="s">
        <v>773</v>
      </c>
      <c r="F243" s="166"/>
      <c r="G243" s="166"/>
      <c r="H243" s="166">
        <v>-766436000</v>
      </c>
      <c r="I243" s="366">
        <f t="shared" si="6"/>
        <v>-47246.702009616572</v>
      </c>
      <c r="J243" t="str">
        <f t="shared" si="7"/>
        <v>12123</v>
      </c>
    </row>
    <row r="244" spans="1:10" hidden="1" x14ac:dyDescent="0.25">
      <c r="A244" s="151">
        <v>87</v>
      </c>
      <c r="B244" s="106" t="str">
        <f>'Funding 2019'!$K$87</f>
        <v>CGMM2019V167</v>
      </c>
      <c r="C244" s="355"/>
      <c r="D244" s="356">
        <v>5100200876</v>
      </c>
      <c r="E244" s="165" t="s">
        <v>774</v>
      </c>
      <c r="F244" s="166"/>
      <c r="G244" s="166"/>
      <c r="H244" s="166">
        <v>-1014619884</v>
      </c>
      <c r="I244" s="366">
        <f t="shared" si="6"/>
        <v>-62545.918135864878</v>
      </c>
      <c r="J244" t="str">
        <f t="shared" si="7"/>
        <v>51002</v>
      </c>
    </row>
    <row r="245" spans="1:10" hidden="1" x14ac:dyDescent="0.25">
      <c r="A245" s="151">
        <v>88</v>
      </c>
      <c r="B245" s="106" t="str">
        <f>'Funding 2019'!$K$87</f>
        <v>CGMM2019V167</v>
      </c>
      <c r="C245" s="355"/>
      <c r="D245" s="356">
        <v>1720007612</v>
      </c>
      <c r="E245" s="165"/>
      <c r="F245" s="166"/>
      <c r="G245" s="166"/>
      <c r="H245" s="166">
        <v>162</v>
      </c>
      <c r="I245" s="366">
        <f t="shared" si="6"/>
        <v>9.9864381703858949E-3</v>
      </c>
      <c r="J245" t="str">
        <f t="shared" si="7"/>
        <v>17200</v>
      </c>
    </row>
    <row r="246" spans="1:10" hidden="1" x14ac:dyDescent="0.25">
      <c r="A246" s="151">
        <v>89</v>
      </c>
      <c r="B246" s="106" t="str">
        <f>'Funding 2019'!$K$87</f>
        <v>CGMM2019V167</v>
      </c>
      <c r="C246" s="355"/>
      <c r="D246" s="356">
        <v>1720007613</v>
      </c>
      <c r="E246" s="165" t="s">
        <v>775</v>
      </c>
      <c r="F246" s="166"/>
      <c r="G246" s="166"/>
      <c r="H246" s="166">
        <v>-324</v>
      </c>
      <c r="I246" s="366">
        <f t="shared" si="6"/>
        <v>-1.997287634077179E-2</v>
      </c>
      <c r="J246" t="str">
        <f t="shared" si="7"/>
        <v>17200</v>
      </c>
    </row>
    <row r="247" spans="1:10" hidden="1" x14ac:dyDescent="0.25">
      <c r="A247" s="151">
        <v>90</v>
      </c>
      <c r="B247" s="106" t="str">
        <f>'Funding 2019'!$K$87</f>
        <v>CGMM2019V167</v>
      </c>
      <c r="C247" s="355"/>
      <c r="D247" s="356">
        <v>5100199799</v>
      </c>
      <c r="E247" s="165"/>
      <c r="F247" s="166"/>
      <c r="G247" s="166"/>
      <c r="H247" s="166">
        <v>420789416</v>
      </c>
      <c r="I247" s="366">
        <f t="shared" si="6"/>
        <v>25939.428923683885</v>
      </c>
      <c r="J247" t="str">
        <f t="shared" si="7"/>
        <v>51001</v>
      </c>
    </row>
    <row r="248" spans="1:10" hidden="1" x14ac:dyDescent="0.25">
      <c r="A248" s="151">
        <v>91</v>
      </c>
      <c r="B248" s="106" t="str">
        <f>'Funding 2019'!$K$87</f>
        <v>CGMM2019V167</v>
      </c>
      <c r="C248" s="355"/>
      <c r="D248" s="356">
        <v>1920201203</v>
      </c>
      <c r="E248" s="165"/>
      <c r="F248" s="166"/>
      <c r="G248" s="166"/>
      <c r="H248" s="166">
        <v>-162</v>
      </c>
      <c r="I248" s="366">
        <f t="shared" si="6"/>
        <v>-9.9864381703858949E-3</v>
      </c>
      <c r="J248" t="str">
        <f t="shared" si="7"/>
        <v>19202</v>
      </c>
    </row>
    <row r="249" spans="1:10" hidden="1" x14ac:dyDescent="0.25">
      <c r="A249" s="151">
        <v>92</v>
      </c>
      <c r="B249" s="106" t="str">
        <f>'Funding 2019'!$K$87</f>
        <v>CGMM2019V167</v>
      </c>
      <c r="C249" s="355"/>
      <c r="D249" s="356">
        <v>1920200285</v>
      </c>
      <c r="E249" s="165" t="s">
        <v>775</v>
      </c>
      <c r="F249" s="166"/>
      <c r="G249" s="166"/>
      <c r="H249" s="166">
        <v>324</v>
      </c>
      <c r="I249" s="366">
        <f t="shared" si="6"/>
        <v>1.997287634077179E-2</v>
      </c>
      <c r="J249" t="str">
        <f t="shared" si="7"/>
        <v>19202</v>
      </c>
    </row>
    <row r="250" spans="1:10" hidden="1" x14ac:dyDescent="0.25">
      <c r="A250" s="151">
        <v>93</v>
      </c>
      <c r="B250" s="106" t="str">
        <f>'Funding 2019'!$K$87</f>
        <v>CGMM2019V167</v>
      </c>
      <c r="C250" s="355"/>
      <c r="D250" s="355">
        <v>1720007580</v>
      </c>
      <c r="E250" s="152" t="s">
        <v>775</v>
      </c>
      <c r="F250" s="166"/>
      <c r="G250" s="166"/>
      <c r="H250" s="166">
        <v>-162</v>
      </c>
      <c r="I250" s="366">
        <f t="shared" si="6"/>
        <v>-9.9864381703858949E-3</v>
      </c>
      <c r="J250" t="str">
        <f t="shared" si="7"/>
        <v>17200</v>
      </c>
    </row>
    <row r="251" spans="1:10" hidden="1" x14ac:dyDescent="0.25">
      <c r="A251" s="151">
        <v>94</v>
      </c>
      <c r="B251" s="106" t="str">
        <f>'Funding 2019'!$K$87</f>
        <v>CGMM2019V167</v>
      </c>
      <c r="C251" s="355"/>
      <c r="D251" s="355">
        <v>1920200274</v>
      </c>
      <c r="E251" s="152" t="s">
        <v>775</v>
      </c>
      <c r="F251" s="166"/>
      <c r="G251" s="166"/>
      <c r="H251" s="166">
        <v>162</v>
      </c>
      <c r="I251" s="366">
        <f t="shared" si="6"/>
        <v>9.9864381703858949E-3</v>
      </c>
      <c r="J251" t="str">
        <f t="shared" si="7"/>
        <v>19202</v>
      </c>
    </row>
    <row r="252" spans="1:10" hidden="1" x14ac:dyDescent="0.25">
      <c r="A252" s="151">
        <v>95</v>
      </c>
      <c r="B252" s="106" t="str">
        <f>'Funding 2019'!$K$87</f>
        <v>CGMM2019V167</v>
      </c>
      <c r="C252" s="355"/>
      <c r="D252" s="355">
        <v>1920199631</v>
      </c>
      <c r="E252" s="152" t="s">
        <v>654</v>
      </c>
      <c r="F252" s="166"/>
      <c r="G252" s="166"/>
      <c r="H252" s="166">
        <v>14580000</v>
      </c>
      <c r="I252" s="366">
        <f t="shared" si="6"/>
        <v>898.77943533473058</v>
      </c>
      <c r="J252" t="str">
        <f t="shared" si="7"/>
        <v>19201</v>
      </c>
    </row>
    <row r="253" spans="1:10" hidden="1" x14ac:dyDescent="0.25">
      <c r="A253" s="151">
        <v>96</v>
      </c>
      <c r="B253" s="106" t="str">
        <f>'Funding 2019'!$K$87</f>
        <v>CGMM2019V167</v>
      </c>
      <c r="C253" s="355"/>
      <c r="D253" s="355">
        <v>1920199309</v>
      </c>
      <c r="E253" s="152" t="s">
        <v>655</v>
      </c>
      <c r="F253" s="166"/>
      <c r="G253" s="166"/>
      <c r="H253" s="166">
        <v>15800000</v>
      </c>
      <c r="I253" s="366">
        <f t="shared" si="6"/>
        <v>973.98594501294542</v>
      </c>
      <c r="J253" t="str">
        <f t="shared" si="7"/>
        <v>19201</v>
      </c>
    </row>
    <row r="254" spans="1:10" hidden="1" x14ac:dyDescent="0.25">
      <c r="A254" s="151">
        <v>97</v>
      </c>
      <c r="B254" s="106" t="str">
        <f>'Funding 2019'!$K$87</f>
        <v>CGMM2019V167</v>
      </c>
      <c r="C254" s="355"/>
      <c r="D254" s="355">
        <v>1920199310</v>
      </c>
      <c r="E254" s="152" t="s">
        <v>656</v>
      </c>
      <c r="F254" s="166"/>
      <c r="G254" s="166"/>
      <c r="H254" s="166">
        <v>15800000</v>
      </c>
      <c r="I254" s="366">
        <f t="shared" si="6"/>
        <v>973.98594501294542</v>
      </c>
      <c r="J254" t="str">
        <f t="shared" si="7"/>
        <v>19201</v>
      </c>
    </row>
    <row r="255" spans="1:10" hidden="1" x14ac:dyDescent="0.25">
      <c r="A255" s="151">
        <v>98</v>
      </c>
      <c r="B255" s="106" t="str">
        <f>'Funding 2019'!$K$87</f>
        <v>CGMM2019V167</v>
      </c>
      <c r="C255" s="355"/>
      <c r="D255" s="355">
        <v>1920199311</v>
      </c>
      <c r="E255" s="152" t="s">
        <v>657</v>
      </c>
      <c r="F255" s="166"/>
      <c r="G255" s="166"/>
      <c r="H255" s="166">
        <v>15328500</v>
      </c>
      <c r="I255" s="366">
        <f t="shared" si="6"/>
        <v>944.92047836271729</v>
      </c>
      <c r="J255" t="str">
        <f t="shared" si="7"/>
        <v>19201</v>
      </c>
    </row>
    <row r="256" spans="1:10" hidden="1" x14ac:dyDescent="0.25">
      <c r="A256" s="151">
        <v>99</v>
      </c>
      <c r="B256" s="106" t="str">
        <f>'Funding 2019'!$K$87</f>
        <v>CGMM2019V167</v>
      </c>
      <c r="C256" s="355"/>
      <c r="D256" s="355">
        <v>1920199312</v>
      </c>
      <c r="E256" s="152" t="s">
        <v>658</v>
      </c>
      <c r="F256" s="166"/>
      <c r="G256" s="166"/>
      <c r="H256" s="166">
        <v>14810000</v>
      </c>
      <c r="I256" s="366">
        <f t="shared" si="6"/>
        <v>912.95771174947606</v>
      </c>
      <c r="J256" t="str">
        <f t="shared" si="7"/>
        <v>19201</v>
      </c>
    </row>
    <row r="257" spans="1:10" hidden="1" x14ac:dyDescent="0.25">
      <c r="A257" s="151">
        <v>100</v>
      </c>
      <c r="B257" s="106" t="str">
        <f>'Funding 2019'!$K$87</f>
        <v>CGMM2019V167</v>
      </c>
      <c r="C257" s="355"/>
      <c r="D257" s="355">
        <v>1920198747</v>
      </c>
      <c r="E257" s="152" t="s">
        <v>659</v>
      </c>
      <c r="F257" s="166"/>
      <c r="G257" s="166"/>
      <c r="H257" s="166">
        <v>27500000</v>
      </c>
      <c r="I257" s="366">
        <f t="shared" si="6"/>
        <v>1695.2287017630379</v>
      </c>
      <c r="J257" t="str">
        <f t="shared" si="7"/>
        <v>19201</v>
      </c>
    </row>
    <row r="258" spans="1:10" hidden="1" x14ac:dyDescent="0.25">
      <c r="A258" s="151">
        <v>101</v>
      </c>
      <c r="B258" s="106" t="str">
        <f>'Funding 2019'!$K$87</f>
        <v>CGMM2019V167</v>
      </c>
      <c r="C258" s="355"/>
      <c r="D258" s="355">
        <v>1920198401</v>
      </c>
      <c r="E258" s="152" t="s">
        <v>660</v>
      </c>
      <c r="F258" s="166"/>
      <c r="G258" s="166"/>
      <c r="H258" s="166">
        <v>12600000</v>
      </c>
      <c r="I258" s="366">
        <f t="shared" ref="I258:I321" si="8">SUM(F258:H258)/16222</f>
        <v>776.72296880779186</v>
      </c>
      <c r="J258" t="str">
        <f t="shared" ref="J258:J321" si="9">IF(C258="",LEFT(D258,5),LEFT(C258,5))</f>
        <v>19201</v>
      </c>
    </row>
    <row r="259" spans="1:10" hidden="1" x14ac:dyDescent="0.25">
      <c r="A259" s="151">
        <v>102</v>
      </c>
      <c r="B259" s="106" t="str">
        <f>'Funding 2019'!$K$87</f>
        <v>CGMM2019V167</v>
      </c>
      <c r="C259" s="355"/>
      <c r="D259" s="355">
        <v>1920197562</v>
      </c>
      <c r="E259" s="152" t="s">
        <v>659</v>
      </c>
      <c r="F259" s="166"/>
      <c r="G259" s="166"/>
      <c r="H259" s="166">
        <v>27500000</v>
      </c>
      <c r="I259" s="366">
        <f t="shared" si="8"/>
        <v>1695.2287017630379</v>
      </c>
      <c r="J259" t="str">
        <f t="shared" si="9"/>
        <v>19201</v>
      </c>
    </row>
    <row r="260" spans="1:10" hidden="1" x14ac:dyDescent="0.25">
      <c r="A260" s="151">
        <v>103</v>
      </c>
      <c r="B260" s="106" t="str">
        <f>'Funding 2019'!$K$87</f>
        <v>CGMM2019V167</v>
      </c>
      <c r="C260" s="355"/>
      <c r="D260" s="355">
        <v>121211177</v>
      </c>
      <c r="E260" s="152" t="s">
        <v>776</v>
      </c>
      <c r="F260" s="166"/>
      <c r="G260" s="166"/>
      <c r="H260" s="166">
        <v>-104015285</v>
      </c>
      <c r="I260" s="366">
        <f t="shared" si="8"/>
        <v>-6411.9889656022688</v>
      </c>
      <c r="J260" t="str">
        <f t="shared" si="9"/>
        <v>12121</v>
      </c>
    </row>
    <row r="261" spans="1:10" hidden="1" x14ac:dyDescent="0.25">
      <c r="A261" s="151">
        <v>115</v>
      </c>
      <c r="B261" s="106" t="str">
        <f>'Funding 2019'!$K$87</f>
        <v>CGMM2019V167</v>
      </c>
      <c r="C261" s="355"/>
      <c r="D261" s="355"/>
      <c r="E261" s="152"/>
      <c r="F261" s="166"/>
      <c r="G261" s="166"/>
      <c r="H261" s="166"/>
      <c r="I261" s="366">
        <f t="shared" si="8"/>
        <v>0</v>
      </c>
      <c r="J261" t="str">
        <f t="shared" si="9"/>
        <v/>
      </c>
    </row>
    <row r="262" spans="1:10" hidden="1" x14ac:dyDescent="0.25">
      <c r="A262" s="151">
        <v>116</v>
      </c>
      <c r="B262" s="106" t="str">
        <f>'Funding 2019'!$K$87</f>
        <v>CGMM2019V167</v>
      </c>
      <c r="C262" s="355"/>
      <c r="D262" s="355"/>
      <c r="E262" s="152"/>
      <c r="F262" s="166"/>
      <c r="G262" s="166"/>
      <c r="H262" s="166"/>
      <c r="I262" s="366">
        <f t="shared" si="8"/>
        <v>0</v>
      </c>
      <c r="J262" t="str">
        <f t="shared" si="9"/>
        <v/>
      </c>
    </row>
    <row r="263" spans="1:10" hidden="1" x14ac:dyDescent="0.25">
      <c r="A263" s="151">
        <v>117</v>
      </c>
      <c r="B263" s="106" t="str">
        <f>'Funding 2019'!$K$87</f>
        <v>CGMM2019V167</v>
      </c>
      <c r="C263" s="356"/>
      <c r="D263" s="356"/>
      <c r="E263" s="152"/>
      <c r="F263" s="166"/>
      <c r="G263" s="166"/>
      <c r="H263" s="166"/>
      <c r="I263" s="366">
        <f t="shared" si="8"/>
        <v>0</v>
      </c>
      <c r="J263" t="str">
        <f t="shared" si="9"/>
        <v/>
      </c>
    </row>
    <row r="264" spans="1:10" hidden="1" x14ac:dyDescent="0.25">
      <c r="A264" s="151">
        <v>1</v>
      </c>
      <c r="B264" s="106" t="str">
        <f>'Funding 2019'!$K$90</f>
        <v>CGMMLA19V167</v>
      </c>
      <c r="C264" s="355">
        <v>5100005384</v>
      </c>
      <c r="D264" s="355"/>
      <c r="E264" s="152" t="s">
        <v>788</v>
      </c>
      <c r="F264" s="166">
        <v>1455545000</v>
      </c>
      <c r="G264" s="166"/>
      <c r="H264" s="166"/>
      <c r="I264" s="366">
        <f t="shared" si="8"/>
        <v>89726.605843915677</v>
      </c>
      <c r="J264" t="str">
        <f t="shared" si="9"/>
        <v>51000</v>
      </c>
    </row>
    <row r="265" spans="1:10" hidden="1" x14ac:dyDescent="0.25">
      <c r="A265" s="151">
        <v>2</v>
      </c>
      <c r="B265" s="106" t="str">
        <f>'Funding 2019'!$K$90</f>
        <v>CGMMLA19V167</v>
      </c>
      <c r="C265" s="355"/>
      <c r="D265" s="355"/>
      <c r="E265" s="152"/>
      <c r="F265" s="166"/>
      <c r="G265" s="166"/>
      <c r="H265" s="166"/>
      <c r="I265" s="366">
        <f t="shared" si="8"/>
        <v>0</v>
      </c>
      <c r="J265" t="str">
        <f t="shared" si="9"/>
        <v/>
      </c>
    </row>
    <row r="266" spans="1:10" hidden="1" x14ac:dyDescent="0.25">
      <c r="A266" s="151">
        <v>3</v>
      </c>
      <c r="B266" s="106" t="str">
        <f>'Funding 2019'!$K$90</f>
        <v>CGMMLA19V167</v>
      </c>
      <c r="C266" s="355"/>
      <c r="D266" s="355"/>
      <c r="E266" s="152"/>
      <c r="F266" s="166"/>
      <c r="G266" s="166"/>
      <c r="H266" s="166"/>
      <c r="I266" s="366">
        <f t="shared" si="8"/>
        <v>0</v>
      </c>
      <c r="J266" t="str">
        <f t="shared" si="9"/>
        <v/>
      </c>
    </row>
    <row r="267" spans="1:10" hidden="1" x14ac:dyDescent="0.25">
      <c r="A267" s="151">
        <v>4</v>
      </c>
      <c r="B267" s="106" t="str">
        <f>'Funding 2019'!$K$90</f>
        <v>CGMMLA19V167</v>
      </c>
      <c r="C267" s="355"/>
      <c r="D267" s="355"/>
      <c r="E267" s="152"/>
      <c r="F267" s="166"/>
      <c r="G267" s="166"/>
      <c r="H267" s="166"/>
      <c r="I267" s="366">
        <f t="shared" si="8"/>
        <v>0</v>
      </c>
      <c r="J267" t="str">
        <f t="shared" si="9"/>
        <v/>
      </c>
    </row>
    <row r="268" spans="1:10" hidden="1" x14ac:dyDescent="0.25">
      <c r="A268" s="151">
        <v>5</v>
      </c>
      <c r="B268" s="106" t="str">
        <f>'Funding 2019'!$K$90</f>
        <v>CGMMLA19V167</v>
      </c>
      <c r="C268" s="355"/>
      <c r="D268" s="355"/>
      <c r="E268" s="152"/>
      <c r="F268" s="166"/>
      <c r="G268" s="166"/>
      <c r="H268" s="166"/>
      <c r="I268" s="366">
        <f t="shared" si="8"/>
        <v>0</v>
      </c>
      <c r="J268" t="str">
        <f t="shared" si="9"/>
        <v/>
      </c>
    </row>
    <row r="269" spans="1:10" hidden="1" x14ac:dyDescent="0.25">
      <c r="A269" s="151">
        <v>1</v>
      </c>
      <c r="B269" s="106" t="str">
        <f>'Funding 2019'!$K$91</f>
        <v>CGMM2019M264</v>
      </c>
      <c r="C269" s="355">
        <v>6100000730</v>
      </c>
      <c r="D269" s="355">
        <v>310618800</v>
      </c>
      <c r="E269" s="165" t="s">
        <v>306</v>
      </c>
      <c r="F269" s="166"/>
      <c r="G269" s="166">
        <f>64225199*0</f>
        <v>0</v>
      </c>
      <c r="H269" s="171">
        <v>58526160</v>
      </c>
      <c r="I269" s="366">
        <f t="shared" si="8"/>
        <v>3607.8264085809396</v>
      </c>
      <c r="J269" t="str">
        <f t="shared" si="9"/>
        <v>61000</v>
      </c>
    </row>
    <row r="270" spans="1:10" hidden="1" x14ac:dyDescent="0.25">
      <c r="A270" s="151">
        <v>2</v>
      </c>
      <c r="B270" s="106" t="str">
        <f>'Funding 2019'!$K$91</f>
        <v>CGMM2019M264</v>
      </c>
      <c r="C270" s="355">
        <v>6100000673</v>
      </c>
      <c r="D270" s="355">
        <v>310618803</v>
      </c>
      <c r="E270" s="165" t="s">
        <v>272</v>
      </c>
      <c r="F270" s="166"/>
      <c r="G270" s="166">
        <f>22501248*0</f>
        <v>0</v>
      </c>
      <c r="H270" s="171">
        <v>2595221803</v>
      </c>
      <c r="I270" s="366">
        <f t="shared" si="8"/>
        <v>159981.61774133891</v>
      </c>
      <c r="J270" t="str">
        <f t="shared" si="9"/>
        <v>61000</v>
      </c>
    </row>
    <row r="271" spans="1:10" hidden="1" x14ac:dyDescent="0.25">
      <c r="A271" s="151">
        <v>3</v>
      </c>
      <c r="B271" s="106" t="str">
        <f>'Funding 2019'!$K$91</f>
        <v>CGMM2019M264</v>
      </c>
      <c r="C271" s="355">
        <v>6100000678</v>
      </c>
      <c r="D271" s="355">
        <v>310818801</v>
      </c>
      <c r="E271" s="165" t="s">
        <v>273</v>
      </c>
      <c r="F271" s="166"/>
      <c r="G271" s="166">
        <f>291916800*0</f>
        <v>0</v>
      </c>
      <c r="H271" s="171">
        <v>1685907037</v>
      </c>
      <c r="I271" s="366">
        <f t="shared" si="8"/>
        <v>103927.19991369745</v>
      </c>
      <c r="J271" t="str">
        <f t="shared" si="9"/>
        <v>61000</v>
      </c>
    </row>
    <row r="272" spans="1:10" x14ac:dyDescent="0.25">
      <c r="A272" s="151">
        <v>1</v>
      </c>
      <c r="B272" s="106" t="str">
        <f>'Funding 2019'!$K$79</f>
        <v>CGMMENG19002</v>
      </c>
      <c r="C272" s="355">
        <v>2100011576</v>
      </c>
      <c r="D272" s="355">
        <v>4500134598</v>
      </c>
      <c r="E272" s="152" t="s">
        <v>335</v>
      </c>
      <c r="F272" s="153">
        <f>49680000*0</f>
        <v>0</v>
      </c>
      <c r="G272" s="166">
        <f>44712000*0</f>
        <v>0</v>
      </c>
      <c r="H272" s="287">
        <v>44712000</v>
      </c>
      <c r="I272" s="366">
        <f t="shared" si="8"/>
        <v>2756.2569350265071</v>
      </c>
      <c r="J272" t="str">
        <f t="shared" si="9"/>
        <v>21000</v>
      </c>
    </row>
    <row r="273" spans="1:10" x14ac:dyDescent="0.25">
      <c r="A273" s="151">
        <v>8</v>
      </c>
      <c r="B273" s="106" t="str">
        <f>'Funding 2019'!$K$17</f>
        <v>CGMMITM19002</v>
      </c>
      <c r="C273" s="355">
        <v>2100011747</v>
      </c>
      <c r="D273" s="355">
        <v>4500135215</v>
      </c>
      <c r="E273" s="178" t="s">
        <v>623</v>
      </c>
      <c r="F273" s="166">
        <f>48000000*0</f>
        <v>0</v>
      </c>
      <c r="G273" s="287">
        <v>44400000</v>
      </c>
      <c r="H273" s="166"/>
      <c r="I273" s="366">
        <f t="shared" si="8"/>
        <v>2737.0237948465046</v>
      </c>
      <c r="J273" t="str">
        <f t="shared" si="9"/>
        <v>21000</v>
      </c>
    </row>
    <row r="274" spans="1:10" x14ac:dyDescent="0.25">
      <c r="A274" s="151">
        <v>2</v>
      </c>
      <c r="B274" s="106" t="str">
        <f>'Funding 2019'!$K$73</f>
        <v>EGMMEPC19002</v>
      </c>
      <c r="C274" s="355">
        <v>2500003534</v>
      </c>
      <c r="D274" s="355">
        <v>4500134462</v>
      </c>
      <c r="E274" s="152" t="s">
        <v>202</v>
      </c>
      <c r="F274" s="166"/>
      <c r="G274" s="183">
        <v>16650000</v>
      </c>
      <c r="H274" s="166">
        <v>26964231</v>
      </c>
      <c r="I274" s="366">
        <f t="shared" si="8"/>
        <v>2688.5853162372086</v>
      </c>
      <c r="J274" t="str">
        <f t="shared" si="9"/>
        <v>25000</v>
      </c>
    </row>
    <row r="275" spans="1:10" x14ac:dyDescent="0.25">
      <c r="A275" s="151">
        <v>48</v>
      </c>
      <c r="B275" s="106" t="str">
        <f>'Funding 2019'!$K$108</f>
        <v>EGMM0019V167</v>
      </c>
      <c r="C275" s="355">
        <v>2100011657</v>
      </c>
      <c r="D275" s="355">
        <v>4500134856</v>
      </c>
      <c r="E275" s="152" t="s">
        <v>544</v>
      </c>
      <c r="F275" s="166"/>
      <c r="G275" s="166"/>
      <c r="H275" s="334">
        <v>43518625</v>
      </c>
      <c r="I275" s="366">
        <f t="shared" si="8"/>
        <v>2682.6917149549995</v>
      </c>
      <c r="J275" t="str">
        <f t="shared" si="9"/>
        <v>21000</v>
      </c>
    </row>
    <row r="276" spans="1:10" x14ac:dyDescent="0.25">
      <c r="A276" s="151">
        <v>2</v>
      </c>
      <c r="B276" s="106" t="str">
        <f>'Funding 2019'!$K$79</f>
        <v>CGMMENG19002</v>
      </c>
      <c r="C276" s="355">
        <v>2100011631</v>
      </c>
      <c r="D276" s="355">
        <v>4500134769</v>
      </c>
      <c r="E276" s="152" t="s">
        <v>399</v>
      </c>
      <c r="F276" s="153">
        <f>45230000*0</f>
        <v>0</v>
      </c>
      <c r="G276" s="166">
        <f>43174000*0</f>
        <v>0</v>
      </c>
      <c r="H276" s="287">
        <v>43174000</v>
      </c>
      <c r="I276" s="366">
        <f t="shared" si="8"/>
        <v>2661.4474170879053</v>
      </c>
      <c r="J276" t="str">
        <f t="shared" si="9"/>
        <v>21000</v>
      </c>
    </row>
    <row r="277" spans="1:10" x14ac:dyDescent="0.25">
      <c r="A277" s="151">
        <v>18</v>
      </c>
      <c r="B277" s="106" t="str">
        <f>'Funding 2019'!$K$87</f>
        <v>CGMM2019V167</v>
      </c>
      <c r="C277" s="355">
        <v>2100011540</v>
      </c>
      <c r="D277" s="355">
        <v>4500134495</v>
      </c>
      <c r="E277" s="152" t="s">
        <v>268</v>
      </c>
      <c r="F277" s="166">
        <f>44745000*0</f>
        <v>0</v>
      </c>
      <c r="G277" s="166">
        <f>42507750*0</f>
        <v>0</v>
      </c>
      <c r="H277" s="166">
        <v>42507750</v>
      </c>
      <c r="I277" s="366">
        <f t="shared" si="8"/>
        <v>2620.3766489951918</v>
      </c>
      <c r="J277" t="str">
        <f t="shared" si="9"/>
        <v>21000</v>
      </c>
    </row>
    <row r="278" spans="1:10" hidden="1" x14ac:dyDescent="0.25">
      <c r="A278" s="151">
        <v>10</v>
      </c>
      <c r="B278" s="106" t="str">
        <f>'Funding 2019'!$K$91</f>
        <v>CGMM2019M264</v>
      </c>
      <c r="C278" s="355">
        <v>6100000734</v>
      </c>
      <c r="D278" s="355">
        <v>310219801</v>
      </c>
      <c r="E278" s="165" t="s">
        <v>340</v>
      </c>
      <c r="F278" s="166">
        <f>96969150*0</f>
        <v>0</v>
      </c>
      <c r="G278" s="305">
        <v>64966050</v>
      </c>
      <c r="H278" s="171">
        <v>32377725</v>
      </c>
      <c r="I278" s="366">
        <f t="shared" si="8"/>
        <v>6000.7258661077549</v>
      </c>
      <c r="J278" t="str">
        <f t="shared" si="9"/>
        <v>61000</v>
      </c>
    </row>
    <row r="279" spans="1:10" hidden="1" x14ac:dyDescent="0.25">
      <c r="A279" s="151">
        <v>11</v>
      </c>
      <c r="B279" s="331" t="str">
        <f>'Funding 2019'!$K$91</f>
        <v>CGMM2019M264</v>
      </c>
      <c r="C279" s="357">
        <v>6100000744</v>
      </c>
      <c r="D279" s="357"/>
      <c r="E279" s="338" t="s">
        <v>353</v>
      </c>
      <c r="F279" s="339">
        <f>280279901*0</f>
        <v>0</v>
      </c>
      <c r="G279" s="280"/>
      <c r="H279" s="280"/>
      <c r="I279" s="366">
        <f t="shared" si="8"/>
        <v>0</v>
      </c>
      <c r="J279" t="str">
        <f t="shared" si="9"/>
        <v>61000</v>
      </c>
    </row>
    <row r="280" spans="1:10" hidden="1" x14ac:dyDescent="0.25">
      <c r="A280" s="151">
        <v>12</v>
      </c>
      <c r="B280" s="331" t="str">
        <f>'Funding 2019'!$K$91</f>
        <v>CGMM2019M264</v>
      </c>
      <c r="C280" s="357"/>
      <c r="D280" s="357">
        <v>310319350</v>
      </c>
      <c r="E280" s="338" t="s">
        <v>354</v>
      </c>
      <c r="F280" s="280"/>
      <c r="G280" s="339">
        <f>209145674*0</f>
        <v>0</v>
      </c>
      <c r="H280" s="340">
        <v>262605967</v>
      </c>
      <c r="I280" s="366">
        <f t="shared" si="8"/>
        <v>16188.260818641351</v>
      </c>
      <c r="J280" t="str">
        <f t="shared" si="9"/>
        <v>31031</v>
      </c>
    </row>
    <row r="281" spans="1:10" hidden="1" x14ac:dyDescent="0.25">
      <c r="A281" s="151">
        <v>13</v>
      </c>
      <c r="B281" s="106" t="str">
        <f>'Funding 2019'!$K$91</f>
        <v>CGMM2019M264</v>
      </c>
      <c r="C281" s="355">
        <v>6100000751</v>
      </c>
      <c r="D281" s="355" t="s">
        <v>406</v>
      </c>
      <c r="E281" s="152" t="s">
        <v>602</v>
      </c>
      <c r="F281" s="166">
        <f>198705980*0</f>
        <v>0</v>
      </c>
      <c r="G281" s="305">
        <v>193503200</v>
      </c>
      <c r="H281" s="171">
        <f>433658488+1549782</f>
        <v>435208270</v>
      </c>
      <c r="I281" s="366">
        <f t="shared" si="8"/>
        <v>38756.717420786583</v>
      </c>
      <c r="J281" t="str">
        <f t="shared" si="9"/>
        <v>61000</v>
      </c>
    </row>
    <row r="282" spans="1:10" x14ac:dyDescent="0.25">
      <c r="A282" s="151">
        <v>3</v>
      </c>
      <c r="B282" s="106" t="str">
        <f>'Funding 2019'!$K$17</f>
        <v>CGMMITM19002</v>
      </c>
      <c r="C282" s="355">
        <v>2100011696</v>
      </c>
      <c r="D282" s="355">
        <v>4500135066</v>
      </c>
      <c r="E282" s="152" t="s">
        <v>583</v>
      </c>
      <c r="F282" s="166">
        <f>39450000*0</f>
        <v>0</v>
      </c>
      <c r="G282" s="166">
        <f>37770000*0</f>
        <v>0</v>
      </c>
      <c r="H282" s="287">
        <v>37770000</v>
      </c>
      <c r="I282" s="366">
        <f t="shared" si="8"/>
        <v>2328.3195660214524</v>
      </c>
      <c r="J282" t="str">
        <f t="shared" si="9"/>
        <v>21000</v>
      </c>
    </row>
    <row r="283" spans="1:10" x14ac:dyDescent="0.25">
      <c r="A283" s="151">
        <v>2</v>
      </c>
      <c r="B283" s="106" t="str">
        <f>'Funding 2019'!$K$102</f>
        <v>EGMM0019V222</v>
      </c>
      <c r="C283" s="355">
        <v>2100011691</v>
      </c>
      <c r="D283" s="355">
        <v>4500134998</v>
      </c>
      <c r="E283" s="152" t="s">
        <v>491</v>
      </c>
      <c r="F283" s="153">
        <v>0</v>
      </c>
      <c r="G283" s="153">
        <f>28110000*0</f>
        <v>0</v>
      </c>
      <c r="H283" s="153">
        <v>37610000</v>
      </c>
      <c r="I283" s="366">
        <f t="shared" si="8"/>
        <v>2318.4564172111945</v>
      </c>
      <c r="J283" t="str">
        <f t="shared" si="9"/>
        <v>21000</v>
      </c>
    </row>
    <row r="284" spans="1:10" x14ac:dyDescent="0.25">
      <c r="A284" s="151">
        <v>24</v>
      </c>
      <c r="B284" s="106" t="str">
        <f>'Funding 2019'!$K$108</f>
        <v>EGMM0019V167</v>
      </c>
      <c r="C284" s="355">
        <v>2100011608</v>
      </c>
      <c r="D284" s="355" t="s">
        <v>383</v>
      </c>
      <c r="E284" s="152" t="s">
        <v>384</v>
      </c>
      <c r="F284" s="166"/>
      <c r="G284" s="166">
        <f>37168000*0</f>
        <v>0</v>
      </c>
      <c r="H284" s="334">
        <v>37168000</v>
      </c>
      <c r="I284" s="366">
        <f t="shared" si="8"/>
        <v>2291.2094686228579</v>
      </c>
      <c r="J284" t="str">
        <f t="shared" si="9"/>
        <v>21000</v>
      </c>
    </row>
    <row r="285" spans="1:10" x14ac:dyDescent="0.25">
      <c r="A285" s="151">
        <v>52</v>
      </c>
      <c r="B285" s="106" t="str">
        <f>'Funding 2019'!$K$108</f>
        <v>EGMM0019V167</v>
      </c>
      <c r="C285" s="355">
        <v>2100011740</v>
      </c>
      <c r="D285" s="355">
        <v>4500135202</v>
      </c>
      <c r="E285" s="152" t="s">
        <v>619</v>
      </c>
      <c r="F285" s="166"/>
      <c r="G285" s="334">
        <v>36838282</v>
      </c>
      <c r="H285" s="166"/>
      <c r="I285" s="366">
        <f t="shared" si="8"/>
        <v>2270.8841080014795</v>
      </c>
      <c r="J285" t="str">
        <f t="shared" si="9"/>
        <v>21000</v>
      </c>
    </row>
    <row r="286" spans="1:10" x14ac:dyDescent="0.25">
      <c r="A286" s="151">
        <v>17</v>
      </c>
      <c r="B286" s="106" t="str">
        <f>'Funding 2019'!$K$108</f>
        <v>EGMM0019V167</v>
      </c>
      <c r="C286" s="355">
        <v>2100011598</v>
      </c>
      <c r="D286" s="355">
        <v>4500134665</v>
      </c>
      <c r="E286" s="152" t="s">
        <v>358</v>
      </c>
      <c r="F286" s="166"/>
      <c r="G286" s="166">
        <f>67632*0</f>
        <v>0</v>
      </c>
      <c r="H286" s="334">
        <v>36695657</v>
      </c>
      <c r="I286" s="366">
        <f t="shared" si="8"/>
        <v>2262.0920355073358</v>
      </c>
      <c r="J286" t="str">
        <f t="shared" si="9"/>
        <v>21000</v>
      </c>
    </row>
    <row r="287" spans="1:10" x14ac:dyDescent="0.25">
      <c r="A287" s="151">
        <v>6</v>
      </c>
      <c r="B287" s="106" t="str">
        <f>'Funding 2019'!$K$84</f>
        <v>CGMM2019X167</v>
      </c>
      <c r="C287" s="355">
        <v>2100011761</v>
      </c>
      <c r="D287" s="355">
        <v>4500135181</v>
      </c>
      <c r="E287" s="152" t="s">
        <v>648</v>
      </c>
      <c r="F287" s="286">
        <f>0*40000000</f>
        <v>0</v>
      </c>
      <c r="G287" s="166">
        <v>36000000</v>
      </c>
      <c r="H287" s="166"/>
      <c r="I287" s="366">
        <f t="shared" si="8"/>
        <v>2219.2084823079767</v>
      </c>
      <c r="J287" t="str">
        <f t="shared" si="9"/>
        <v>21000</v>
      </c>
    </row>
    <row r="288" spans="1:10" x14ac:dyDescent="0.25">
      <c r="A288" s="151">
        <v>22</v>
      </c>
      <c r="B288" s="106" t="str">
        <f>'Funding 2019'!$K$106</f>
        <v>EGMM0019M264</v>
      </c>
      <c r="C288" s="355">
        <v>2500003557</v>
      </c>
      <c r="D288" s="355">
        <v>4500134642</v>
      </c>
      <c r="E288" s="152" t="s">
        <v>422</v>
      </c>
      <c r="F288" s="166"/>
      <c r="G288" s="166">
        <f>35000000*0</f>
        <v>0</v>
      </c>
      <c r="H288" s="183">
        <v>35000000</v>
      </c>
      <c r="I288" s="366">
        <f t="shared" si="8"/>
        <v>2157.5638022438666</v>
      </c>
      <c r="J288" t="str">
        <f t="shared" si="9"/>
        <v>25000</v>
      </c>
    </row>
    <row r="289" spans="1:10" hidden="1" x14ac:dyDescent="0.25">
      <c r="A289" s="151">
        <v>22</v>
      </c>
      <c r="B289" s="106" t="str">
        <f>'Funding 2019'!$K$91</f>
        <v>CGMM2019M264</v>
      </c>
      <c r="C289" s="355">
        <v>6100000784</v>
      </c>
      <c r="D289" s="355" t="s">
        <v>777</v>
      </c>
      <c r="E289" s="152" t="s">
        <v>624</v>
      </c>
      <c r="F289" s="166"/>
      <c r="G289" s="339"/>
      <c r="H289" s="171">
        <v>34969522</v>
      </c>
      <c r="I289" s="366">
        <f t="shared" si="8"/>
        <v>2155.6849956848723</v>
      </c>
      <c r="J289" t="str">
        <f t="shared" si="9"/>
        <v>61000</v>
      </c>
    </row>
    <row r="290" spans="1:10" x14ac:dyDescent="0.25">
      <c r="A290" s="151">
        <v>81</v>
      </c>
      <c r="B290" s="106" t="str">
        <f>'Funding 2019'!$K$87</f>
        <v>CGMM2019V167</v>
      </c>
      <c r="C290" s="355"/>
      <c r="D290" s="355">
        <v>4500134731</v>
      </c>
      <c r="E290" s="152" t="s">
        <v>375</v>
      </c>
      <c r="F290" s="166"/>
      <c r="G290" s="166"/>
      <c r="H290" s="166">
        <v>34000000</v>
      </c>
      <c r="I290" s="366">
        <f t="shared" si="8"/>
        <v>2095.919122179756</v>
      </c>
      <c r="J290" t="str">
        <f t="shared" si="9"/>
        <v>45001</v>
      </c>
    </row>
    <row r="291" spans="1:10" x14ac:dyDescent="0.25">
      <c r="A291" s="151">
        <v>1</v>
      </c>
      <c r="B291" s="106" t="str">
        <f>'Funding 2019'!$K$102</f>
        <v>EGMM0019V222</v>
      </c>
      <c r="C291" s="355">
        <v>2100011746</v>
      </c>
      <c r="D291" s="355">
        <v>4500135145</v>
      </c>
      <c r="E291" s="152" t="s">
        <v>622</v>
      </c>
      <c r="F291" s="153">
        <f>34898780*0</f>
        <v>0</v>
      </c>
      <c r="G291" s="153"/>
      <c r="H291" s="153">
        <v>33078780</v>
      </c>
      <c r="I291" s="366">
        <f t="shared" si="8"/>
        <v>2039.1308100110959</v>
      </c>
      <c r="J291" t="str">
        <f t="shared" si="9"/>
        <v>21000</v>
      </c>
    </row>
    <row r="292" spans="1:10" x14ac:dyDescent="0.25">
      <c r="A292" s="151">
        <v>72</v>
      </c>
      <c r="B292" s="106" t="str">
        <f>'Funding 2019'!$K$87</f>
        <v>CGMM2019V167</v>
      </c>
      <c r="C292" s="355">
        <v>2100011734</v>
      </c>
      <c r="D292" s="355">
        <v>4500135133</v>
      </c>
      <c r="E292" s="152" t="s">
        <v>609</v>
      </c>
      <c r="F292" s="166">
        <f>42077100*0</f>
        <v>0</v>
      </c>
      <c r="G292" s="305">
        <v>21880092</v>
      </c>
      <c r="H292" s="166">
        <v>10940046</v>
      </c>
      <c r="I292" s="366">
        <f t="shared" si="8"/>
        <v>2023.1869066699544</v>
      </c>
      <c r="J292" t="str">
        <f t="shared" si="9"/>
        <v>21000</v>
      </c>
    </row>
    <row r="293" spans="1:10" x14ac:dyDescent="0.25">
      <c r="A293" s="151">
        <v>83</v>
      </c>
      <c r="B293" s="106" t="str">
        <f>'Funding 2019'!$K$87</f>
        <v>CGMM2019V167</v>
      </c>
      <c r="C293" s="355"/>
      <c r="D293" s="355">
        <v>4500134997</v>
      </c>
      <c r="E293" s="152" t="s">
        <v>483</v>
      </c>
      <c r="F293" s="166"/>
      <c r="G293" s="166"/>
      <c r="H293" s="166">
        <v>32510000</v>
      </c>
      <c r="I293" s="366">
        <f t="shared" si="8"/>
        <v>2004.0685488842314</v>
      </c>
      <c r="J293" t="str">
        <f t="shared" si="9"/>
        <v>45001</v>
      </c>
    </row>
    <row r="294" spans="1:10" hidden="1" x14ac:dyDescent="0.25">
      <c r="A294" s="151">
        <v>27</v>
      </c>
      <c r="B294" s="106" t="str">
        <f>'Funding 2019'!$K$91</f>
        <v>CGMM2019M264</v>
      </c>
      <c r="C294" s="355"/>
      <c r="D294" s="355"/>
      <c r="E294" s="152"/>
      <c r="F294" s="166"/>
      <c r="G294" s="166"/>
      <c r="H294" s="166"/>
      <c r="I294" s="366">
        <f t="shared" si="8"/>
        <v>0</v>
      </c>
      <c r="J294" t="str">
        <f t="shared" si="9"/>
        <v/>
      </c>
    </row>
    <row r="295" spans="1:10" hidden="1" x14ac:dyDescent="0.25">
      <c r="A295" s="151">
        <v>28</v>
      </c>
      <c r="B295" s="106" t="str">
        <f>'Funding 2019'!$K$91</f>
        <v>CGMM2019M264</v>
      </c>
      <c r="C295" s="355"/>
      <c r="D295" s="355"/>
      <c r="E295" s="152"/>
      <c r="F295" s="166"/>
      <c r="G295" s="166"/>
      <c r="H295" s="166"/>
      <c r="I295" s="366">
        <f t="shared" si="8"/>
        <v>0</v>
      </c>
      <c r="J295" t="str">
        <f t="shared" si="9"/>
        <v/>
      </c>
    </row>
    <row r="296" spans="1:10" hidden="1" x14ac:dyDescent="0.25">
      <c r="A296" s="151">
        <v>29</v>
      </c>
      <c r="B296" s="106" t="str">
        <f>'Funding 2019'!$K$91</f>
        <v>CGMM2019M264</v>
      </c>
      <c r="C296" s="355"/>
      <c r="D296" s="355"/>
      <c r="E296" s="152"/>
      <c r="F296" s="166"/>
      <c r="G296" s="166"/>
      <c r="H296" s="166"/>
      <c r="I296" s="366">
        <f t="shared" si="8"/>
        <v>0</v>
      </c>
      <c r="J296" t="str">
        <f t="shared" si="9"/>
        <v/>
      </c>
    </row>
    <row r="297" spans="1:10" hidden="1" x14ac:dyDescent="0.25">
      <c r="A297" s="151">
        <v>25</v>
      </c>
      <c r="B297" s="106" t="str">
        <f>'Funding 2019'!$K$91</f>
        <v>CGMM2019M264</v>
      </c>
      <c r="C297" s="355"/>
      <c r="D297" s="355"/>
      <c r="E297" s="152"/>
      <c r="F297" s="166"/>
      <c r="G297" s="166"/>
      <c r="H297" s="166"/>
      <c r="I297" s="366">
        <f t="shared" si="8"/>
        <v>0</v>
      </c>
      <c r="J297" t="str">
        <f t="shared" si="9"/>
        <v/>
      </c>
    </row>
    <row r="298" spans="1:10" x14ac:dyDescent="0.25">
      <c r="A298" s="151">
        <v>1</v>
      </c>
      <c r="B298" s="106" t="str">
        <f>'Funding 2019'!$K$6</f>
        <v>CGMMHRM19001</v>
      </c>
      <c r="C298" s="355">
        <v>2100011613</v>
      </c>
      <c r="D298" s="355">
        <v>4500134776</v>
      </c>
      <c r="E298" s="152" t="s">
        <v>368</v>
      </c>
      <c r="F298" s="153">
        <f>31780000*0</f>
        <v>0</v>
      </c>
      <c r="G298" s="153"/>
      <c r="H298" s="153">
        <v>31780000</v>
      </c>
      <c r="I298" s="366">
        <f t="shared" si="8"/>
        <v>1959.0679324374307</v>
      </c>
      <c r="J298" t="str">
        <f t="shared" si="9"/>
        <v>21000</v>
      </c>
    </row>
    <row r="299" spans="1:10" x14ac:dyDescent="0.25">
      <c r="A299" s="151">
        <v>61</v>
      </c>
      <c r="B299" s="106" t="str">
        <f>'Funding 2019'!$K$87</f>
        <v>CGMM2019V167</v>
      </c>
      <c r="C299" s="355">
        <v>2100011690</v>
      </c>
      <c r="D299" s="355">
        <v>4500134977</v>
      </c>
      <c r="E299" s="152" t="s">
        <v>485</v>
      </c>
      <c r="F299" s="166"/>
      <c r="G299" s="166">
        <f>32510000*0</f>
        <v>0</v>
      </c>
      <c r="H299" s="166">
        <v>30154200</v>
      </c>
      <c r="I299" s="366">
        <f t="shared" si="8"/>
        <v>1858.8460115891999</v>
      </c>
      <c r="J299" t="str">
        <f t="shared" si="9"/>
        <v>21000</v>
      </c>
    </row>
    <row r="300" spans="1:10" hidden="1" x14ac:dyDescent="0.25">
      <c r="A300" s="151">
        <v>28</v>
      </c>
      <c r="B300" s="106" t="str">
        <f>'Funding 2019'!$K$91</f>
        <v>CGMM2019M264</v>
      </c>
      <c r="C300" s="355"/>
      <c r="D300" s="355"/>
      <c r="E300" s="152" t="s">
        <v>699</v>
      </c>
      <c r="F300" s="166"/>
      <c r="G300" s="166"/>
      <c r="H300" s="166">
        <f>0*363866618</f>
        <v>0</v>
      </c>
      <c r="I300" s="366">
        <f t="shared" si="8"/>
        <v>0</v>
      </c>
      <c r="J300" t="str">
        <f t="shared" si="9"/>
        <v/>
      </c>
    </row>
    <row r="301" spans="1:10" hidden="1" x14ac:dyDescent="0.25">
      <c r="A301" s="151">
        <v>1</v>
      </c>
      <c r="B301" s="106" t="str">
        <f>'Funding 2019'!$K$95</f>
        <v>CGMM2019W213</v>
      </c>
      <c r="C301" s="355">
        <v>6100000707</v>
      </c>
      <c r="D301" s="355">
        <v>330119800</v>
      </c>
      <c r="E301" s="152" t="s">
        <v>277</v>
      </c>
      <c r="F301" s="166">
        <f>127000000*0</f>
        <v>0</v>
      </c>
      <c r="G301" s="166">
        <f>72489938*0</f>
        <v>0</v>
      </c>
      <c r="H301" s="166">
        <v>73498142</v>
      </c>
      <c r="I301" s="366">
        <f t="shared" si="8"/>
        <v>4530.7694488965599</v>
      </c>
      <c r="J301" t="str">
        <f t="shared" si="9"/>
        <v>61000</v>
      </c>
    </row>
    <row r="302" spans="1:10" x14ac:dyDescent="0.25">
      <c r="A302" s="151">
        <v>70</v>
      </c>
      <c r="B302" s="106" t="str">
        <f>'Funding 2019'!$K$87</f>
        <v>CGMM2019V167</v>
      </c>
      <c r="C302" s="355">
        <v>2100011720</v>
      </c>
      <c r="D302" s="355">
        <v>4500135094</v>
      </c>
      <c r="E302" s="152" t="s">
        <v>579</v>
      </c>
      <c r="F302" s="166">
        <f>33103545*0</f>
        <v>0</v>
      </c>
      <c r="G302" s="166">
        <f>0*29588220</f>
        <v>0</v>
      </c>
      <c r="H302" s="166">
        <v>30061104</v>
      </c>
      <c r="I302" s="366">
        <f t="shared" si="8"/>
        <v>1853.1071384539514</v>
      </c>
      <c r="J302" t="str">
        <f t="shared" si="9"/>
        <v>21000</v>
      </c>
    </row>
    <row r="303" spans="1:10" x14ac:dyDescent="0.25">
      <c r="A303" s="151">
        <v>1</v>
      </c>
      <c r="B303" s="106" t="str">
        <f>'Funding 2019'!$K$96</f>
        <v>CGMM2019V222</v>
      </c>
      <c r="C303" s="357">
        <v>2100011691</v>
      </c>
      <c r="D303" s="357">
        <v>4500134998</v>
      </c>
      <c r="E303" s="284" t="s">
        <v>491</v>
      </c>
      <c r="F303" s="285">
        <f>28110000*0</f>
        <v>0</v>
      </c>
      <c r="G303" s="285">
        <f>28110000</f>
        <v>28110000</v>
      </c>
      <c r="H303" s="285"/>
      <c r="I303" s="366">
        <f t="shared" si="8"/>
        <v>1732.8319566021453</v>
      </c>
      <c r="J303" t="str">
        <f t="shared" si="9"/>
        <v>21000</v>
      </c>
    </row>
    <row r="304" spans="1:10" hidden="1" x14ac:dyDescent="0.25">
      <c r="A304" s="151">
        <v>4</v>
      </c>
      <c r="B304" s="106" t="str">
        <f>'Funding 2019'!$K$95</f>
        <v>CGMM2019W213</v>
      </c>
      <c r="C304" s="355">
        <v>5500011836</v>
      </c>
      <c r="D304" s="355"/>
      <c r="E304" s="152" t="s">
        <v>626</v>
      </c>
      <c r="F304" s="166">
        <v>14600000</v>
      </c>
      <c r="G304" s="166"/>
      <c r="H304" s="166"/>
      <c r="I304" s="366">
        <f t="shared" si="8"/>
        <v>900.01232893601286</v>
      </c>
      <c r="J304" t="str">
        <f t="shared" si="9"/>
        <v>55000</v>
      </c>
    </row>
    <row r="305" spans="1:10" hidden="1" x14ac:dyDescent="0.25">
      <c r="A305" s="151">
        <v>4</v>
      </c>
      <c r="B305" s="106" t="str">
        <f>'Funding 2019'!$K$95</f>
        <v>CGMM2019W213</v>
      </c>
      <c r="C305" s="355"/>
      <c r="D305" s="355"/>
      <c r="E305" s="152"/>
      <c r="F305" s="166"/>
      <c r="G305" s="166"/>
      <c r="H305" s="166"/>
      <c r="I305" s="366">
        <f t="shared" si="8"/>
        <v>0</v>
      </c>
      <c r="J305" t="str">
        <f t="shared" si="9"/>
        <v/>
      </c>
    </row>
    <row r="306" spans="1:10" x14ac:dyDescent="0.25">
      <c r="A306" s="151">
        <v>51</v>
      </c>
      <c r="B306" s="106" t="str">
        <f>'Funding 2019'!$K$108</f>
        <v>EGMM0019V167</v>
      </c>
      <c r="C306" s="355">
        <v>2500003639</v>
      </c>
      <c r="D306" s="355">
        <v>4500135106</v>
      </c>
      <c r="E306" s="152" t="s">
        <v>591</v>
      </c>
      <c r="F306" s="166"/>
      <c r="G306" s="166">
        <f>0*27000000</f>
        <v>0</v>
      </c>
      <c r="H306" s="334">
        <v>27000000</v>
      </c>
      <c r="I306" s="366">
        <f t="shared" si="8"/>
        <v>1664.4063617309826</v>
      </c>
      <c r="J306" t="str">
        <f t="shared" si="9"/>
        <v>25000</v>
      </c>
    </row>
    <row r="307" spans="1:10" x14ac:dyDescent="0.25">
      <c r="A307" s="151">
        <v>6</v>
      </c>
      <c r="B307" s="106" t="str">
        <f>'Funding 2019'!$K$113</f>
        <v>EGMM0019X167</v>
      </c>
      <c r="C307" s="355">
        <v>2100011782</v>
      </c>
      <c r="D307" s="355">
        <v>4500135264</v>
      </c>
      <c r="E307" s="152" t="s">
        <v>742</v>
      </c>
      <c r="F307" s="166"/>
      <c r="G307" s="166">
        <v>25740000</v>
      </c>
      <c r="H307" s="166"/>
      <c r="I307" s="366">
        <f t="shared" si="8"/>
        <v>1586.7340648502034</v>
      </c>
      <c r="J307" t="str">
        <f t="shared" si="9"/>
        <v>21000</v>
      </c>
    </row>
    <row r="308" spans="1:10" hidden="1" x14ac:dyDescent="0.25">
      <c r="A308" s="151">
        <v>3</v>
      </c>
      <c r="B308" s="106" t="str">
        <f>'Funding 2019'!$K$96</f>
        <v>CGMM2019V222</v>
      </c>
      <c r="C308" s="355"/>
      <c r="D308" s="355"/>
      <c r="E308" s="152"/>
      <c r="F308" s="153"/>
      <c r="G308" s="153"/>
      <c r="H308" s="153"/>
      <c r="I308" s="366">
        <f t="shared" si="8"/>
        <v>0</v>
      </c>
      <c r="J308" t="str">
        <f t="shared" si="9"/>
        <v/>
      </c>
    </row>
    <row r="309" spans="1:10" hidden="1" x14ac:dyDescent="0.25">
      <c r="A309" s="151">
        <v>4</v>
      </c>
      <c r="B309" s="106" t="str">
        <f>'Funding 2019'!$K$96</f>
        <v>CGMM2019V222</v>
      </c>
      <c r="C309" s="355"/>
      <c r="D309" s="355"/>
      <c r="E309" s="152"/>
      <c r="F309" s="153"/>
      <c r="G309" s="153"/>
      <c r="H309" s="153"/>
      <c r="I309" s="366">
        <f t="shared" si="8"/>
        <v>0</v>
      </c>
      <c r="J309" t="str">
        <f t="shared" si="9"/>
        <v/>
      </c>
    </row>
    <row r="310" spans="1:10" hidden="1" x14ac:dyDescent="0.25">
      <c r="A310" s="151">
        <v>2</v>
      </c>
      <c r="B310" s="106" t="str">
        <f>'Funding 2019'!$K$97</f>
        <v>CGMM2019W205</v>
      </c>
      <c r="C310" s="355">
        <v>6100000743</v>
      </c>
      <c r="D310" s="355" t="s">
        <v>750</v>
      </c>
      <c r="E310" s="152" t="s">
        <v>352</v>
      </c>
      <c r="F310" s="153"/>
      <c r="G310" s="153"/>
      <c r="H310" s="153">
        <v>70745300</v>
      </c>
      <c r="I310" s="366">
        <f t="shared" si="8"/>
        <v>4361.0713845395139</v>
      </c>
      <c r="J310" t="str">
        <f t="shared" si="9"/>
        <v>61000</v>
      </c>
    </row>
    <row r="311" spans="1:10" x14ac:dyDescent="0.25">
      <c r="A311" s="151">
        <v>6</v>
      </c>
      <c r="B311" s="106" t="str">
        <f>'Funding 2019'!$K$52</f>
        <v>CGMMQPC19002</v>
      </c>
      <c r="C311" s="355">
        <v>2100011803</v>
      </c>
      <c r="D311" s="355"/>
      <c r="E311" s="293" t="s">
        <v>827</v>
      </c>
      <c r="F311" s="171">
        <v>24500000</v>
      </c>
      <c r="G311" s="153"/>
      <c r="H311" s="153"/>
      <c r="I311" s="366">
        <f t="shared" si="8"/>
        <v>1510.2946615707065</v>
      </c>
      <c r="J311" t="str">
        <f t="shared" si="9"/>
        <v>21000</v>
      </c>
    </row>
    <row r="312" spans="1:10" hidden="1" x14ac:dyDescent="0.25">
      <c r="A312" s="151">
        <v>5</v>
      </c>
      <c r="B312" s="106" t="str">
        <f>'Funding 2019'!$K$97</f>
        <v>CGMM2019W205</v>
      </c>
      <c r="C312" s="355"/>
      <c r="D312" s="355" t="s">
        <v>650</v>
      </c>
      <c r="E312" s="152" t="s">
        <v>651</v>
      </c>
      <c r="F312" s="153"/>
      <c r="G312" s="153"/>
      <c r="H312" s="153">
        <f>11038846-7987616</f>
        <v>3051230</v>
      </c>
      <c r="I312" s="366">
        <f t="shared" si="8"/>
        <v>188.09209715201578</v>
      </c>
      <c r="J312" t="str">
        <f t="shared" si="9"/>
        <v>30519</v>
      </c>
    </row>
    <row r="313" spans="1:10" hidden="1" x14ac:dyDescent="0.25">
      <c r="A313" s="151">
        <v>6</v>
      </c>
      <c r="B313" s="106" t="str">
        <f>'Funding 2019'!$K$97</f>
        <v>CGMM2019W205</v>
      </c>
      <c r="C313" s="355"/>
      <c r="D313" s="355"/>
      <c r="E313" s="152"/>
      <c r="F313" s="153"/>
      <c r="G313" s="153"/>
      <c r="H313" s="153"/>
      <c r="I313" s="366">
        <f t="shared" si="8"/>
        <v>0</v>
      </c>
      <c r="J313" t="str">
        <f t="shared" si="9"/>
        <v/>
      </c>
    </row>
    <row r="314" spans="1:10" hidden="1" x14ac:dyDescent="0.25">
      <c r="A314" s="151">
        <v>7</v>
      </c>
      <c r="B314" s="106" t="str">
        <f>'Funding 2019'!$K$97</f>
        <v>CGMM2019W205</v>
      </c>
      <c r="C314" s="355"/>
      <c r="D314" s="355"/>
      <c r="E314" s="152"/>
      <c r="F314" s="153"/>
      <c r="G314" s="153"/>
      <c r="H314" s="153"/>
      <c r="I314" s="366">
        <f t="shared" si="8"/>
        <v>0</v>
      </c>
      <c r="J314" t="str">
        <f t="shared" si="9"/>
        <v/>
      </c>
    </row>
    <row r="315" spans="1:10" hidden="1" x14ac:dyDescent="0.25">
      <c r="A315" s="151">
        <v>8</v>
      </c>
      <c r="B315" s="106" t="str">
        <f>'Funding 2019'!$K$97</f>
        <v>CGMM2019W205</v>
      </c>
      <c r="C315" s="355"/>
      <c r="D315" s="355"/>
      <c r="E315" s="152"/>
      <c r="F315" s="153"/>
      <c r="G315" s="153"/>
      <c r="H315" s="153"/>
      <c r="I315" s="366">
        <f t="shared" si="8"/>
        <v>0</v>
      </c>
      <c r="J315" t="str">
        <f t="shared" si="9"/>
        <v/>
      </c>
    </row>
    <row r="316" spans="1:10" x14ac:dyDescent="0.25">
      <c r="A316" s="151">
        <v>5</v>
      </c>
      <c r="B316" s="106" t="str">
        <f>'Funding 2019'!$K$20</f>
        <v>CGMMMTW19001</v>
      </c>
      <c r="C316" s="355">
        <v>2100011632</v>
      </c>
      <c r="D316" s="355">
        <v>4500134790</v>
      </c>
      <c r="E316" s="167" t="s">
        <v>400</v>
      </c>
      <c r="F316" s="166">
        <f>23548000*0</f>
        <v>0</v>
      </c>
      <c r="G316" s="166"/>
      <c r="H316" s="166">
        <v>23548000</v>
      </c>
      <c r="I316" s="366">
        <f t="shared" si="8"/>
        <v>1451.6089261496734</v>
      </c>
      <c r="J316" t="str">
        <f t="shared" si="9"/>
        <v>21000</v>
      </c>
    </row>
    <row r="317" spans="1:10" x14ac:dyDescent="0.25">
      <c r="A317" s="151">
        <v>25</v>
      </c>
      <c r="B317" s="106" t="str">
        <f>'Funding 2019'!$K$87</f>
        <v>CGMM2019V167</v>
      </c>
      <c r="C317" s="355">
        <v>2100011553</v>
      </c>
      <c r="D317" s="355">
        <v>4500134547</v>
      </c>
      <c r="E317" s="152" t="s">
        <v>308</v>
      </c>
      <c r="F317" s="166"/>
      <c r="G317" s="354">
        <f>22478670*0</f>
        <v>0</v>
      </c>
      <c r="H317" s="166">
        <v>22478670</v>
      </c>
      <c r="I317" s="366">
        <f t="shared" si="8"/>
        <v>1385.6904204167181</v>
      </c>
      <c r="J317" t="str">
        <f t="shared" si="9"/>
        <v>21000</v>
      </c>
    </row>
    <row r="318" spans="1:10" x14ac:dyDescent="0.25">
      <c r="A318" s="151">
        <v>55</v>
      </c>
      <c r="B318" s="106" t="str">
        <f>'Funding 2019'!$K$87</f>
        <v>CGMM2019V167</v>
      </c>
      <c r="C318" s="355"/>
      <c r="D318" s="355" t="s">
        <v>438</v>
      </c>
      <c r="E318" s="152" t="s">
        <v>439</v>
      </c>
      <c r="F318" s="166"/>
      <c r="G318" s="166">
        <f>22478670*0</f>
        <v>0</v>
      </c>
      <c r="H318" s="166">
        <v>22478670</v>
      </c>
      <c r="I318" s="366">
        <f t="shared" si="8"/>
        <v>1385.6904204167181</v>
      </c>
      <c r="J318" t="str">
        <f t="shared" si="9"/>
        <v>45001</v>
      </c>
    </row>
    <row r="319" spans="1:10" hidden="1" x14ac:dyDescent="0.25">
      <c r="A319" s="151">
        <v>5</v>
      </c>
      <c r="B319" s="106" t="str">
        <f>'Funding 2019'!$K$98</f>
        <v>CGMM2019X253</v>
      </c>
      <c r="C319" s="355"/>
      <c r="D319" s="355"/>
      <c r="E319" s="152"/>
      <c r="F319" s="153"/>
      <c r="G319" s="153"/>
      <c r="H319" s="153"/>
      <c r="I319" s="366">
        <f t="shared" si="8"/>
        <v>0</v>
      </c>
      <c r="J319" t="str">
        <f t="shared" si="9"/>
        <v/>
      </c>
    </row>
    <row r="320" spans="1:10" hidden="1" x14ac:dyDescent="0.25">
      <c r="A320" s="151">
        <v>6</v>
      </c>
      <c r="B320" s="106" t="str">
        <f>'Funding 2019'!$K$98</f>
        <v>CGMM2019X253</v>
      </c>
      <c r="C320" s="355"/>
      <c r="D320" s="355"/>
      <c r="E320" s="152"/>
      <c r="F320" s="153"/>
      <c r="G320" s="153"/>
      <c r="H320" s="153"/>
      <c r="I320" s="366">
        <f t="shared" si="8"/>
        <v>0</v>
      </c>
      <c r="J320" t="str">
        <f t="shared" si="9"/>
        <v/>
      </c>
    </row>
    <row r="321" spans="1:10" hidden="1" x14ac:dyDescent="0.25">
      <c r="A321" s="151">
        <v>7</v>
      </c>
      <c r="B321" s="106" t="str">
        <f>'Funding 2019'!$K$98</f>
        <v>CGMM2019X253</v>
      </c>
      <c r="C321" s="355"/>
      <c r="D321" s="355"/>
      <c r="E321" s="152"/>
      <c r="F321" s="153"/>
      <c r="G321" s="153"/>
      <c r="H321" s="153"/>
      <c r="I321" s="366">
        <f t="shared" si="8"/>
        <v>0</v>
      </c>
      <c r="J321" t="str">
        <f t="shared" si="9"/>
        <v/>
      </c>
    </row>
    <row r="322" spans="1:10" x14ac:dyDescent="0.25">
      <c r="A322" s="151">
        <v>25</v>
      </c>
      <c r="B322" s="106" t="str">
        <f>'Funding 2019'!$K$106</f>
        <v>EGMM0019M264</v>
      </c>
      <c r="C322" s="355">
        <v>2100011753</v>
      </c>
      <c r="D322" s="355"/>
      <c r="E322" s="152" t="s">
        <v>635</v>
      </c>
      <c r="F322" s="183">
        <v>22450000</v>
      </c>
      <c r="G322" s="166"/>
      <c r="H322" s="166"/>
      <c r="I322" s="366">
        <f t="shared" ref="I322:I380" si="10">SUM(F322:H322)/16222</f>
        <v>1383.92306743928</v>
      </c>
      <c r="J322" t="str">
        <f t="shared" ref="J322:J380" si="11">IF(C322="",LEFT(D322,5),LEFT(C322,5))</f>
        <v>21000</v>
      </c>
    </row>
    <row r="323" spans="1:10" hidden="1" x14ac:dyDescent="0.25">
      <c r="A323" s="151">
        <v>3</v>
      </c>
      <c r="B323" s="106" t="str">
        <f>'Funding 2019'!$K$54</f>
        <v>EGMMQPC19001</v>
      </c>
      <c r="C323" s="355"/>
      <c r="D323" s="355"/>
      <c r="E323" s="152"/>
      <c r="F323" s="153"/>
      <c r="G323" s="153"/>
      <c r="H323" s="153"/>
      <c r="I323" s="366">
        <f t="shared" si="10"/>
        <v>0</v>
      </c>
      <c r="J323" t="str">
        <f t="shared" si="11"/>
        <v/>
      </c>
    </row>
    <row r="324" spans="1:10" hidden="1" x14ac:dyDescent="0.25">
      <c r="A324" s="151">
        <v>4</v>
      </c>
      <c r="B324" s="106" t="str">
        <f>'Funding 2019'!$K$54</f>
        <v>EGMMQPC19001</v>
      </c>
      <c r="C324" s="355"/>
      <c r="D324" s="355"/>
      <c r="E324" s="152"/>
      <c r="F324" s="153"/>
      <c r="G324" s="153"/>
      <c r="H324" s="153"/>
      <c r="I324" s="366">
        <f t="shared" si="10"/>
        <v>0</v>
      </c>
      <c r="J324" t="str">
        <f t="shared" si="11"/>
        <v/>
      </c>
    </row>
    <row r="325" spans="1:10" hidden="1" x14ac:dyDescent="0.25">
      <c r="A325" s="151">
        <v>2</v>
      </c>
      <c r="B325" s="106" t="str">
        <f>'Funding 2019'!$K$72</f>
        <v>EGMMEPC19001</v>
      </c>
      <c r="C325" s="357">
        <v>5500011753</v>
      </c>
      <c r="D325" s="357"/>
      <c r="E325" s="284" t="s">
        <v>398</v>
      </c>
      <c r="F325" s="285">
        <f>9493450*0</f>
        <v>0</v>
      </c>
      <c r="G325" s="285"/>
      <c r="H325" s="280"/>
      <c r="I325" s="366">
        <f t="shared" si="10"/>
        <v>0</v>
      </c>
      <c r="J325" t="str">
        <f t="shared" si="11"/>
        <v>55000</v>
      </c>
    </row>
    <row r="326" spans="1:10" hidden="1" x14ac:dyDescent="0.25">
      <c r="A326" s="151">
        <v>3</v>
      </c>
      <c r="B326" s="106" t="str">
        <f>'Funding 2019'!$K$72</f>
        <v>EGMMEPC19001</v>
      </c>
      <c r="C326" s="355">
        <v>5500011356</v>
      </c>
      <c r="D326" s="355"/>
      <c r="E326" s="152" t="s">
        <v>397</v>
      </c>
      <c r="F326" s="153"/>
      <c r="G326" s="153"/>
      <c r="H326" s="183">
        <v>15000000</v>
      </c>
      <c r="I326" s="366">
        <f t="shared" si="10"/>
        <v>924.67020096165697</v>
      </c>
      <c r="J326" t="str">
        <f t="shared" si="11"/>
        <v>55000</v>
      </c>
    </row>
    <row r="327" spans="1:10" x14ac:dyDescent="0.25">
      <c r="A327" s="151">
        <v>71</v>
      </c>
      <c r="B327" s="106" t="str">
        <f>'Funding 2019'!$K$87</f>
        <v>CGMM2019V167</v>
      </c>
      <c r="C327" s="355">
        <v>2100011727</v>
      </c>
      <c r="D327" s="355">
        <v>4500135100</v>
      </c>
      <c r="E327" s="152" t="s">
        <v>589</v>
      </c>
      <c r="F327" s="166">
        <f>24000000*0</f>
        <v>0</v>
      </c>
      <c r="G327" s="166">
        <f>0*21600000</f>
        <v>0</v>
      </c>
      <c r="H327" s="166">
        <v>21600000</v>
      </c>
      <c r="I327" s="366">
        <f t="shared" si="10"/>
        <v>1331.525089384786</v>
      </c>
      <c r="J327" t="str">
        <f t="shared" si="11"/>
        <v>21000</v>
      </c>
    </row>
    <row r="328" spans="1:10" x14ac:dyDescent="0.25">
      <c r="A328" s="151">
        <v>47</v>
      </c>
      <c r="B328" s="106" t="str">
        <f>'Funding 2019'!$K$87</f>
        <v>CGMM2019V167</v>
      </c>
      <c r="C328" s="355">
        <v>2100011622</v>
      </c>
      <c r="D328" s="355" t="s">
        <v>380</v>
      </c>
      <c r="E328" s="152" t="s">
        <v>381</v>
      </c>
      <c r="F328" s="166"/>
      <c r="G328" s="166">
        <f>20900000*0</f>
        <v>0</v>
      </c>
      <c r="H328" s="166">
        <v>20900000</v>
      </c>
      <c r="I328" s="366">
        <f t="shared" si="10"/>
        <v>1288.3738133399088</v>
      </c>
      <c r="J328" t="str">
        <f t="shared" si="11"/>
        <v>21000</v>
      </c>
    </row>
    <row r="329" spans="1:10" hidden="1" x14ac:dyDescent="0.25">
      <c r="A329" s="151">
        <v>6</v>
      </c>
      <c r="B329" s="106" t="str">
        <f>'Funding 2019'!$K$72</f>
        <v>EGMMEPC19001</v>
      </c>
      <c r="C329" s="355"/>
      <c r="D329" s="355"/>
      <c r="E329" s="152" t="s">
        <v>478</v>
      </c>
      <c r="F329" s="153"/>
      <c r="G329" s="153"/>
      <c r="H329" s="183">
        <v>9394700</v>
      </c>
      <c r="I329" s="366">
        <f t="shared" si="10"/>
        <v>579.13327579829865</v>
      </c>
      <c r="J329" t="str">
        <f t="shared" si="11"/>
        <v/>
      </c>
    </row>
    <row r="330" spans="1:10" hidden="1" x14ac:dyDescent="0.25">
      <c r="A330" s="151">
        <v>7</v>
      </c>
      <c r="B330" s="106" t="str">
        <f>'Funding 2019'!$K$72</f>
        <v>EGMMEPC19001</v>
      </c>
      <c r="C330" s="355"/>
      <c r="D330" s="355"/>
      <c r="E330" s="152" t="s">
        <v>479</v>
      </c>
      <c r="F330" s="153"/>
      <c r="G330" s="153"/>
      <c r="H330" s="183">
        <v>290880</v>
      </c>
      <c r="I330" s="366">
        <f t="shared" si="10"/>
        <v>17.931204537048451</v>
      </c>
      <c r="J330" t="str">
        <f t="shared" si="11"/>
        <v/>
      </c>
    </row>
    <row r="331" spans="1:10" hidden="1" x14ac:dyDescent="0.25">
      <c r="A331" s="151">
        <v>8</v>
      </c>
      <c r="B331" s="106" t="str">
        <f>'Funding 2019'!$K$72</f>
        <v>EGMMEPC19001</v>
      </c>
      <c r="C331" s="355">
        <v>3100007353</v>
      </c>
      <c r="D331" s="355"/>
      <c r="E331" s="106" t="s">
        <v>493</v>
      </c>
      <c r="F331" s="183"/>
      <c r="G331" s="153"/>
      <c r="H331" s="287">
        <f>6018793+2453465</f>
        <v>8472258</v>
      </c>
      <c r="I331" s="366">
        <f t="shared" si="10"/>
        <v>522.26963383060047</v>
      </c>
      <c r="J331" t="str">
        <f t="shared" si="11"/>
        <v>31000</v>
      </c>
    </row>
    <row r="332" spans="1:10" hidden="1" x14ac:dyDescent="0.25">
      <c r="A332" s="151">
        <v>9</v>
      </c>
      <c r="B332" s="106" t="str">
        <f>'Funding 2019'!$K$72</f>
        <v>EGMMEPC19001</v>
      </c>
      <c r="C332" s="355">
        <v>3100007347</v>
      </c>
      <c r="D332" s="355"/>
      <c r="E332" s="152" t="s">
        <v>494</v>
      </c>
      <c r="F332" s="183">
        <v>150000</v>
      </c>
      <c r="G332" s="153"/>
      <c r="H332" s="153"/>
      <c r="I332" s="366">
        <f t="shared" si="10"/>
        <v>9.2467020096165697</v>
      </c>
      <c r="J332" t="str">
        <f t="shared" si="11"/>
        <v>31000</v>
      </c>
    </row>
    <row r="333" spans="1:10" hidden="1" x14ac:dyDescent="0.25">
      <c r="A333" s="151">
        <v>10</v>
      </c>
      <c r="B333" s="106" t="str">
        <f>'Funding 2019'!$K$72</f>
        <v>EGMMEPC19001</v>
      </c>
      <c r="C333" s="355">
        <v>5500011865</v>
      </c>
      <c r="D333" s="355"/>
      <c r="E333" s="152" t="s">
        <v>647</v>
      </c>
      <c r="F333" s="183">
        <v>2049000</v>
      </c>
      <c r="G333" s="153"/>
      <c r="H333" s="153"/>
      <c r="I333" s="366">
        <f t="shared" si="10"/>
        <v>126.30994945136234</v>
      </c>
      <c r="J333" t="str">
        <f t="shared" si="11"/>
        <v>55000</v>
      </c>
    </row>
    <row r="334" spans="1:10" hidden="1" x14ac:dyDescent="0.25">
      <c r="A334" s="151">
        <v>11</v>
      </c>
      <c r="B334" s="106" t="str">
        <f>'Funding 2019'!$K$72</f>
        <v>EGMMEPC19001</v>
      </c>
      <c r="C334" s="355"/>
      <c r="D334" s="355"/>
      <c r="E334" s="152" t="s">
        <v>723</v>
      </c>
      <c r="F334" s="153"/>
      <c r="G334" s="153"/>
      <c r="H334" s="183">
        <v>94920000</v>
      </c>
      <c r="I334" s="366">
        <f t="shared" si="10"/>
        <v>5851.3130316853658</v>
      </c>
      <c r="J334" t="str">
        <f t="shared" si="11"/>
        <v/>
      </c>
    </row>
    <row r="335" spans="1:10" hidden="1" x14ac:dyDescent="0.25">
      <c r="A335" s="151">
        <v>12</v>
      </c>
      <c r="B335" s="106" t="str">
        <f>'Funding 2019'!$K$72</f>
        <v>EGMMEPC19001</v>
      </c>
      <c r="C335" s="359"/>
      <c r="D335" s="355">
        <v>121235484</v>
      </c>
      <c r="E335" s="152" t="s">
        <v>778</v>
      </c>
      <c r="F335" s="153"/>
      <c r="G335" s="153"/>
      <c r="H335" s="153">
        <v>24605000</v>
      </c>
      <c r="I335" s="366">
        <f t="shared" si="10"/>
        <v>1516.7673529774381</v>
      </c>
      <c r="J335" t="str">
        <f t="shared" si="11"/>
        <v>12123</v>
      </c>
    </row>
    <row r="336" spans="1:10" x14ac:dyDescent="0.25">
      <c r="A336" s="151">
        <v>14</v>
      </c>
      <c r="B336" s="106" t="str">
        <f>'Funding 2019'!$K$91</f>
        <v>CGMM2019M264</v>
      </c>
      <c r="C336" s="355">
        <v>2100011603</v>
      </c>
      <c r="D336" s="355">
        <v>4500134668</v>
      </c>
      <c r="E336" s="152" t="s">
        <v>366</v>
      </c>
      <c r="F336" s="166"/>
      <c r="G336" s="166"/>
      <c r="H336" s="171">
        <v>20253600</v>
      </c>
      <c r="I336" s="366">
        <f t="shared" si="10"/>
        <v>1248.5266921464677</v>
      </c>
      <c r="J336" t="str">
        <f t="shared" si="11"/>
        <v>21000</v>
      </c>
    </row>
    <row r="337" spans="1:10" hidden="1" x14ac:dyDescent="0.25">
      <c r="A337" s="151">
        <v>14</v>
      </c>
      <c r="B337" s="106" t="str">
        <f>'Funding 2019'!$K$72</f>
        <v>EGMMEPC19001</v>
      </c>
      <c r="C337" s="355"/>
      <c r="D337" s="355"/>
      <c r="E337" s="152"/>
      <c r="F337" s="153"/>
      <c r="G337" s="153"/>
      <c r="H337" s="153"/>
      <c r="I337" s="366">
        <f t="shared" si="10"/>
        <v>0</v>
      </c>
      <c r="J337" t="str">
        <f t="shared" si="11"/>
        <v/>
      </c>
    </row>
    <row r="338" spans="1:10" hidden="1" x14ac:dyDescent="0.25">
      <c r="A338" s="151">
        <v>1</v>
      </c>
      <c r="B338" s="106" t="str">
        <f>'Funding 2019'!$K$73</f>
        <v>EGMMEPC19002</v>
      </c>
      <c r="C338" s="355">
        <v>5300000194</v>
      </c>
      <c r="D338" s="355">
        <v>4500134438</v>
      </c>
      <c r="E338" s="152" t="s">
        <v>278</v>
      </c>
      <c r="F338" s="166">
        <f>713819200*0</f>
        <v>0</v>
      </c>
      <c r="G338" s="166">
        <f>703704000*0</f>
        <v>0</v>
      </c>
      <c r="H338" s="166">
        <v>595043604</v>
      </c>
      <c r="I338" s="366">
        <f t="shared" si="10"/>
        <v>36681.27259277524</v>
      </c>
      <c r="J338" t="str">
        <f t="shared" si="11"/>
        <v>53000</v>
      </c>
    </row>
    <row r="339" spans="1:10" x14ac:dyDescent="0.25">
      <c r="A339" s="151">
        <v>11</v>
      </c>
      <c r="B339" s="106" t="str">
        <f>'Funding 2019'!$K$61</f>
        <v>CGMMPRD19000</v>
      </c>
      <c r="C339" s="355">
        <v>2100011770</v>
      </c>
      <c r="D339" s="355">
        <v>4500135252</v>
      </c>
      <c r="E339" s="152" t="s">
        <v>705</v>
      </c>
      <c r="F339" s="153"/>
      <c r="G339" s="153">
        <v>3485000</v>
      </c>
      <c r="H339" s="171">
        <v>16580000</v>
      </c>
      <c r="I339" s="366">
        <f t="shared" si="10"/>
        <v>1236.9005054863765</v>
      </c>
      <c r="J339" t="str">
        <f t="shared" si="11"/>
        <v>21000</v>
      </c>
    </row>
    <row r="340" spans="1:10" x14ac:dyDescent="0.25">
      <c r="A340" s="151">
        <v>21</v>
      </c>
      <c r="B340" s="106" t="str">
        <f>'Funding 2019'!$K$91</f>
        <v>CGMM2019M264</v>
      </c>
      <c r="C340" s="355">
        <v>2100011741</v>
      </c>
      <c r="D340" s="355">
        <v>4500135142</v>
      </c>
      <c r="E340" s="152" t="s">
        <v>618</v>
      </c>
      <c r="F340" s="166">
        <f>20000000*0</f>
        <v>0</v>
      </c>
      <c r="G340" s="166"/>
      <c r="H340" s="171">
        <v>18000000</v>
      </c>
      <c r="I340" s="366">
        <f t="shared" si="10"/>
        <v>1109.6042411539884</v>
      </c>
      <c r="J340" t="str">
        <f t="shared" si="11"/>
        <v>21000</v>
      </c>
    </row>
    <row r="341" spans="1:10" x14ac:dyDescent="0.25">
      <c r="A341" s="151">
        <v>7</v>
      </c>
      <c r="B341" s="106" t="str">
        <f>'Funding 2019'!$K$37</f>
        <v>CGMMMTW19003</v>
      </c>
      <c r="C341" s="355">
        <v>2500003641</v>
      </c>
      <c r="D341" s="355">
        <v>4500135105</v>
      </c>
      <c r="E341" s="152" t="s">
        <v>590</v>
      </c>
      <c r="F341" s="166">
        <f>19750000*0</f>
        <v>0</v>
      </c>
      <c r="G341" s="166">
        <v>17775000</v>
      </c>
      <c r="H341" s="166"/>
      <c r="I341" s="366">
        <f t="shared" si="10"/>
        <v>1095.7341881395635</v>
      </c>
      <c r="J341" t="str">
        <f t="shared" si="11"/>
        <v>25000</v>
      </c>
    </row>
    <row r="342" spans="1:10" x14ac:dyDescent="0.25">
      <c r="A342" s="151">
        <v>23</v>
      </c>
      <c r="B342" s="106" t="str">
        <f>'Funding 2019'!$K$108</f>
        <v>EGMM0019V167</v>
      </c>
      <c r="C342" s="355">
        <v>2500003567</v>
      </c>
      <c r="D342" s="355">
        <v>4500134676</v>
      </c>
      <c r="E342" s="152" t="s">
        <v>382</v>
      </c>
      <c r="F342" s="166"/>
      <c r="G342" s="166">
        <f>17600000*0</f>
        <v>0</v>
      </c>
      <c r="H342" s="334">
        <v>17600000</v>
      </c>
      <c r="I342" s="366">
        <f t="shared" si="10"/>
        <v>1084.9463691283443</v>
      </c>
      <c r="J342" t="str">
        <f t="shared" si="11"/>
        <v>25000</v>
      </c>
    </row>
    <row r="343" spans="1:10" hidden="1" x14ac:dyDescent="0.25">
      <c r="A343" s="151">
        <v>6</v>
      </c>
      <c r="B343" s="106" t="str">
        <f>'Funding 2019'!$K$73</f>
        <v>EGMMEPC19002</v>
      </c>
      <c r="C343" s="355"/>
      <c r="D343" s="355">
        <v>7500000631</v>
      </c>
      <c r="E343" s="152" t="s">
        <v>339</v>
      </c>
      <c r="F343" s="166"/>
      <c r="G343" s="166">
        <f>25713500*0</f>
        <v>0</v>
      </c>
      <c r="H343" s="166">
        <v>25713500</v>
      </c>
      <c r="I343" s="366">
        <f t="shared" si="10"/>
        <v>1585.1004808285045</v>
      </c>
      <c r="J343" t="str">
        <f t="shared" si="11"/>
        <v>75000</v>
      </c>
    </row>
    <row r="344" spans="1:10" x14ac:dyDescent="0.25">
      <c r="A344" s="151">
        <v>46</v>
      </c>
      <c r="B344" s="106" t="str">
        <f>'Funding 2019'!$K$108</f>
        <v>EGMM0019V167</v>
      </c>
      <c r="C344" s="355">
        <v>2100011780</v>
      </c>
      <c r="D344" s="355">
        <v>4500135240</v>
      </c>
      <c r="E344" s="152" t="s">
        <v>738</v>
      </c>
      <c r="F344" s="166">
        <f>20000000*0</f>
        <v>0</v>
      </c>
      <c r="G344" s="334">
        <v>17200000</v>
      </c>
      <c r="H344" s="166"/>
      <c r="I344" s="366">
        <f t="shared" si="10"/>
        <v>1060.2884971027001</v>
      </c>
      <c r="J344" t="str">
        <f t="shared" si="11"/>
        <v>21000</v>
      </c>
    </row>
    <row r="345" spans="1:10" hidden="1" x14ac:dyDescent="0.25">
      <c r="A345" s="151">
        <v>9</v>
      </c>
      <c r="B345" s="106" t="str">
        <f>'Funding 2019'!$K$73</f>
        <v>EGMMEPC19002</v>
      </c>
      <c r="C345" s="355"/>
      <c r="D345" s="355" t="s">
        <v>460</v>
      </c>
      <c r="E345" s="152" t="s">
        <v>461</v>
      </c>
      <c r="F345" s="166"/>
      <c r="G345" s="166"/>
      <c r="H345" s="166">
        <v>3708000</v>
      </c>
      <c r="I345" s="366">
        <f t="shared" si="10"/>
        <v>228.5784736777216</v>
      </c>
      <c r="J345" t="str">
        <f t="shared" si="11"/>
        <v>75000</v>
      </c>
    </row>
    <row r="346" spans="1:10" x14ac:dyDescent="0.25">
      <c r="A346" s="151">
        <v>76</v>
      </c>
      <c r="B346" s="106" t="str">
        <f>'Funding 2019'!$K$87</f>
        <v>CGMM2019V167</v>
      </c>
      <c r="C346" s="355">
        <v>2100011739</v>
      </c>
      <c r="D346" s="355">
        <v>4500135127</v>
      </c>
      <c r="E346" s="152" t="s">
        <v>620</v>
      </c>
      <c r="F346" s="166">
        <f>18102960*0</f>
        <v>0</v>
      </c>
      <c r="G346" s="166"/>
      <c r="H346" s="166">
        <v>16370172</v>
      </c>
      <c r="I346" s="366">
        <f t="shared" si="10"/>
        <v>1009.1340155344594</v>
      </c>
      <c r="J346" t="str">
        <f t="shared" si="11"/>
        <v>21000</v>
      </c>
    </row>
    <row r="347" spans="1:10" hidden="1" x14ac:dyDescent="0.25">
      <c r="A347" s="151">
        <v>12</v>
      </c>
      <c r="B347" s="106" t="str">
        <f>'Funding 2019'!$K$73</f>
        <v>EGMMEPC19002</v>
      </c>
      <c r="C347" s="355">
        <v>4400000974</v>
      </c>
      <c r="D347" s="355">
        <v>7500000930</v>
      </c>
      <c r="E347" s="152" t="s">
        <v>691</v>
      </c>
      <c r="F347" s="166"/>
      <c r="G347" s="166"/>
      <c r="H347" s="166">
        <v>800000</v>
      </c>
      <c r="I347" s="366">
        <f t="shared" si="10"/>
        <v>49.315744051288377</v>
      </c>
      <c r="J347" t="str">
        <f t="shared" si="11"/>
        <v>44000</v>
      </c>
    </row>
    <row r="348" spans="1:10" hidden="1" x14ac:dyDescent="0.25">
      <c r="A348" s="151">
        <v>13</v>
      </c>
      <c r="B348" s="106" t="str">
        <f>'Funding 2019'!$K$73</f>
        <v>EGMMEPC19002</v>
      </c>
      <c r="C348" s="355"/>
      <c r="D348" s="355"/>
      <c r="E348" s="152"/>
      <c r="F348" s="153"/>
      <c r="G348" s="166"/>
      <c r="H348" s="166"/>
      <c r="I348" s="366">
        <f t="shared" si="10"/>
        <v>0</v>
      </c>
      <c r="J348" t="str">
        <f t="shared" si="11"/>
        <v/>
      </c>
    </row>
    <row r="349" spans="1:10" hidden="1" x14ac:dyDescent="0.25">
      <c r="A349" s="151">
        <v>14</v>
      </c>
      <c r="B349" s="106" t="str">
        <f>'Funding 2019'!$K$73</f>
        <v>EGMMEPC19002</v>
      </c>
      <c r="C349" s="355"/>
      <c r="D349" s="355"/>
      <c r="E349" s="152"/>
      <c r="F349" s="153"/>
      <c r="G349" s="166"/>
      <c r="H349" s="166"/>
      <c r="I349" s="366">
        <f t="shared" si="10"/>
        <v>0</v>
      </c>
      <c r="J349" t="str">
        <f t="shared" si="11"/>
        <v/>
      </c>
    </row>
    <row r="350" spans="1:10" hidden="1" x14ac:dyDescent="0.25">
      <c r="A350" s="151">
        <v>15</v>
      </c>
      <c r="B350" s="106" t="str">
        <f>'Funding 2019'!$K$73</f>
        <v>EGMMEPC19002</v>
      </c>
      <c r="C350" s="355"/>
      <c r="D350" s="355"/>
      <c r="E350" s="152"/>
      <c r="F350" s="153"/>
      <c r="G350" s="166"/>
      <c r="H350" s="166"/>
      <c r="I350" s="366">
        <f t="shared" si="10"/>
        <v>0</v>
      </c>
      <c r="J350" t="str">
        <f t="shared" si="11"/>
        <v/>
      </c>
    </row>
    <row r="351" spans="1:10" hidden="1" x14ac:dyDescent="0.25">
      <c r="A351" s="151">
        <v>16</v>
      </c>
      <c r="B351" s="106" t="str">
        <f>'Funding 2019'!$K$73</f>
        <v>EGMMEPC19002</v>
      </c>
      <c r="C351" s="355"/>
      <c r="D351" s="355"/>
      <c r="E351" s="152"/>
      <c r="F351" s="153"/>
      <c r="G351" s="153"/>
      <c r="H351" s="153"/>
      <c r="I351" s="366">
        <f t="shared" si="10"/>
        <v>0</v>
      </c>
      <c r="J351" t="str">
        <f t="shared" si="11"/>
        <v/>
      </c>
    </row>
    <row r="352" spans="1:10" hidden="1" x14ac:dyDescent="0.25">
      <c r="A352" s="151">
        <v>17</v>
      </c>
      <c r="B352" s="106" t="str">
        <f>'Funding 2019'!$K$73</f>
        <v>EGMMEPC19002</v>
      </c>
      <c r="C352" s="355"/>
      <c r="D352" s="355"/>
      <c r="E352" s="152"/>
      <c r="F352" s="153"/>
      <c r="G352" s="153"/>
      <c r="H352" s="153"/>
      <c r="I352" s="366">
        <f t="shared" si="10"/>
        <v>0</v>
      </c>
      <c r="J352" t="str">
        <f t="shared" si="11"/>
        <v/>
      </c>
    </row>
    <row r="353" spans="1:10" hidden="1" x14ac:dyDescent="0.25">
      <c r="A353" s="151">
        <v>18</v>
      </c>
      <c r="B353" s="106" t="str">
        <f>'Funding 2019'!$K$73</f>
        <v>EGMMEPC19002</v>
      </c>
      <c r="C353" s="355"/>
      <c r="D353" s="355"/>
      <c r="E353" s="152"/>
      <c r="F353" s="153"/>
      <c r="G353" s="153"/>
      <c r="H353" s="153"/>
      <c r="I353" s="366">
        <f t="shared" si="10"/>
        <v>0</v>
      </c>
      <c r="J353" t="str">
        <f t="shared" si="11"/>
        <v/>
      </c>
    </row>
    <row r="354" spans="1:10" hidden="1" x14ac:dyDescent="0.25">
      <c r="A354" s="151">
        <v>19</v>
      </c>
      <c r="B354" s="106" t="str">
        <f>'Funding 2019'!$K$73</f>
        <v>EGMMEPC19002</v>
      </c>
      <c r="C354" s="355"/>
      <c r="D354" s="355"/>
      <c r="E354" s="152"/>
      <c r="F354" s="153"/>
      <c r="G354" s="153"/>
      <c r="H354" s="153"/>
      <c r="I354" s="366">
        <f t="shared" si="10"/>
        <v>0</v>
      </c>
      <c r="J354" t="str">
        <f t="shared" si="11"/>
        <v/>
      </c>
    </row>
    <row r="355" spans="1:10" hidden="1" x14ac:dyDescent="0.25">
      <c r="A355" s="151">
        <v>1</v>
      </c>
      <c r="B355" s="106" t="str">
        <f>'Funding 2019'!$K$76</f>
        <v>EGMMENG19001</v>
      </c>
      <c r="C355" s="355"/>
      <c r="D355" s="355"/>
      <c r="E355" s="152"/>
      <c r="F355" s="153"/>
      <c r="G355" s="153"/>
      <c r="H355" s="153"/>
      <c r="I355" s="366">
        <f t="shared" si="10"/>
        <v>0</v>
      </c>
      <c r="J355" t="str">
        <f t="shared" si="11"/>
        <v/>
      </c>
    </row>
    <row r="356" spans="1:10" hidden="1" x14ac:dyDescent="0.25">
      <c r="A356" s="151">
        <v>2</v>
      </c>
      <c r="B356" s="106" t="str">
        <f>'Funding 2019'!$K$76</f>
        <v>EGMMENG19001</v>
      </c>
      <c r="C356" s="355"/>
      <c r="D356" s="355"/>
      <c r="E356" s="152"/>
      <c r="F356" s="153"/>
      <c r="G356" s="153"/>
      <c r="H356" s="153"/>
      <c r="I356" s="366">
        <f t="shared" si="10"/>
        <v>0</v>
      </c>
      <c r="J356" t="str">
        <f t="shared" si="11"/>
        <v/>
      </c>
    </row>
    <row r="357" spans="1:10" hidden="1" x14ac:dyDescent="0.25">
      <c r="A357" s="151">
        <v>3</v>
      </c>
      <c r="B357" s="106" t="str">
        <f>'Funding 2019'!$K$76</f>
        <v>EGMMENG19001</v>
      </c>
      <c r="C357" s="355"/>
      <c r="D357" s="355"/>
      <c r="E357" s="152"/>
      <c r="F357" s="153"/>
      <c r="G357" s="153"/>
      <c r="H357" s="153"/>
      <c r="I357" s="366">
        <f t="shared" si="10"/>
        <v>0</v>
      </c>
      <c r="J357" t="str">
        <f t="shared" si="11"/>
        <v/>
      </c>
    </row>
    <row r="358" spans="1:10" hidden="1" x14ac:dyDescent="0.25">
      <c r="A358" s="151">
        <v>4</v>
      </c>
      <c r="B358" s="106" t="str">
        <f>'Funding 2019'!$K$76</f>
        <v>EGMMENG19001</v>
      </c>
      <c r="C358" s="355"/>
      <c r="D358" s="355"/>
      <c r="E358" s="152"/>
      <c r="F358" s="153"/>
      <c r="G358" s="153"/>
      <c r="H358" s="153"/>
      <c r="I358" s="366">
        <f t="shared" si="10"/>
        <v>0</v>
      </c>
      <c r="J358" t="str">
        <f t="shared" si="11"/>
        <v/>
      </c>
    </row>
    <row r="359" spans="1:10" x14ac:dyDescent="0.25">
      <c r="A359" s="151">
        <v>46</v>
      </c>
      <c r="B359" s="106" t="str">
        <f>'Funding 2019'!$K$87</f>
        <v>CGMM2019V167</v>
      </c>
      <c r="C359" s="355">
        <v>2100011623</v>
      </c>
      <c r="D359" s="355" t="s">
        <v>378</v>
      </c>
      <c r="E359" s="152" t="s">
        <v>379</v>
      </c>
      <c r="F359" s="166"/>
      <c r="G359" s="166">
        <f>15880000*0</f>
        <v>0</v>
      </c>
      <c r="H359" s="166">
        <v>15880000</v>
      </c>
      <c r="I359" s="366">
        <f t="shared" si="10"/>
        <v>978.91751941807422</v>
      </c>
      <c r="J359" t="str">
        <f t="shared" si="11"/>
        <v>21000</v>
      </c>
    </row>
    <row r="360" spans="1:10" x14ac:dyDescent="0.25">
      <c r="A360" s="151">
        <v>37</v>
      </c>
      <c r="B360" s="106" t="str">
        <f>'Funding 2019'!$K$108</f>
        <v>EGMM0019V167</v>
      </c>
      <c r="C360" s="355">
        <v>2100011681</v>
      </c>
      <c r="D360" s="355">
        <v>4500134932</v>
      </c>
      <c r="E360" s="152" t="s">
        <v>536</v>
      </c>
      <c r="F360" s="166"/>
      <c r="G360" s="166"/>
      <c r="H360" s="334">
        <v>15300000</v>
      </c>
      <c r="I360" s="366">
        <f t="shared" si="10"/>
        <v>943.16360498089011</v>
      </c>
      <c r="J360" t="str">
        <f t="shared" si="11"/>
        <v>21000</v>
      </c>
    </row>
    <row r="361" spans="1:10" hidden="1" x14ac:dyDescent="0.25">
      <c r="A361" s="151">
        <v>3</v>
      </c>
      <c r="B361" s="106" t="str">
        <f>'Funding 2019'!$K$77</f>
        <v>EGMMENG19002</v>
      </c>
      <c r="C361" s="355"/>
      <c r="D361" s="355"/>
      <c r="E361" s="152"/>
      <c r="F361" s="153"/>
      <c r="G361" s="153"/>
      <c r="H361" s="153"/>
      <c r="I361" s="366">
        <f t="shared" si="10"/>
        <v>0</v>
      </c>
      <c r="J361" t="str">
        <f t="shared" si="11"/>
        <v/>
      </c>
    </row>
    <row r="362" spans="1:10" hidden="1" x14ac:dyDescent="0.25">
      <c r="A362" s="151">
        <v>4</v>
      </c>
      <c r="B362" s="106" t="str">
        <f>'Funding 2019'!$K$77</f>
        <v>EGMMENG19002</v>
      </c>
      <c r="C362" s="355"/>
      <c r="D362" s="355"/>
      <c r="E362" s="152"/>
      <c r="F362" s="153"/>
      <c r="G362" s="153"/>
      <c r="H362" s="153"/>
      <c r="I362" s="366">
        <f t="shared" si="10"/>
        <v>0</v>
      </c>
      <c r="J362" t="str">
        <f t="shared" si="11"/>
        <v/>
      </c>
    </row>
    <row r="363" spans="1:10" x14ac:dyDescent="0.25">
      <c r="A363" s="151">
        <v>1</v>
      </c>
      <c r="B363" s="106" t="str">
        <f>'Funding 2019'!$K$48</f>
        <v>CGMMMTW19007</v>
      </c>
      <c r="C363" s="355">
        <v>2100011584</v>
      </c>
      <c r="D363" s="355">
        <v>4500134591</v>
      </c>
      <c r="E363" s="152" t="s">
        <v>345</v>
      </c>
      <c r="F363" s="153">
        <f>29890000*0</f>
        <v>0</v>
      </c>
      <c r="G363" s="153">
        <f>15195000*0</f>
        <v>0</v>
      </c>
      <c r="H363" s="153">
        <v>15195000</v>
      </c>
      <c r="I363" s="366">
        <f t="shared" si="10"/>
        <v>936.69091357415857</v>
      </c>
      <c r="J363" t="str">
        <f t="shared" si="11"/>
        <v>21000</v>
      </c>
    </row>
    <row r="364" spans="1:10" hidden="1" x14ac:dyDescent="0.25">
      <c r="A364" s="151">
        <v>2</v>
      </c>
      <c r="B364" s="106" t="str">
        <f>'Funding 2019'!$K$78</f>
        <v>CGMMENG19001</v>
      </c>
      <c r="C364" s="355"/>
      <c r="D364" s="355"/>
      <c r="E364" s="152" t="s">
        <v>811</v>
      </c>
      <c r="F364" s="153"/>
      <c r="G364" s="153"/>
      <c r="H364" s="153"/>
      <c r="I364" s="366">
        <f t="shared" si="10"/>
        <v>0</v>
      </c>
      <c r="J364" t="str">
        <f t="shared" si="11"/>
        <v/>
      </c>
    </row>
    <row r="365" spans="1:10" hidden="1" x14ac:dyDescent="0.25">
      <c r="A365" s="151">
        <v>3</v>
      </c>
      <c r="B365" s="106" t="str">
        <f>'Funding 2019'!$K$78</f>
        <v>CGMMENG19001</v>
      </c>
      <c r="C365" s="355"/>
      <c r="D365" s="355"/>
      <c r="E365" s="152" t="s">
        <v>707</v>
      </c>
      <c r="F365" s="153"/>
      <c r="G365" s="153"/>
      <c r="H365" s="153"/>
      <c r="I365" s="366">
        <f t="shared" si="10"/>
        <v>0</v>
      </c>
      <c r="J365" t="str">
        <f t="shared" si="11"/>
        <v/>
      </c>
    </row>
    <row r="366" spans="1:10" hidden="1" x14ac:dyDescent="0.25">
      <c r="A366" s="151">
        <v>4</v>
      </c>
      <c r="B366" s="106" t="str">
        <f>'Funding 2019'!$K$78</f>
        <v>CGMMENG19001</v>
      </c>
      <c r="C366" s="355"/>
      <c r="D366" s="355"/>
      <c r="E366" s="152" t="s">
        <v>708</v>
      </c>
      <c r="F366" s="153"/>
      <c r="G366" s="153"/>
      <c r="H366" s="153"/>
      <c r="I366" s="366">
        <f t="shared" si="10"/>
        <v>0</v>
      </c>
      <c r="J366" t="str">
        <f t="shared" si="11"/>
        <v/>
      </c>
    </row>
    <row r="367" spans="1:10" hidden="1" x14ac:dyDescent="0.25">
      <c r="A367" s="151">
        <v>5</v>
      </c>
      <c r="B367" s="106" t="str">
        <f>'Funding 2019'!$K$78</f>
        <v>CGMMENG19001</v>
      </c>
      <c r="C367" s="355"/>
      <c r="D367" s="355"/>
      <c r="E367" s="152"/>
      <c r="F367" s="153"/>
      <c r="G367" s="153"/>
      <c r="H367" s="153"/>
      <c r="I367" s="366">
        <f t="shared" si="10"/>
        <v>0</v>
      </c>
      <c r="J367" t="str">
        <f t="shared" si="11"/>
        <v/>
      </c>
    </row>
    <row r="368" spans="1:10" hidden="1" x14ac:dyDescent="0.25">
      <c r="A368" s="151">
        <v>6</v>
      </c>
      <c r="B368" s="106" t="str">
        <f>'Funding 2019'!$K$78</f>
        <v>CGMMENG19001</v>
      </c>
      <c r="C368" s="355"/>
      <c r="D368" s="355"/>
      <c r="E368" s="152"/>
      <c r="F368" s="153"/>
      <c r="G368" s="153"/>
      <c r="H368" s="153"/>
      <c r="I368" s="366">
        <f t="shared" si="10"/>
        <v>0</v>
      </c>
      <c r="J368" t="str">
        <f t="shared" si="11"/>
        <v/>
      </c>
    </row>
    <row r="369" spans="1:10" x14ac:dyDescent="0.25">
      <c r="A369" s="151">
        <v>2</v>
      </c>
      <c r="B369" s="106" t="str">
        <f>'Funding 2019'!$K$101</f>
        <v>EGMM0019W213</v>
      </c>
      <c r="C369" s="355">
        <v>2100011694</v>
      </c>
      <c r="D369" s="355">
        <v>4500135017</v>
      </c>
      <c r="E369" s="152" t="s">
        <v>495</v>
      </c>
      <c r="F369" s="153">
        <f>16500000*0</f>
        <v>0</v>
      </c>
      <c r="G369" s="166">
        <f>14850000*0</f>
        <v>0</v>
      </c>
      <c r="H369" s="183">
        <v>14850000</v>
      </c>
      <c r="I369" s="366">
        <f t="shared" si="10"/>
        <v>915.4234989520404</v>
      </c>
      <c r="J369" t="str">
        <f t="shared" si="11"/>
        <v>21000</v>
      </c>
    </row>
    <row r="370" spans="1:10" x14ac:dyDescent="0.25">
      <c r="A370" s="151">
        <v>4</v>
      </c>
      <c r="B370" s="106" t="str">
        <f>'Funding 2019'!$K$79</f>
        <v>CGMMENG19002</v>
      </c>
      <c r="C370" s="355">
        <v>2100011654</v>
      </c>
      <c r="D370" s="355">
        <v>4500134857</v>
      </c>
      <c r="E370" s="152" t="s">
        <v>446</v>
      </c>
      <c r="F370" s="153">
        <f>99920000*0</f>
        <v>0</v>
      </c>
      <c r="G370" s="166">
        <f>94920000*0</f>
        <v>0</v>
      </c>
      <c r="H370" s="166">
        <f>94920000*0</f>
        <v>0</v>
      </c>
      <c r="I370" s="366">
        <f t="shared" si="10"/>
        <v>0</v>
      </c>
      <c r="J370" t="str">
        <f t="shared" si="11"/>
        <v>21000</v>
      </c>
    </row>
    <row r="371" spans="1:10" x14ac:dyDescent="0.25">
      <c r="A371" s="151">
        <v>5</v>
      </c>
      <c r="B371" s="106" t="str">
        <f>'Funding 2019'!$K$79</f>
        <v>CGMMENG19002</v>
      </c>
      <c r="C371" s="355">
        <v>2100011663</v>
      </c>
      <c r="D371" s="355">
        <v>4500134899</v>
      </c>
      <c r="E371" s="152" t="s">
        <v>469</v>
      </c>
      <c r="F371" s="153"/>
      <c r="G371" s="166">
        <f>24605000*0</f>
        <v>0</v>
      </c>
      <c r="H371" s="287"/>
      <c r="I371" s="366">
        <f t="shared" si="10"/>
        <v>0</v>
      </c>
      <c r="J371" t="str">
        <f t="shared" si="11"/>
        <v>21000</v>
      </c>
    </row>
    <row r="372" spans="1:10" x14ac:dyDescent="0.25">
      <c r="A372" s="151">
        <v>16</v>
      </c>
      <c r="B372" s="106" t="str">
        <f>'Funding 2019'!$K$28</f>
        <v>CGMMMTW19002</v>
      </c>
      <c r="C372" s="357">
        <v>2100011730</v>
      </c>
      <c r="D372" s="357" t="s">
        <v>745</v>
      </c>
      <c r="E372" s="284" t="s">
        <v>596</v>
      </c>
      <c r="F372" s="166">
        <f>70000000*0</f>
        <v>0</v>
      </c>
      <c r="G372" s="166"/>
      <c r="H372" s="166"/>
      <c r="I372" s="366">
        <f t="shared" si="10"/>
        <v>0</v>
      </c>
      <c r="J372" t="str">
        <f t="shared" si="11"/>
        <v>21000</v>
      </c>
    </row>
    <row r="373" spans="1:10" x14ac:dyDescent="0.25">
      <c r="A373" s="151">
        <v>2</v>
      </c>
      <c r="B373" s="106" t="str">
        <f>'Funding 2019'!$K$96</f>
        <v>CGMM2019V222</v>
      </c>
      <c r="C373" s="357">
        <v>2100011691</v>
      </c>
      <c r="D373" s="357">
        <v>4500134998</v>
      </c>
      <c r="E373" s="284" t="s">
        <v>633</v>
      </c>
      <c r="F373" s="285">
        <f>28110000*0</f>
        <v>0</v>
      </c>
      <c r="G373" s="285">
        <f>-28110000</f>
        <v>-28110000</v>
      </c>
      <c r="H373" s="285"/>
      <c r="I373" s="366">
        <f t="shared" si="10"/>
        <v>-1732.8319566021453</v>
      </c>
      <c r="J373" t="str">
        <f t="shared" si="11"/>
        <v>21000</v>
      </c>
    </row>
    <row r="374" spans="1:10" x14ac:dyDescent="0.25">
      <c r="A374" s="151">
        <v>25</v>
      </c>
      <c r="B374" s="106" t="str">
        <f>'Funding 2019'!$K$91</f>
        <v>CGMM2019M264</v>
      </c>
      <c r="C374" s="355"/>
      <c r="D374" s="355">
        <v>4500134223</v>
      </c>
      <c r="E374" s="152" t="s">
        <v>652</v>
      </c>
      <c r="F374" s="166"/>
      <c r="G374" s="166"/>
      <c r="H374" s="171">
        <v>-389950000</v>
      </c>
      <c r="I374" s="366">
        <f t="shared" si="10"/>
        <v>-24038.342990999878</v>
      </c>
      <c r="J374" t="str">
        <f t="shared" si="11"/>
        <v>45001</v>
      </c>
    </row>
    <row r="375" spans="1:10" x14ac:dyDescent="0.25">
      <c r="A375" s="151">
        <v>17</v>
      </c>
      <c r="B375" s="106" t="str">
        <f>'Funding 2019'!$K$91</f>
        <v>CGMM2019M264</v>
      </c>
      <c r="C375" s="355"/>
      <c r="D375" s="355">
        <v>4500134095</v>
      </c>
      <c r="E375" s="152" t="s">
        <v>722</v>
      </c>
      <c r="F375" s="166"/>
      <c r="G375" s="166"/>
      <c r="H375" s="171">
        <v>-625837997</v>
      </c>
      <c r="I375" s="366">
        <f t="shared" si="10"/>
        <v>-38579.583097028728</v>
      </c>
      <c r="J375" t="str">
        <f t="shared" si="11"/>
        <v>45001</v>
      </c>
    </row>
    <row r="376" spans="1:10" hidden="1" x14ac:dyDescent="0.25">
      <c r="A376" s="151">
        <v>8</v>
      </c>
      <c r="B376" s="106" t="str">
        <f>'Funding 2019'!$K$79</f>
        <v>CGMMENG19002</v>
      </c>
      <c r="C376" s="355"/>
      <c r="D376" s="355"/>
      <c r="E376" s="152"/>
      <c r="F376" s="153"/>
      <c r="G376" s="153"/>
      <c r="H376" s="153"/>
      <c r="I376" s="366">
        <f t="shared" si="10"/>
        <v>0</v>
      </c>
      <c r="J376" t="str">
        <f t="shared" si="11"/>
        <v/>
      </c>
    </row>
    <row r="377" spans="1:10" hidden="1" x14ac:dyDescent="0.25">
      <c r="A377" s="151">
        <v>9</v>
      </c>
      <c r="B377" s="106" t="str">
        <f>'Funding 2019'!$K$79</f>
        <v>CGMMENG19002</v>
      </c>
      <c r="C377" s="355"/>
      <c r="D377" s="355"/>
      <c r="E377" s="152"/>
      <c r="F377" s="153"/>
      <c r="G377" s="153"/>
      <c r="H377" s="153"/>
      <c r="I377" s="366">
        <f t="shared" si="10"/>
        <v>0</v>
      </c>
      <c r="J377" t="str">
        <f t="shared" si="11"/>
        <v/>
      </c>
    </row>
    <row r="378" spans="1:10" hidden="1" x14ac:dyDescent="0.25">
      <c r="A378" s="151">
        <v>10</v>
      </c>
      <c r="B378" s="106" t="str">
        <f>'Funding 2019'!$K$79</f>
        <v>CGMMENG19002</v>
      </c>
      <c r="C378" s="355"/>
      <c r="D378" s="355"/>
      <c r="E378" s="152"/>
      <c r="F378" s="153"/>
      <c r="G378" s="153"/>
      <c r="H378" s="153"/>
      <c r="I378" s="366">
        <f t="shared" si="10"/>
        <v>0</v>
      </c>
      <c r="J378" t="str">
        <f t="shared" si="11"/>
        <v/>
      </c>
    </row>
    <row r="379" spans="1:10" hidden="1" x14ac:dyDescent="0.25">
      <c r="A379" s="151">
        <v>1</v>
      </c>
      <c r="B379" s="106" t="str">
        <f>'Funding 2019'!$K$101</f>
        <v>EGMM0019W213</v>
      </c>
      <c r="C379" s="355">
        <v>6100000713</v>
      </c>
      <c r="D379" s="355">
        <v>330119803</v>
      </c>
      <c r="E379" s="152" t="s">
        <v>280</v>
      </c>
      <c r="F379" s="153"/>
      <c r="G379" s="166">
        <f>11478643*0</f>
        <v>0</v>
      </c>
      <c r="H379" s="183">
        <v>17291741</v>
      </c>
      <c r="I379" s="366">
        <f t="shared" si="10"/>
        <v>1065.9438416964615</v>
      </c>
      <c r="J379" t="str">
        <f t="shared" si="11"/>
        <v>61000</v>
      </c>
    </row>
    <row r="380" spans="1:10" x14ac:dyDescent="0.25">
      <c r="A380" s="151">
        <v>26</v>
      </c>
      <c r="B380" s="106" t="str">
        <f>'Funding 2019'!$K$91</f>
        <v>CGMM2019M264</v>
      </c>
      <c r="C380" s="355">
        <v>2100011363</v>
      </c>
      <c r="D380" s="355">
        <v>4500133909</v>
      </c>
      <c r="E380" s="152" t="s">
        <v>601</v>
      </c>
      <c r="F380" s="166"/>
      <c r="G380" s="166"/>
      <c r="H380" s="171">
        <v>-4107176364</v>
      </c>
      <c r="I380" s="366">
        <f t="shared" si="10"/>
        <v>-253185.57292565651</v>
      </c>
      <c r="J380" t="str">
        <f t="shared" si="11"/>
        <v>21000</v>
      </c>
    </row>
    <row r="381" spans="1:10" hidden="1" x14ac:dyDescent="0.25">
      <c r="A381" s="151">
        <v>3</v>
      </c>
      <c r="B381" s="106" t="str">
        <f>'Funding 2019'!$K$101</f>
        <v>EGMM0019W213</v>
      </c>
      <c r="C381" s="355">
        <v>6100000778</v>
      </c>
      <c r="D381" s="355" t="s">
        <v>751</v>
      </c>
      <c r="E381" s="152" t="s">
        <v>573</v>
      </c>
      <c r="F381" s="153">
        <f>29409603*0</f>
        <v>0</v>
      </c>
      <c r="G381" s="153">
        <f>24971674*0</f>
        <v>0</v>
      </c>
      <c r="H381" s="183">
        <v>28276794</v>
      </c>
      <c r="I381" s="366">
        <f t="shared" ref="I381:I386" si="12">SUM(F381:H381)/16222</f>
        <v>1743.1139193687584</v>
      </c>
      <c r="J381" t="str">
        <f t="shared" ref="J381:J386" si="13">IF(C381="",LEFT(D381,5),LEFT(C381,5))</f>
        <v>61000</v>
      </c>
    </row>
    <row r="382" spans="1:10" hidden="1" x14ac:dyDescent="0.25">
      <c r="A382" s="151">
        <v>4</v>
      </c>
      <c r="B382" s="106" t="str">
        <f>'Funding 2019'!$K$101</f>
        <v>EGMM0019W213</v>
      </c>
      <c r="C382" s="355">
        <v>6100000780</v>
      </c>
      <c r="D382" s="355" t="s">
        <v>724</v>
      </c>
      <c r="E382" s="152" t="s">
        <v>615</v>
      </c>
      <c r="F382" s="153">
        <f>18356476*0</f>
        <v>0</v>
      </c>
      <c r="G382" s="153">
        <f>11111110*0</f>
        <v>0</v>
      </c>
      <c r="H382" s="183">
        <v>14843780</v>
      </c>
      <c r="I382" s="366">
        <f t="shared" si="12"/>
        <v>915.04006904204164</v>
      </c>
      <c r="J382" t="str">
        <f t="shared" si="13"/>
        <v>61000</v>
      </c>
    </row>
    <row r="383" spans="1:10" hidden="1" x14ac:dyDescent="0.25">
      <c r="A383" s="151">
        <v>5</v>
      </c>
      <c r="B383" s="106" t="str">
        <f>'Funding 2019'!$K$101</f>
        <v>EGMM0019W213</v>
      </c>
      <c r="C383" s="355">
        <v>5500011880</v>
      </c>
      <c r="D383" s="355"/>
      <c r="E383" s="152" t="s">
        <v>697</v>
      </c>
      <c r="F383" s="153">
        <v>1107000</v>
      </c>
      <c r="G383" s="153"/>
      <c r="H383" s="153"/>
      <c r="I383" s="366">
        <f t="shared" si="12"/>
        <v>68.240660830970285</v>
      </c>
      <c r="J383" t="str">
        <f t="shared" si="13"/>
        <v>55000</v>
      </c>
    </row>
    <row r="384" spans="1:10" hidden="1" x14ac:dyDescent="0.25">
      <c r="A384" s="151">
        <v>6</v>
      </c>
      <c r="B384" s="106" t="str">
        <f>'Funding 2019'!$K$101</f>
        <v>EGMM0019W213</v>
      </c>
      <c r="C384" s="355"/>
      <c r="D384" s="355"/>
      <c r="E384" s="152"/>
      <c r="F384" s="166"/>
      <c r="G384" s="166"/>
      <c r="H384" s="166"/>
      <c r="I384" s="366">
        <f t="shared" si="12"/>
        <v>0</v>
      </c>
      <c r="J384" t="str">
        <f t="shared" si="13"/>
        <v/>
      </c>
    </row>
    <row r="385" spans="1:10" hidden="1" x14ac:dyDescent="0.25">
      <c r="A385" s="151">
        <v>4</v>
      </c>
      <c r="B385" s="106" t="str">
        <f>'Funding 2019'!$K$106</f>
        <v>EGMM0019M264</v>
      </c>
      <c r="C385" s="355">
        <v>3100007216</v>
      </c>
      <c r="D385" s="355"/>
      <c r="E385" s="152" t="s">
        <v>283</v>
      </c>
      <c r="F385" s="166">
        <f>43200000*0</f>
        <v>0</v>
      </c>
      <c r="G385" s="166"/>
      <c r="H385" s="166">
        <v>40815672</v>
      </c>
      <c r="I385" s="366">
        <f t="shared" si="12"/>
        <v>2516.0690420416718</v>
      </c>
      <c r="J385" t="str">
        <f t="shared" si="13"/>
        <v>31000</v>
      </c>
    </row>
    <row r="386" spans="1:10" hidden="1" x14ac:dyDescent="0.25">
      <c r="A386" s="151">
        <v>5</v>
      </c>
      <c r="B386" s="106" t="str">
        <f>'Funding 2019'!$K$106</f>
        <v>EGMM0019M264</v>
      </c>
      <c r="C386" s="355">
        <v>3100007217</v>
      </c>
      <c r="D386" s="355"/>
      <c r="E386" s="152" t="s">
        <v>284</v>
      </c>
      <c r="F386" s="166">
        <f>44200000*0</f>
        <v>0</v>
      </c>
      <c r="G386" s="166"/>
      <c r="H386" s="166">
        <v>39269312</v>
      </c>
      <c r="I386" s="366">
        <f t="shared" si="12"/>
        <v>2420.7441745777342</v>
      </c>
      <c r="J386" t="str">
        <f t="shared" si="13"/>
        <v>31000</v>
      </c>
    </row>
    <row r="387" spans="1:10" hidden="1" x14ac:dyDescent="0.25">
      <c r="A387" s="151">
        <v>3</v>
      </c>
      <c r="B387" s="106" t="str">
        <f>'Funding 2019'!$K$102</f>
        <v>EGMM0019V222</v>
      </c>
      <c r="C387" s="355">
        <v>61000000766</v>
      </c>
      <c r="D387" s="355"/>
      <c r="E387" s="152" t="s">
        <v>661</v>
      </c>
      <c r="F387" s="153">
        <v>14362054</v>
      </c>
      <c r="G387" s="153"/>
      <c r="H387" s="153"/>
      <c r="I387" s="366">
        <f t="shared" ref="I387:I450" si="14">SUM(F387:H387)/16222</f>
        <v>885.34422389347799</v>
      </c>
      <c r="J387" t="str">
        <f t="shared" ref="J387:J450" si="15">IF(C387="",LEFT(D387,5),LEFT(C387,5))</f>
        <v>61000</v>
      </c>
    </row>
    <row r="388" spans="1:10" hidden="1" x14ac:dyDescent="0.25">
      <c r="A388" s="151">
        <v>4</v>
      </c>
      <c r="B388" s="106" t="str">
        <f>'Funding 2019'!$K$102</f>
        <v>EGMM0019V222</v>
      </c>
      <c r="C388" s="355"/>
      <c r="D388" s="355"/>
      <c r="E388" s="152"/>
      <c r="F388" s="153"/>
      <c r="G388" s="153"/>
      <c r="H388" s="153"/>
      <c r="I388" s="366">
        <f t="shared" si="14"/>
        <v>0</v>
      </c>
      <c r="J388" t="str">
        <f t="shared" si="15"/>
        <v/>
      </c>
    </row>
    <row r="389" spans="1:10" hidden="1" x14ac:dyDescent="0.25">
      <c r="A389" s="151">
        <v>2</v>
      </c>
      <c r="B389" s="106" t="str">
        <f>'Funding 2019'!$K$54</f>
        <v>EGMMQPC19001</v>
      </c>
      <c r="C389" s="355">
        <v>3100007223</v>
      </c>
      <c r="D389" s="355"/>
      <c r="E389" s="152" t="s">
        <v>434</v>
      </c>
      <c r="F389" s="153"/>
      <c r="G389" s="153"/>
      <c r="H389" s="153">
        <v>39136012</v>
      </c>
      <c r="I389" s="366">
        <f t="shared" si="14"/>
        <v>2412.5269387251878</v>
      </c>
      <c r="J389" t="str">
        <f t="shared" si="15"/>
        <v>31000</v>
      </c>
    </row>
    <row r="390" spans="1:10" hidden="1" x14ac:dyDescent="0.25">
      <c r="A390" s="151">
        <v>2</v>
      </c>
      <c r="B390" s="106" t="str">
        <f>'Funding 2019'!$K$103</f>
        <v>EGMM0019W205</v>
      </c>
      <c r="C390" s="355">
        <v>5500011511</v>
      </c>
      <c r="D390" s="355"/>
      <c r="E390" s="152" t="s">
        <v>424</v>
      </c>
      <c r="F390" s="166">
        <f>8838000*0</f>
        <v>0</v>
      </c>
      <c r="G390" s="166"/>
      <c r="H390" s="153"/>
      <c r="I390" s="366">
        <f t="shared" si="14"/>
        <v>0</v>
      </c>
      <c r="J390" t="str">
        <f t="shared" si="15"/>
        <v>55000</v>
      </c>
    </row>
    <row r="391" spans="1:10" hidden="1" x14ac:dyDescent="0.25">
      <c r="A391" s="151">
        <v>15</v>
      </c>
      <c r="B391" s="106" t="str">
        <f>'Funding 2019'!$K$108</f>
        <v>EGMM0019V167</v>
      </c>
      <c r="C391" s="355">
        <v>3100007234</v>
      </c>
      <c r="D391" s="355"/>
      <c r="E391" s="152" t="s">
        <v>391</v>
      </c>
      <c r="F391" s="166"/>
      <c r="G391" s="166"/>
      <c r="H391" s="166">
        <v>4000000</v>
      </c>
      <c r="I391" s="366">
        <f t="shared" si="14"/>
        <v>246.57872025644187</v>
      </c>
      <c r="J391" t="str">
        <f t="shared" si="15"/>
        <v>31000</v>
      </c>
    </row>
    <row r="392" spans="1:10" hidden="1" x14ac:dyDescent="0.25">
      <c r="A392" s="151">
        <v>4</v>
      </c>
      <c r="B392" s="106" t="str">
        <f>'Funding 2019'!$K$103</f>
        <v>EGMM0019W205</v>
      </c>
      <c r="C392" s="355">
        <v>6100000767</v>
      </c>
      <c r="D392" s="355" t="s">
        <v>593</v>
      </c>
      <c r="E392" s="152" t="s">
        <v>496</v>
      </c>
      <c r="F392" s="166">
        <v>12310539</v>
      </c>
      <c r="G392" s="166"/>
      <c r="H392" s="294">
        <v>11230740</v>
      </c>
      <c r="I392" s="366">
        <f t="shared" si="14"/>
        <v>1451.1946122549623</v>
      </c>
      <c r="J392" t="str">
        <f t="shared" si="15"/>
        <v>61000</v>
      </c>
    </row>
    <row r="393" spans="1:10" hidden="1" x14ac:dyDescent="0.25">
      <c r="A393" s="151">
        <v>6</v>
      </c>
      <c r="B393" s="106" t="str">
        <f>'Funding 2019'!$K$110</f>
        <v>EGMMLA19V167</v>
      </c>
      <c r="C393" s="355">
        <v>3100007254</v>
      </c>
      <c r="D393" s="355"/>
      <c r="E393" s="152" t="s">
        <v>395</v>
      </c>
      <c r="F393" s="166">
        <f>23750000*0</f>
        <v>0</v>
      </c>
      <c r="G393" s="166"/>
      <c r="H393" s="337">
        <v>883998739</v>
      </c>
      <c r="I393" s="366">
        <f t="shared" si="14"/>
        <v>54493.819442732092</v>
      </c>
      <c r="J393" t="str">
        <f t="shared" si="15"/>
        <v>31000</v>
      </c>
    </row>
    <row r="394" spans="1:10" hidden="1" x14ac:dyDescent="0.25">
      <c r="A394" s="151">
        <v>6</v>
      </c>
      <c r="B394" s="106" t="str">
        <f>'Funding 2019'!$K$103</f>
        <v>EGMM0019W205</v>
      </c>
      <c r="C394" s="355"/>
      <c r="D394" s="355" t="s">
        <v>628</v>
      </c>
      <c r="E394" s="152" t="s">
        <v>629</v>
      </c>
      <c r="F394" s="166"/>
      <c r="G394" s="166"/>
      <c r="H394" s="294">
        <v>7987616</v>
      </c>
      <c r="I394" s="366">
        <f t="shared" si="14"/>
        <v>492.3940327949698</v>
      </c>
      <c r="J394" t="str">
        <f t="shared" si="15"/>
        <v>33051</v>
      </c>
    </row>
    <row r="395" spans="1:10" hidden="1" x14ac:dyDescent="0.25">
      <c r="A395" s="151">
        <v>7</v>
      </c>
      <c r="B395" s="106" t="str">
        <f>'Funding 2019'!$K$103</f>
        <v>EGMM0019W205</v>
      </c>
      <c r="C395" s="355"/>
      <c r="D395" s="355"/>
      <c r="E395" s="152"/>
      <c r="F395" s="166"/>
      <c r="G395" s="166"/>
      <c r="H395" s="153"/>
      <c r="I395" s="366">
        <f t="shared" si="14"/>
        <v>0</v>
      </c>
      <c r="J395" t="str">
        <f t="shared" si="15"/>
        <v/>
      </c>
    </row>
    <row r="396" spans="1:10" hidden="1" x14ac:dyDescent="0.25">
      <c r="A396" s="151">
        <v>8</v>
      </c>
      <c r="B396" s="106" t="str">
        <f>'Funding 2019'!$K$103</f>
        <v>EGMM0019W205</v>
      </c>
      <c r="C396" s="355"/>
      <c r="D396" s="355"/>
      <c r="E396" s="152"/>
      <c r="F396" s="153"/>
      <c r="G396" s="153"/>
      <c r="H396" s="153"/>
      <c r="I396" s="366">
        <f t="shared" si="14"/>
        <v>0</v>
      </c>
      <c r="J396" t="str">
        <f t="shared" si="15"/>
        <v/>
      </c>
    </row>
    <row r="397" spans="1:10" hidden="1" x14ac:dyDescent="0.25">
      <c r="A397" s="151">
        <v>9</v>
      </c>
      <c r="B397" s="106" t="str">
        <f>'Funding 2019'!$K$103</f>
        <v>EGMM0019W205</v>
      </c>
      <c r="C397" s="355"/>
      <c r="D397" s="355"/>
      <c r="E397" s="152"/>
      <c r="F397" s="153"/>
      <c r="G397" s="153"/>
      <c r="H397" s="153"/>
      <c r="I397" s="366">
        <f t="shared" si="14"/>
        <v>0</v>
      </c>
      <c r="J397" t="str">
        <f t="shared" si="15"/>
        <v/>
      </c>
    </row>
    <row r="398" spans="1:10" hidden="1" x14ac:dyDescent="0.25">
      <c r="A398" s="151">
        <v>10</v>
      </c>
      <c r="B398" s="106" t="str">
        <f>'Funding 2019'!$K$103</f>
        <v>EGMM0019W205</v>
      </c>
      <c r="C398" s="355"/>
      <c r="D398" s="355"/>
      <c r="E398" s="152"/>
      <c r="F398" s="153"/>
      <c r="G398" s="153"/>
      <c r="H398" s="153"/>
      <c r="I398" s="366">
        <f t="shared" si="14"/>
        <v>0</v>
      </c>
      <c r="J398" t="str">
        <f t="shared" si="15"/>
        <v/>
      </c>
    </row>
    <row r="399" spans="1:10" hidden="1" x14ac:dyDescent="0.25">
      <c r="A399" s="151">
        <v>11</v>
      </c>
      <c r="B399" s="106" t="str">
        <f>'Funding 2019'!$K$103</f>
        <v>EGMM0019W205</v>
      </c>
      <c r="C399" s="355"/>
      <c r="D399" s="355"/>
      <c r="E399" s="152"/>
      <c r="F399" s="153"/>
      <c r="G399" s="153"/>
      <c r="H399" s="153"/>
      <c r="I399" s="366">
        <f t="shared" si="14"/>
        <v>0</v>
      </c>
      <c r="J399" t="str">
        <f t="shared" si="15"/>
        <v/>
      </c>
    </row>
    <row r="400" spans="1:10" hidden="1" x14ac:dyDescent="0.25">
      <c r="A400" s="151">
        <v>12</v>
      </c>
      <c r="B400" s="106" t="str">
        <f>'Funding 2019'!$K$103</f>
        <v>EGMM0019W205</v>
      </c>
      <c r="C400" s="355"/>
      <c r="D400" s="355"/>
      <c r="E400" s="152"/>
      <c r="F400" s="153"/>
      <c r="G400" s="153"/>
      <c r="H400" s="153"/>
      <c r="I400" s="366">
        <f t="shared" si="14"/>
        <v>0</v>
      </c>
      <c r="J400" t="str">
        <f t="shared" si="15"/>
        <v/>
      </c>
    </row>
    <row r="401" spans="1:10" hidden="1" x14ac:dyDescent="0.25">
      <c r="A401" s="151">
        <v>13</v>
      </c>
      <c r="B401" s="106" t="str">
        <f>'Funding 2019'!$K$103</f>
        <v>EGMM0019W205</v>
      </c>
      <c r="C401" s="355"/>
      <c r="D401" s="355"/>
      <c r="E401" s="152"/>
      <c r="F401" s="153"/>
      <c r="G401" s="153"/>
      <c r="H401" s="153"/>
      <c r="I401" s="366">
        <f t="shared" si="14"/>
        <v>0</v>
      </c>
      <c r="J401" t="str">
        <f t="shared" si="15"/>
        <v/>
      </c>
    </row>
    <row r="402" spans="1:10" hidden="1" x14ac:dyDescent="0.25">
      <c r="A402" s="151">
        <v>14</v>
      </c>
      <c r="B402" s="106" t="str">
        <f>'Funding 2019'!$K$103</f>
        <v>EGMM0019W205</v>
      </c>
      <c r="C402" s="355"/>
      <c r="D402" s="355"/>
      <c r="E402" s="152"/>
      <c r="F402" s="153"/>
      <c r="G402" s="153"/>
      <c r="H402" s="153"/>
      <c r="I402" s="366">
        <f t="shared" si="14"/>
        <v>0</v>
      </c>
      <c r="J402" t="str">
        <f t="shared" si="15"/>
        <v/>
      </c>
    </row>
    <row r="403" spans="1:10" hidden="1" x14ac:dyDescent="0.25">
      <c r="A403" s="151">
        <v>15</v>
      </c>
      <c r="B403" s="106" t="str">
        <f>'Funding 2019'!$K$103</f>
        <v>EGMM0019W205</v>
      </c>
      <c r="C403" s="355"/>
      <c r="D403" s="355"/>
      <c r="E403" s="152"/>
      <c r="F403" s="166"/>
      <c r="G403" s="166"/>
      <c r="H403" s="166"/>
      <c r="I403" s="366">
        <f t="shared" si="14"/>
        <v>0</v>
      </c>
      <c r="J403" t="str">
        <f t="shared" si="15"/>
        <v/>
      </c>
    </row>
    <row r="404" spans="1:10" hidden="1" x14ac:dyDescent="0.25">
      <c r="A404" s="151">
        <v>1</v>
      </c>
      <c r="B404" s="106" t="str">
        <f>'Funding 2019'!$K$104</f>
        <v>EGMMTE19W206</v>
      </c>
      <c r="C404" s="356"/>
      <c r="D404" s="356"/>
      <c r="E404" s="165"/>
      <c r="F404" s="166"/>
      <c r="G404" s="166"/>
      <c r="H404" s="166"/>
      <c r="I404" s="366">
        <f t="shared" si="14"/>
        <v>0</v>
      </c>
      <c r="J404" t="str">
        <f t="shared" si="15"/>
        <v/>
      </c>
    </row>
    <row r="405" spans="1:10" hidden="1" x14ac:dyDescent="0.25">
      <c r="A405" s="151">
        <v>2</v>
      </c>
      <c r="B405" s="106" t="str">
        <f>'Funding 2019'!$K$104</f>
        <v>EGMMTE19W206</v>
      </c>
      <c r="C405" s="356"/>
      <c r="D405" s="356"/>
      <c r="E405" s="165"/>
      <c r="F405" s="166"/>
      <c r="G405" s="166"/>
      <c r="H405" s="166"/>
      <c r="I405" s="366">
        <f t="shared" si="14"/>
        <v>0</v>
      </c>
      <c r="J405" t="str">
        <f t="shared" si="15"/>
        <v/>
      </c>
    </row>
    <row r="406" spans="1:10" hidden="1" x14ac:dyDescent="0.25">
      <c r="A406" s="151">
        <v>3</v>
      </c>
      <c r="B406" s="106" t="str">
        <f>'Funding 2019'!$K$104</f>
        <v>EGMMTE19W206</v>
      </c>
      <c r="C406" s="356"/>
      <c r="D406" s="356"/>
      <c r="E406" s="165"/>
      <c r="F406" s="166"/>
      <c r="G406" s="166"/>
      <c r="H406" s="166"/>
      <c r="I406" s="366">
        <f t="shared" si="14"/>
        <v>0</v>
      </c>
      <c r="J406" t="str">
        <f t="shared" si="15"/>
        <v/>
      </c>
    </row>
    <row r="407" spans="1:10" hidden="1" x14ac:dyDescent="0.25">
      <c r="A407" s="151">
        <v>4</v>
      </c>
      <c r="B407" s="106" t="str">
        <f>'Funding 2019'!$K$104</f>
        <v>EGMMTE19W206</v>
      </c>
      <c r="C407" s="356"/>
      <c r="D407" s="356"/>
      <c r="E407" s="165"/>
      <c r="F407" s="166"/>
      <c r="G407" s="166"/>
      <c r="H407" s="166"/>
      <c r="I407" s="366">
        <f t="shared" si="14"/>
        <v>0</v>
      </c>
      <c r="J407" t="str">
        <f t="shared" si="15"/>
        <v/>
      </c>
    </row>
    <row r="408" spans="1:10" hidden="1" x14ac:dyDescent="0.25">
      <c r="A408" s="151">
        <v>5</v>
      </c>
      <c r="B408" s="106" t="str">
        <f>'Funding 2019'!$K$104</f>
        <v>EGMMTE19W206</v>
      </c>
      <c r="C408" s="356"/>
      <c r="D408" s="356"/>
      <c r="E408" s="165"/>
      <c r="F408" s="166"/>
      <c r="G408" s="166"/>
      <c r="H408" s="166"/>
      <c r="I408" s="366">
        <f t="shared" si="14"/>
        <v>0</v>
      </c>
      <c r="J408" t="str">
        <f t="shared" si="15"/>
        <v/>
      </c>
    </row>
    <row r="409" spans="1:10" hidden="1" x14ac:dyDescent="0.25">
      <c r="A409" s="151">
        <v>6</v>
      </c>
      <c r="B409" s="106" t="str">
        <f>'Funding 2019'!$K$104</f>
        <v>EGMMTE19W206</v>
      </c>
      <c r="C409" s="356"/>
      <c r="D409" s="356"/>
      <c r="E409" s="165"/>
      <c r="F409" s="166"/>
      <c r="G409" s="166"/>
      <c r="H409" s="166"/>
      <c r="I409" s="366">
        <f t="shared" si="14"/>
        <v>0</v>
      </c>
      <c r="J409" t="str">
        <f t="shared" si="15"/>
        <v/>
      </c>
    </row>
    <row r="410" spans="1:10" hidden="1" x14ac:dyDescent="0.25">
      <c r="A410" s="151">
        <v>7</v>
      </c>
      <c r="B410" s="106" t="str">
        <f>'Funding 2019'!$K$104</f>
        <v>EGMMTE19W206</v>
      </c>
      <c r="C410" s="356"/>
      <c r="D410" s="356"/>
      <c r="E410" s="165"/>
      <c r="F410" s="166"/>
      <c r="G410" s="166"/>
      <c r="H410" s="166"/>
      <c r="I410" s="366">
        <f t="shared" si="14"/>
        <v>0</v>
      </c>
      <c r="J410" t="str">
        <f t="shared" si="15"/>
        <v/>
      </c>
    </row>
    <row r="411" spans="1:10" hidden="1" x14ac:dyDescent="0.25">
      <c r="A411" s="151">
        <v>8</v>
      </c>
      <c r="B411" s="106" t="str">
        <f>'Funding 2019'!$K$104</f>
        <v>EGMMTE19W206</v>
      </c>
      <c r="C411" s="356"/>
      <c r="D411" s="356"/>
      <c r="E411" s="165"/>
      <c r="F411" s="166"/>
      <c r="G411" s="166"/>
      <c r="H411" s="166"/>
      <c r="I411" s="366">
        <f t="shared" si="14"/>
        <v>0</v>
      </c>
      <c r="J411" t="str">
        <f t="shared" si="15"/>
        <v/>
      </c>
    </row>
    <row r="412" spans="1:10" hidden="1" x14ac:dyDescent="0.25">
      <c r="A412" s="151">
        <v>9</v>
      </c>
      <c r="B412" s="106" t="str">
        <f>'Funding 2019'!$K$104</f>
        <v>EGMMTE19W206</v>
      </c>
      <c r="C412" s="356"/>
      <c r="D412" s="356"/>
      <c r="E412" s="165"/>
      <c r="F412" s="166"/>
      <c r="G412" s="166"/>
      <c r="H412" s="166"/>
      <c r="I412" s="366">
        <f t="shared" si="14"/>
        <v>0</v>
      </c>
      <c r="J412" t="str">
        <f t="shared" si="15"/>
        <v/>
      </c>
    </row>
    <row r="413" spans="1:10" hidden="1" x14ac:dyDescent="0.25">
      <c r="A413" s="151">
        <v>10</v>
      </c>
      <c r="B413" s="106" t="str">
        <f>'Funding 2019'!$K$104</f>
        <v>EGMMTE19W206</v>
      </c>
      <c r="C413" s="356"/>
      <c r="D413" s="356"/>
      <c r="E413" s="165"/>
      <c r="F413" s="166"/>
      <c r="G413" s="166"/>
      <c r="H413" s="166"/>
      <c r="I413" s="366">
        <f t="shared" si="14"/>
        <v>0</v>
      </c>
      <c r="J413" t="str">
        <f t="shared" si="15"/>
        <v/>
      </c>
    </row>
    <row r="414" spans="1:10" hidden="1" x14ac:dyDescent="0.25">
      <c r="A414" s="151">
        <v>11</v>
      </c>
      <c r="B414" s="106" t="str">
        <f>'Funding 2019'!$K$104</f>
        <v>EGMMTE19W206</v>
      </c>
      <c r="C414" s="356"/>
      <c r="D414" s="356"/>
      <c r="E414" s="165"/>
      <c r="F414" s="166"/>
      <c r="G414" s="166"/>
      <c r="H414" s="166"/>
      <c r="I414" s="366">
        <f t="shared" si="14"/>
        <v>0</v>
      </c>
      <c r="J414" t="str">
        <f t="shared" si="15"/>
        <v/>
      </c>
    </row>
    <row r="415" spans="1:10" hidden="1" x14ac:dyDescent="0.25">
      <c r="A415" s="151">
        <v>12</v>
      </c>
      <c r="B415" s="106" t="str">
        <f>'Funding 2019'!$K$104</f>
        <v>EGMMTE19W206</v>
      </c>
      <c r="C415" s="356"/>
      <c r="D415" s="356"/>
      <c r="E415" s="165"/>
      <c r="F415" s="166"/>
      <c r="G415" s="166"/>
      <c r="H415" s="166"/>
      <c r="I415" s="366">
        <f t="shared" si="14"/>
        <v>0</v>
      </c>
      <c r="J415" t="str">
        <f t="shared" si="15"/>
        <v/>
      </c>
    </row>
    <row r="416" spans="1:10" hidden="1" x14ac:dyDescent="0.25">
      <c r="A416" s="151">
        <v>13</v>
      </c>
      <c r="B416" s="106" t="str">
        <f>'Funding 2019'!$K$104</f>
        <v>EGMMTE19W206</v>
      </c>
      <c r="C416" s="356"/>
      <c r="D416" s="356"/>
      <c r="E416" s="165"/>
      <c r="F416" s="166"/>
      <c r="G416" s="166"/>
      <c r="H416" s="166"/>
      <c r="I416" s="366">
        <f t="shared" si="14"/>
        <v>0</v>
      </c>
      <c r="J416" t="str">
        <f t="shared" si="15"/>
        <v/>
      </c>
    </row>
    <row r="417" spans="1:10" hidden="1" x14ac:dyDescent="0.25">
      <c r="A417" s="151">
        <v>14</v>
      </c>
      <c r="B417" s="106" t="str">
        <f>'Funding 2019'!$K$104</f>
        <v>EGMMTE19W206</v>
      </c>
      <c r="C417" s="356"/>
      <c r="D417" s="356"/>
      <c r="E417" s="165"/>
      <c r="F417" s="166"/>
      <c r="G417" s="166"/>
      <c r="H417" s="166"/>
      <c r="I417" s="366">
        <f t="shared" si="14"/>
        <v>0</v>
      </c>
      <c r="J417" t="str">
        <f t="shared" si="15"/>
        <v/>
      </c>
    </row>
    <row r="418" spans="1:10" hidden="1" x14ac:dyDescent="0.25">
      <c r="A418" s="151">
        <v>15</v>
      </c>
      <c r="B418" s="106" t="str">
        <f>'Funding 2019'!$K$104</f>
        <v>EGMMTE19W206</v>
      </c>
      <c r="C418" s="356"/>
      <c r="D418" s="356"/>
      <c r="E418" s="165"/>
      <c r="F418" s="166"/>
      <c r="G418" s="166"/>
      <c r="H418" s="166"/>
      <c r="I418" s="366">
        <f t="shared" si="14"/>
        <v>0</v>
      </c>
      <c r="J418" t="str">
        <f t="shared" si="15"/>
        <v/>
      </c>
    </row>
    <row r="419" spans="1:10" hidden="1" x14ac:dyDescent="0.25">
      <c r="A419" s="151">
        <v>1</v>
      </c>
      <c r="B419" s="106" t="str">
        <f>'Funding 2019'!$K$105</f>
        <v>EGMM0019X253</v>
      </c>
      <c r="C419" s="355">
        <v>5500011194</v>
      </c>
      <c r="D419" s="355"/>
      <c r="E419" s="152" t="s">
        <v>281</v>
      </c>
      <c r="F419" s="153">
        <f>3042000*0</f>
        <v>0</v>
      </c>
      <c r="G419" s="153"/>
      <c r="H419" s="153">
        <v>3042000</v>
      </c>
      <c r="I419" s="366">
        <f t="shared" si="14"/>
        <v>187.52311675502403</v>
      </c>
      <c r="J419" t="str">
        <f t="shared" si="15"/>
        <v>55000</v>
      </c>
    </row>
    <row r="420" spans="1:10" hidden="1" x14ac:dyDescent="0.25">
      <c r="A420" s="151">
        <v>2</v>
      </c>
      <c r="B420" s="106" t="str">
        <f>'Funding 2019'!$K$105</f>
        <v>EGMM0019X253</v>
      </c>
      <c r="C420" s="355">
        <v>6100000750</v>
      </c>
      <c r="D420" s="355">
        <v>330319808</v>
      </c>
      <c r="E420" s="152" t="s">
        <v>427</v>
      </c>
      <c r="F420" s="153"/>
      <c r="G420" s="153">
        <f>7189204*0</f>
        <v>0</v>
      </c>
      <c r="H420" s="153">
        <v>11004456</v>
      </c>
      <c r="I420" s="366">
        <f t="shared" si="14"/>
        <v>678.36616939958083</v>
      </c>
      <c r="J420" t="str">
        <f t="shared" si="15"/>
        <v>61000</v>
      </c>
    </row>
    <row r="421" spans="1:10" hidden="1" x14ac:dyDescent="0.25">
      <c r="A421" s="151">
        <v>3</v>
      </c>
      <c r="B421" s="106" t="str">
        <f>'Funding 2019'!$K$105</f>
        <v>EGMM0019X253</v>
      </c>
      <c r="C421" s="355">
        <v>6100000770</v>
      </c>
      <c r="D421" s="355" t="s">
        <v>779</v>
      </c>
      <c r="E421" s="152" t="s">
        <v>498</v>
      </c>
      <c r="F421" s="153"/>
      <c r="G421" s="153">
        <f>0*2048670</f>
        <v>0</v>
      </c>
      <c r="H421" s="153">
        <v>4480840</v>
      </c>
      <c r="I421" s="366">
        <f t="shared" si="14"/>
        <v>276.21994821846874</v>
      </c>
      <c r="J421" t="str">
        <f t="shared" si="15"/>
        <v>61000</v>
      </c>
    </row>
    <row r="422" spans="1:10" hidden="1" x14ac:dyDescent="0.25">
      <c r="A422" s="151">
        <v>17</v>
      </c>
      <c r="B422" s="106" t="str">
        <f>'Funding 2019'!$K$110</f>
        <v>EGMMLA19V167</v>
      </c>
      <c r="C422" s="355">
        <v>3100007274</v>
      </c>
      <c r="D422" s="355"/>
      <c r="E422" s="152" t="s">
        <v>396</v>
      </c>
      <c r="F422" s="166">
        <f>30000000</f>
        <v>30000000</v>
      </c>
      <c r="G422" s="166"/>
      <c r="H422" s="336"/>
      <c r="I422" s="366">
        <f t="shared" si="14"/>
        <v>1849.3404019233139</v>
      </c>
      <c r="J422" t="str">
        <f t="shared" si="15"/>
        <v>31000</v>
      </c>
    </row>
    <row r="423" spans="1:10" hidden="1" x14ac:dyDescent="0.25">
      <c r="A423" s="151">
        <v>5</v>
      </c>
      <c r="B423" s="106" t="str">
        <f>'Funding 2019'!$K$105</f>
        <v>EGMM0019X253</v>
      </c>
      <c r="C423" s="355">
        <v>5500011837</v>
      </c>
      <c r="D423" s="355"/>
      <c r="E423" s="152" t="s">
        <v>630</v>
      </c>
      <c r="F423" s="153">
        <v>8200000</v>
      </c>
      <c r="G423" s="153"/>
      <c r="H423" s="153"/>
      <c r="I423" s="366">
        <f t="shared" si="14"/>
        <v>505.48637652570585</v>
      </c>
      <c r="J423" t="str">
        <f t="shared" si="15"/>
        <v>55000</v>
      </c>
    </row>
    <row r="424" spans="1:10" hidden="1" x14ac:dyDescent="0.25">
      <c r="A424" s="151">
        <v>6</v>
      </c>
      <c r="B424" s="106" t="str">
        <f>'Funding 2019'!$K$105</f>
        <v>EGMM0019X253</v>
      </c>
      <c r="C424" s="355"/>
      <c r="D424" s="355"/>
      <c r="E424" s="152"/>
      <c r="F424" s="153"/>
      <c r="G424" s="153"/>
      <c r="H424" s="153"/>
      <c r="I424" s="366">
        <f t="shared" si="14"/>
        <v>0</v>
      </c>
      <c r="J424" t="str">
        <f t="shared" si="15"/>
        <v/>
      </c>
    </row>
    <row r="425" spans="1:10" hidden="1" x14ac:dyDescent="0.25">
      <c r="A425" s="151">
        <v>7</v>
      </c>
      <c r="B425" s="106" t="str">
        <f>'Funding 2019'!$K$105</f>
        <v>EGMM0019X253</v>
      </c>
      <c r="C425" s="355"/>
      <c r="D425" s="355"/>
      <c r="E425" s="152"/>
      <c r="F425" s="153"/>
      <c r="G425" s="153"/>
      <c r="H425" s="153"/>
      <c r="I425" s="366">
        <f t="shared" si="14"/>
        <v>0</v>
      </c>
      <c r="J425" t="str">
        <f t="shared" si="15"/>
        <v/>
      </c>
    </row>
    <row r="426" spans="1:10" hidden="1" x14ac:dyDescent="0.25">
      <c r="A426" s="151">
        <v>8</v>
      </c>
      <c r="B426" s="106" t="str">
        <f>'Funding 2019'!$K$105</f>
        <v>EGMM0019X253</v>
      </c>
      <c r="C426" s="355"/>
      <c r="D426" s="355"/>
      <c r="E426" s="152"/>
      <c r="F426" s="153"/>
      <c r="G426" s="153"/>
      <c r="H426" s="153"/>
      <c r="I426" s="366">
        <f t="shared" si="14"/>
        <v>0</v>
      </c>
      <c r="J426" t="str">
        <f t="shared" si="15"/>
        <v/>
      </c>
    </row>
    <row r="427" spans="1:10" hidden="1" x14ac:dyDescent="0.25">
      <c r="A427" s="151">
        <v>9</v>
      </c>
      <c r="B427" s="106" t="str">
        <f>'Funding 2019'!$K$105</f>
        <v>EGMM0019X253</v>
      </c>
      <c r="C427" s="355"/>
      <c r="D427" s="355"/>
      <c r="E427" s="152"/>
      <c r="F427" s="153"/>
      <c r="G427" s="153"/>
      <c r="H427" s="153"/>
      <c r="I427" s="366">
        <f t="shared" si="14"/>
        <v>0</v>
      </c>
      <c r="J427" t="str">
        <f t="shared" si="15"/>
        <v/>
      </c>
    </row>
    <row r="428" spans="1:10" hidden="1" x14ac:dyDescent="0.25">
      <c r="A428" s="151">
        <v>10</v>
      </c>
      <c r="B428" s="106" t="str">
        <f>'Funding 2019'!$K$105</f>
        <v>EGMM0019X253</v>
      </c>
      <c r="C428" s="355"/>
      <c r="D428" s="355"/>
      <c r="E428" s="152"/>
      <c r="F428" s="153"/>
      <c r="G428" s="153"/>
      <c r="H428" s="153"/>
      <c r="I428" s="366">
        <f t="shared" si="14"/>
        <v>0</v>
      </c>
      <c r="J428" t="str">
        <f t="shared" si="15"/>
        <v/>
      </c>
    </row>
    <row r="429" spans="1:10" hidden="1" x14ac:dyDescent="0.25">
      <c r="A429" s="151">
        <v>11</v>
      </c>
      <c r="B429" s="106" t="str">
        <f>'Funding 2019'!$K$105</f>
        <v>EGMM0019X253</v>
      </c>
      <c r="C429" s="355"/>
      <c r="D429" s="355"/>
      <c r="E429" s="152"/>
      <c r="F429" s="166"/>
      <c r="G429" s="166"/>
      <c r="H429" s="166"/>
      <c r="I429" s="366">
        <f t="shared" si="14"/>
        <v>0</v>
      </c>
      <c r="J429" t="str">
        <f t="shared" si="15"/>
        <v/>
      </c>
    </row>
    <row r="430" spans="1:10" hidden="1" x14ac:dyDescent="0.25">
      <c r="A430" s="151">
        <v>2</v>
      </c>
      <c r="B430" s="106" t="str">
        <f>'Funding 2019'!$K$106</f>
        <v>EGMM0019M264</v>
      </c>
      <c r="C430" s="355">
        <v>6100000709</v>
      </c>
      <c r="D430" s="355" t="s">
        <v>203</v>
      </c>
      <c r="E430" s="152" t="s">
        <v>282</v>
      </c>
      <c r="F430" s="166"/>
      <c r="G430" s="166">
        <f>326430*0</f>
        <v>0</v>
      </c>
      <c r="H430" s="183">
        <v>24050774</v>
      </c>
      <c r="I430" s="366">
        <f t="shared" si="14"/>
        <v>1482.6022685242262</v>
      </c>
      <c r="J430" t="str">
        <f t="shared" si="15"/>
        <v>61000</v>
      </c>
    </row>
    <row r="431" spans="1:10" hidden="1" x14ac:dyDescent="0.25">
      <c r="A431" s="151">
        <v>3</v>
      </c>
      <c r="B431" s="106" t="str">
        <f>'Funding 2019'!$K$106</f>
        <v>EGMM0019M264</v>
      </c>
      <c r="C431" s="355">
        <v>6100000709</v>
      </c>
      <c r="D431" s="355" t="s">
        <v>247</v>
      </c>
      <c r="E431" s="152" t="s">
        <v>282</v>
      </c>
      <c r="F431" s="166"/>
      <c r="G431" s="183">
        <v>2811348</v>
      </c>
      <c r="H431" s="166"/>
      <c r="I431" s="366">
        <f t="shared" si="14"/>
        <v>173.30464800887682</v>
      </c>
      <c r="J431" t="str">
        <f t="shared" si="15"/>
        <v>61000</v>
      </c>
    </row>
    <row r="432" spans="1:10" hidden="1" x14ac:dyDescent="0.25">
      <c r="A432" s="151">
        <v>5</v>
      </c>
      <c r="B432" s="106" t="str">
        <f>'Funding 2019'!$K$72</f>
        <v>EGMMEPC19001</v>
      </c>
      <c r="C432" s="355">
        <v>3100007323</v>
      </c>
      <c r="D432" s="355"/>
      <c r="E432" s="152" t="s">
        <v>459</v>
      </c>
      <c r="F432" s="153">
        <f>10000000*0</f>
        <v>0</v>
      </c>
      <c r="G432" s="153"/>
      <c r="H432" s="183">
        <f>9447700+3243200</f>
        <v>12690900</v>
      </c>
      <c r="I432" s="366">
        <f t="shared" si="14"/>
        <v>782.32647022561957</v>
      </c>
      <c r="J432" t="str">
        <f t="shared" si="15"/>
        <v>31000</v>
      </c>
    </row>
    <row r="433" spans="1:10" hidden="1" x14ac:dyDescent="0.25">
      <c r="A433" s="151">
        <v>20</v>
      </c>
      <c r="B433" s="106" t="str">
        <f>'Funding 2019'!$K$108</f>
        <v>EGMM0019V167</v>
      </c>
      <c r="C433" s="355">
        <v>4400000702</v>
      </c>
      <c r="D433" s="355">
        <v>7500000669</v>
      </c>
      <c r="E433" s="152" t="s">
        <v>361</v>
      </c>
      <c r="F433" s="166"/>
      <c r="G433" s="166">
        <f>20335500*0</f>
        <v>0</v>
      </c>
      <c r="H433" s="334">
        <v>17663500</v>
      </c>
      <c r="I433" s="366">
        <f t="shared" si="14"/>
        <v>1088.8608063124152</v>
      </c>
      <c r="J433" t="str">
        <f t="shared" si="15"/>
        <v>44000</v>
      </c>
    </row>
    <row r="434" spans="1:10" hidden="1" x14ac:dyDescent="0.25">
      <c r="A434" s="151">
        <v>3</v>
      </c>
      <c r="B434" s="106" t="str">
        <f>'Funding 2019'!$K$114</f>
        <v>EGMMLA19X167</v>
      </c>
      <c r="C434" s="355">
        <v>4400000992</v>
      </c>
      <c r="D434" s="355">
        <v>7500000951</v>
      </c>
      <c r="E434" s="152" t="s">
        <v>743</v>
      </c>
      <c r="F434" s="153">
        <f>28780500*0</f>
        <v>0</v>
      </c>
      <c r="G434" s="153">
        <v>28780500</v>
      </c>
      <c r="H434" s="153"/>
      <c r="I434" s="366">
        <f t="shared" si="14"/>
        <v>1774.1647145851314</v>
      </c>
      <c r="J434" t="str">
        <f t="shared" si="15"/>
        <v>44000</v>
      </c>
    </row>
    <row r="435" spans="1:10" hidden="1" x14ac:dyDescent="0.25">
      <c r="A435" s="151">
        <v>7</v>
      </c>
      <c r="B435" s="106" t="str">
        <f>'Funding 2019'!$K$106</f>
        <v>EGMM0019M264</v>
      </c>
      <c r="C435" s="355">
        <v>4400000640</v>
      </c>
      <c r="D435" s="355">
        <v>7500000614</v>
      </c>
      <c r="E435" s="152" t="s">
        <v>286</v>
      </c>
      <c r="F435" s="166"/>
      <c r="G435" s="166">
        <f>267510022*0</f>
        <v>0</v>
      </c>
      <c r="H435" s="183">
        <v>267510022</v>
      </c>
      <c r="I435" s="366">
        <f t="shared" si="14"/>
        <v>16490.569720133153</v>
      </c>
      <c r="J435" t="str">
        <f t="shared" si="15"/>
        <v>44000</v>
      </c>
    </row>
    <row r="436" spans="1:10" hidden="1" x14ac:dyDescent="0.25">
      <c r="A436" s="151">
        <v>63</v>
      </c>
      <c r="B436" s="106" t="str">
        <f>'Funding 2019'!$K$108</f>
        <v>EGMM0019V167</v>
      </c>
      <c r="C436" s="355">
        <v>4400001023</v>
      </c>
      <c r="D436" s="355">
        <v>7500000974</v>
      </c>
      <c r="E436" s="152" t="s">
        <v>782</v>
      </c>
      <c r="F436" s="166">
        <f>3000000*0</f>
        <v>0</v>
      </c>
      <c r="G436" s="334">
        <v>3000000</v>
      </c>
      <c r="H436" s="166"/>
      <c r="I436" s="366">
        <f t="shared" si="14"/>
        <v>184.93404019233139</v>
      </c>
      <c r="J436" t="str">
        <f t="shared" si="15"/>
        <v>44000</v>
      </c>
    </row>
    <row r="437" spans="1:10" hidden="1" x14ac:dyDescent="0.25">
      <c r="A437" s="151">
        <v>8</v>
      </c>
      <c r="B437" s="106" t="str">
        <f>'Funding 2019'!$K$106</f>
        <v>EGMM0019M264</v>
      </c>
      <c r="C437" s="355">
        <v>5300000208</v>
      </c>
      <c r="D437" s="355">
        <v>4500134550</v>
      </c>
      <c r="E437" s="152" t="s">
        <v>287</v>
      </c>
      <c r="F437" s="166"/>
      <c r="G437" s="183">
        <v>1812144000</v>
      </c>
      <c r="H437" s="166"/>
      <c r="I437" s="366">
        <f t="shared" si="14"/>
        <v>111709.0371100974</v>
      </c>
      <c r="J437" t="str">
        <f t="shared" si="15"/>
        <v>53000</v>
      </c>
    </row>
    <row r="438" spans="1:10" hidden="1" x14ac:dyDescent="0.25">
      <c r="A438" s="151">
        <v>10</v>
      </c>
      <c r="B438" s="106" t="str">
        <f>'Funding 2019'!$K$106</f>
        <v>EGMM0019M264</v>
      </c>
      <c r="C438" s="355">
        <v>4400000715</v>
      </c>
      <c r="D438" s="355" t="s">
        <v>410</v>
      </c>
      <c r="E438" s="152" t="s">
        <v>411</v>
      </c>
      <c r="F438" s="166"/>
      <c r="G438" s="166"/>
      <c r="H438" s="183">
        <v>2185000</v>
      </c>
      <c r="I438" s="366">
        <f t="shared" si="14"/>
        <v>134.69362594008138</v>
      </c>
      <c r="J438" t="str">
        <f t="shared" si="15"/>
        <v>44000</v>
      </c>
    </row>
    <row r="439" spans="1:10" hidden="1" x14ac:dyDescent="0.25">
      <c r="A439" s="151">
        <v>11</v>
      </c>
      <c r="B439" s="106" t="str">
        <f>'Funding 2019'!$K$106</f>
        <v>EGMM0019M264</v>
      </c>
      <c r="C439" s="355">
        <v>5500011395</v>
      </c>
      <c r="D439" s="355"/>
      <c r="E439" s="152" t="s">
        <v>412</v>
      </c>
      <c r="F439" s="166">
        <f>13000000*0</f>
        <v>0</v>
      </c>
      <c r="G439" s="166"/>
      <c r="H439" s="166"/>
      <c r="I439" s="366">
        <f t="shared" si="14"/>
        <v>0</v>
      </c>
      <c r="J439" t="str">
        <f t="shared" si="15"/>
        <v>55000</v>
      </c>
    </row>
    <row r="440" spans="1:10" hidden="1" x14ac:dyDescent="0.25">
      <c r="A440" s="151">
        <v>21</v>
      </c>
      <c r="B440" s="106" t="str">
        <f>'Funding 2019'!$K$106</f>
        <v>EGMM0019M264</v>
      </c>
      <c r="C440" s="355">
        <v>5300000220</v>
      </c>
      <c r="D440" s="355">
        <v>4500134641</v>
      </c>
      <c r="E440" s="152" t="s">
        <v>421</v>
      </c>
      <c r="F440" s="166"/>
      <c r="G440" s="183">
        <v>322140000</v>
      </c>
      <c r="H440" s="166"/>
      <c r="I440" s="366">
        <f t="shared" si="14"/>
        <v>19858.217235852546</v>
      </c>
      <c r="J440" t="str">
        <f t="shared" si="15"/>
        <v>53000</v>
      </c>
    </row>
    <row r="441" spans="1:10" hidden="1" x14ac:dyDescent="0.25">
      <c r="A441" s="151">
        <v>13</v>
      </c>
      <c r="B441" s="106" t="str">
        <f>'Funding 2019'!$K$106</f>
        <v>EGMM0019M264</v>
      </c>
      <c r="C441" s="355">
        <v>5500011393</v>
      </c>
      <c r="D441" s="355"/>
      <c r="E441" s="152" t="s">
        <v>414</v>
      </c>
      <c r="F441" s="166">
        <f>375000*0</f>
        <v>0</v>
      </c>
      <c r="G441" s="166"/>
      <c r="H441" s="166">
        <v>3750000</v>
      </c>
      <c r="I441" s="366">
        <f t="shared" si="14"/>
        <v>231.16755024041424</v>
      </c>
      <c r="J441" t="str">
        <f t="shared" si="15"/>
        <v>55000</v>
      </c>
    </row>
    <row r="442" spans="1:10" hidden="1" x14ac:dyDescent="0.25">
      <c r="A442" s="151">
        <v>14</v>
      </c>
      <c r="B442" s="106" t="str">
        <f>'Funding 2019'!$K$106</f>
        <v>EGMM0019M264</v>
      </c>
      <c r="C442" s="355">
        <v>5500011444</v>
      </c>
      <c r="D442" s="355"/>
      <c r="E442" s="152" t="s">
        <v>415</v>
      </c>
      <c r="F442" s="166">
        <f>7514665*0</f>
        <v>0</v>
      </c>
      <c r="G442" s="166"/>
      <c r="H442" s="166">
        <v>7514665</v>
      </c>
      <c r="I442" s="366">
        <f t="shared" si="14"/>
        <v>463.23911971396871</v>
      </c>
      <c r="J442" t="str">
        <f t="shared" si="15"/>
        <v>55000</v>
      </c>
    </row>
    <row r="443" spans="1:10" hidden="1" x14ac:dyDescent="0.25">
      <c r="A443" s="151">
        <v>15</v>
      </c>
      <c r="B443" s="106" t="str">
        <f>'Funding 2019'!$K$106</f>
        <v>EGMM0019M264</v>
      </c>
      <c r="C443" s="355">
        <v>5500011449</v>
      </c>
      <c r="D443" s="355"/>
      <c r="E443" s="152" t="s">
        <v>416</v>
      </c>
      <c r="F443" s="166">
        <f>5072400*0</f>
        <v>0</v>
      </c>
      <c r="G443" s="166"/>
      <c r="H443" s="166">
        <v>5072400</v>
      </c>
      <c r="I443" s="366">
        <f t="shared" si="14"/>
        <v>312.68647515719391</v>
      </c>
      <c r="J443" t="str">
        <f t="shared" si="15"/>
        <v>55000</v>
      </c>
    </row>
    <row r="444" spans="1:10" hidden="1" x14ac:dyDescent="0.25">
      <c r="A444" s="151">
        <v>16</v>
      </c>
      <c r="B444" s="106" t="str">
        <f>'Funding 2019'!$K$106</f>
        <v>EGMM0019M264</v>
      </c>
      <c r="C444" s="355">
        <v>5500011463</v>
      </c>
      <c r="D444" s="355"/>
      <c r="E444" s="152" t="s">
        <v>417</v>
      </c>
      <c r="F444" s="166">
        <f>5488000*0</f>
        <v>0</v>
      </c>
      <c r="G444" s="166"/>
      <c r="H444" s="166">
        <v>14882982</v>
      </c>
      <c r="I444" s="366">
        <f t="shared" si="14"/>
        <v>917.45666378991496</v>
      </c>
      <c r="J444" t="str">
        <f t="shared" si="15"/>
        <v>55000</v>
      </c>
    </row>
    <row r="445" spans="1:10" hidden="1" x14ac:dyDescent="0.25">
      <c r="A445" s="151">
        <v>18</v>
      </c>
      <c r="B445" s="106" t="str">
        <f>'Funding 2019'!$K$106</f>
        <v>EGMM0019M264</v>
      </c>
      <c r="C445" s="355">
        <v>5500011513</v>
      </c>
      <c r="D445" s="355"/>
      <c r="E445" s="152" t="s">
        <v>418</v>
      </c>
      <c r="F445" s="183">
        <v>3900000</v>
      </c>
      <c r="G445" s="166"/>
      <c r="H445" s="166"/>
      <c r="I445" s="366">
        <f t="shared" si="14"/>
        <v>240.41425225003081</v>
      </c>
      <c r="J445" t="str">
        <f t="shared" si="15"/>
        <v>55000</v>
      </c>
    </row>
    <row r="446" spans="1:10" hidden="1" x14ac:dyDescent="0.25">
      <c r="A446" s="151">
        <v>19</v>
      </c>
      <c r="B446" s="106" t="str">
        <f>'Funding 2019'!$K$106</f>
        <v>EGMM0019M264</v>
      </c>
      <c r="C446" s="355">
        <v>5500011494</v>
      </c>
      <c r="D446" s="355"/>
      <c r="E446" s="152" t="s">
        <v>419</v>
      </c>
      <c r="F446" s="183">
        <v>859500</v>
      </c>
      <c r="G446" s="166"/>
      <c r="H446" s="166"/>
      <c r="I446" s="366">
        <f t="shared" si="14"/>
        <v>52.983602515102945</v>
      </c>
      <c r="J446" t="str">
        <f t="shared" si="15"/>
        <v>55000</v>
      </c>
    </row>
    <row r="447" spans="1:10" hidden="1" x14ac:dyDescent="0.25">
      <c r="A447" s="151">
        <v>1</v>
      </c>
      <c r="B447" s="106" t="str">
        <f>'Funding 2019'!$K$116</f>
        <v>EGMMTE19X167</v>
      </c>
      <c r="C447" s="355">
        <v>5300000249</v>
      </c>
      <c r="D447" s="355">
        <v>4500135207</v>
      </c>
      <c r="E447" s="152" t="s">
        <v>503</v>
      </c>
      <c r="F447" s="153">
        <f>1419176000*0</f>
        <v>0</v>
      </c>
      <c r="G447" s="153">
        <v>1408792000</v>
      </c>
      <c r="H447" s="153"/>
      <c r="I447" s="366">
        <f t="shared" si="14"/>
        <v>86844.532116878312</v>
      </c>
      <c r="J447" t="str">
        <f t="shared" si="15"/>
        <v>53000</v>
      </c>
    </row>
    <row r="448" spans="1:10" hidden="1" x14ac:dyDescent="0.25">
      <c r="A448" s="151">
        <v>1</v>
      </c>
      <c r="B448" s="106" t="str">
        <f>'Funding 2019'!$K$111</f>
        <v>EGMM0019V177</v>
      </c>
      <c r="C448" s="355">
        <v>5300000250</v>
      </c>
      <c r="D448" s="355">
        <v>4500135208</v>
      </c>
      <c r="E448" s="152" t="s">
        <v>501</v>
      </c>
      <c r="F448" s="153">
        <f>3845514900*0</f>
        <v>0</v>
      </c>
      <c r="G448" s="153">
        <v>3821348300</v>
      </c>
      <c r="H448" s="153"/>
      <c r="I448" s="366">
        <f t="shared" si="14"/>
        <v>235565.79336703243</v>
      </c>
      <c r="J448" t="str">
        <f t="shared" si="15"/>
        <v>53000</v>
      </c>
    </row>
    <row r="449" spans="1:10" hidden="1" x14ac:dyDescent="0.25">
      <c r="A449" s="151">
        <v>1</v>
      </c>
      <c r="B449" s="106" t="str">
        <f>'Funding 2019'!$K$107</f>
        <v>EGMM0019H247</v>
      </c>
      <c r="C449" s="355">
        <v>5300000251</v>
      </c>
      <c r="D449" s="355">
        <v>4500135206</v>
      </c>
      <c r="E449" s="152" t="s">
        <v>504</v>
      </c>
      <c r="F449" s="153">
        <f>2483558000*0</f>
        <v>0</v>
      </c>
      <c r="G449" s="153">
        <v>2465386000</v>
      </c>
      <c r="H449" s="153"/>
      <c r="I449" s="366">
        <f t="shared" si="14"/>
        <v>151977.93120453705</v>
      </c>
      <c r="J449" t="str">
        <f t="shared" si="15"/>
        <v>53000</v>
      </c>
    </row>
    <row r="450" spans="1:10" hidden="1" x14ac:dyDescent="0.25">
      <c r="A450" s="151">
        <v>11</v>
      </c>
      <c r="B450" s="106" t="str">
        <f>'Funding 2019'!$K$73</f>
        <v>EGMMEPC19002</v>
      </c>
      <c r="C450" s="355">
        <v>5300000253</v>
      </c>
      <c r="D450" s="355">
        <v>4500135216</v>
      </c>
      <c r="E450" s="152" t="s">
        <v>592</v>
      </c>
      <c r="F450" s="166"/>
      <c r="G450" s="183">
        <v>676260000</v>
      </c>
      <c r="H450" s="166"/>
      <c r="I450" s="366">
        <f t="shared" si="14"/>
        <v>41687.831340155346</v>
      </c>
      <c r="J450" t="str">
        <f t="shared" si="15"/>
        <v>53000</v>
      </c>
    </row>
    <row r="451" spans="1:10" hidden="1" x14ac:dyDescent="0.25">
      <c r="A451" s="151">
        <v>24</v>
      </c>
      <c r="B451" s="106" t="str">
        <f>'Funding 2019'!$K$106</f>
        <v>EGMM0019M264</v>
      </c>
      <c r="C451" s="355">
        <v>6100000785</v>
      </c>
      <c r="D451" s="355" t="s">
        <v>832</v>
      </c>
      <c r="E451" s="152" t="s">
        <v>634</v>
      </c>
      <c r="F451" s="166">
        <f>101829686*0</f>
        <v>0</v>
      </c>
      <c r="G451" s="183">
        <v>99934114</v>
      </c>
      <c r="H451" s="166"/>
      <c r="I451" s="366">
        <f t="shared" ref="I451:I514" si="16">SUM(F451:H451)/16222</f>
        <v>6160.4064850203431</v>
      </c>
      <c r="J451" t="str">
        <f t="shared" ref="J451:J514" si="17">IF(C451="",LEFT(D451,5),LEFT(C451,5))</f>
        <v>61000</v>
      </c>
    </row>
    <row r="452" spans="1:10" hidden="1" x14ac:dyDescent="0.25">
      <c r="A452" s="151">
        <v>1</v>
      </c>
      <c r="B452" s="106" t="str">
        <f>'Funding 2019'!$K$109</f>
        <v>EGMMTA19V167</v>
      </c>
      <c r="C452" s="355">
        <v>5300000258</v>
      </c>
      <c r="D452" s="355">
        <v>4500135205</v>
      </c>
      <c r="E452" s="152" t="s">
        <v>694</v>
      </c>
      <c r="F452" s="166"/>
      <c r="G452" s="166">
        <v>2960160154</v>
      </c>
      <c r="H452" s="166"/>
      <c r="I452" s="366">
        <f t="shared" si="16"/>
        <v>182478.12563185798</v>
      </c>
      <c r="J452" t="str">
        <f t="shared" si="17"/>
        <v>53000</v>
      </c>
    </row>
    <row r="453" spans="1:10" hidden="1" x14ac:dyDescent="0.25">
      <c r="A453" s="151">
        <v>13</v>
      </c>
      <c r="B453" s="106" t="str">
        <f>'Funding 2019'!$K$72</f>
        <v>EGMMEPC19001</v>
      </c>
      <c r="C453" s="355">
        <v>5300000263</v>
      </c>
      <c r="D453" s="355"/>
      <c r="E453" s="152" t="s">
        <v>801</v>
      </c>
      <c r="F453" s="153">
        <v>10043916</v>
      </c>
      <c r="G453" s="153"/>
      <c r="H453" s="153"/>
      <c r="I453" s="366">
        <f t="shared" si="16"/>
        <v>619.15398841080014</v>
      </c>
      <c r="J453" t="str">
        <f t="shared" si="17"/>
        <v>53000</v>
      </c>
    </row>
    <row r="454" spans="1:10" hidden="1" x14ac:dyDescent="0.25">
      <c r="A454" s="151">
        <v>28</v>
      </c>
      <c r="B454" s="106" t="str">
        <f>'Funding 2019'!$K$106</f>
        <v>EGMM0019M264</v>
      </c>
      <c r="C454" s="355">
        <v>4400000978</v>
      </c>
      <c r="D454" s="355">
        <v>7500000935</v>
      </c>
      <c r="E454" s="152" t="s">
        <v>286</v>
      </c>
      <c r="F454" s="166"/>
      <c r="G454" s="183">
        <v>27071003</v>
      </c>
      <c r="H454" s="166"/>
      <c r="I454" s="366">
        <f t="shared" si="16"/>
        <v>1668.7833189495746</v>
      </c>
      <c r="J454" t="str">
        <f t="shared" si="17"/>
        <v>44000</v>
      </c>
    </row>
    <row r="455" spans="1:10" hidden="1" x14ac:dyDescent="0.25">
      <c r="A455" s="151">
        <v>29</v>
      </c>
      <c r="B455" s="106" t="str">
        <f>'Funding 2019'!$K$106</f>
        <v>EGMM0019M264</v>
      </c>
      <c r="C455" s="355">
        <v>6100000793</v>
      </c>
      <c r="D455" s="355" t="s">
        <v>833</v>
      </c>
      <c r="E455" s="152" t="s">
        <v>760</v>
      </c>
      <c r="F455" s="166">
        <f>17474594*0</f>
        <v>0</v>
      </c>
      <c r="G455" s="183">
        <v>17346824</v>
      </c>
      <c r="H455" s="166"/>
      <c r="I455" s="366">
        <f t="shared" si="16"/>
        <v>1069.339415608433</v>
      </c>
      <c r="J455" t="str">
        <f t="shared" si="17"/>
        <v>61000</v>
      </c>
    </row>
    <row r="456" spans="1:10" hidden="1" x14ac:dyDescent="0.25">
      <c r="A456" s="151">
        <v>30</v>
      </c>
      <c r="B456" s="106" t="str">
        <f>'Funding 2019'!$K$106</f>
        <v>EGMM0019M264</v>
      </c>
      <c r="C456" s="355">
        <v>5500011950</v>
      </c>
      <c r="D456" s="355"/>
      <c r="E456" s="152" t="s">
        <v>764</v>
      </c>
      <c r="F456" s="183">
        <v>8957500</v>
      </c>
      <c r="G456" s="166"/>
      <c r="H456" s="166"/>
      <c r="I456" s="366">
        <f t="shared" si="16"/>
        <v>552.1822216742695</v>
      </c>
      <c r="J456" t="str">
        <f t="shared" si="17"/>
        <v>55000</v>
      </c>
    </row>
    <row r="457" spans="1:10" hidden="1" x14ac:dyDescent="0.25">
      <c r="A457" s="151">
        <v>31</v>
      </c>
      <c r="B457" s="106" t="str">
        <f>'Funding 2019'!$K$106</f>
        <v>EGMM0019M264</v>
      </c>
      <c r="C457" s="355">
        <v>5500011951</v>
      </c>
      <c r="D457" s="355"/>
      <c r="E457" s="152" t="s">
        <v>768</v>
      </c>
      <c r="F457" s="183">
        <v>2925020</v>
      </c>
      <c r="G457" s="166"/>
      <c r="H457" s="166"/>
      <c r="I457" s="366">
        <f t="shared" si="16"/>
        <v>180.31192208112441</v>
      </c>
      <c r="J457" t="str">
        <f t="shared" si="17"/>
        <v>55000</v>
      </c>
    </row>
    <row r="458" spans="1:10" hidden="1" x14ac:dyDescent="0.25">
      <c r="A458" s="151">
        <v>1</v>
      </c>
      <c r="B458" s="106" t="str">
        <f>'Funding 2019'!$K$110</f>
        <v>EGMMLA19V167</v>
      </c>
      <c r="C458" s="355">
        <v>5500011027</v>
      </c>
      <c r="D458" s="355"/>
      <c r="E458" s="152" t="s">
        <v>754</v>
      </c>
      <c r="F458" s="166">
        <f>1000000*0</f>
        <v>0</v>
      </c>
      <c r="G458" s="166"/>
      <c r="H458" s="336"/>
      <c r="I458" s="366">
        <f t="shared" si="16"/>
        <v>0</v>
      </c>
      <c r="J458" t="str">
        <f t="shared" si="17"/>
        <v>55000</v>
      </c>
    </row>
    <row r="459" spans="1:10" hidden="1" x14ac:dyDescent="0.25">
      <c r="A459" s="151">
        <v>33</v>
      </c>
      <c r="B459" s="106" t="str">
        <f>'Funding 2019'!$K$106</f>
        <v>EGMM0019M264</v>
      </c>
      <c r="C459" s="355">
        <v>5500011987</v>
      </c>
      <c r="D459" s="355"/>
      <c r="E459" s="152" t="s">
        <v>830</v>
      </c>
      <c r="F459" s="183">
        <v>8700000</v>
      </c>
      <c r="G459" s="166"/>
      <c r="H459" s="166"/>
      <c r="I459" s="366">
        <f t="shared" si="16"/>
        <v>536.30871655776104</v>
      </c>
      <c r="J459" t="str">
        <f t="shared" si="17"/>
        <v>55000</v>
      </c>
    </row>
    <row r="460" spans="1:10" hidden="1" x14ac:dyDescent="0.25">
      <c r="A460" s="151">
        <v>34</v>
      </c>
      <c r="B460" s="106" t="str">
        <f>'Funding 2019'!$K$106</f>
        <v>EGMM0019M264</v>
      </c>
      <c r="C460" s="355">
        <v>5500011986</v>
      </c>
      <c r="D460" s="355"/>
      <c r="E460" s="152" t="s">
        <v>831</v>
      </c>
      <c r="F460" s="183">
        <v>5081658</v>
      </c>
      <c r="G460" s="166"/>
      <c r="H460" s="166"/>
      <c r="I460" s="366">
        <f t="shared" si="16"/>
        <v>313.25718160522746</v>
      </c>
      <c r="J460" t="str">
        <f t="shared" si="17"/>
        <v>55000</v>
      </c>
    </row>
    <row r="461" spans="1:10" hidden="1" x14ac:dyDescent="0.25">
      <c r="A461" s="151">
        <v>35</v>
      </c>
      <c r="B461" s="106" t="str">
        <f>'Funding 2019'!$K$106</f>
        <v>EGMM0019M264</v>
      </c>
      <c r="C461" s="355">
        <v>5500011994</v>
      </c>
      <c r="D461" s="355"/>
      <c r="E461" s="152" t="s">
        <v>835</v>
      </c>
      <c r="F461" s="183">
        <v>4000000</v>
      </c>
      <c r="G461" s="166"/>
      <c r="H461" s="166"/>
      <c r="I461" s="366">
        <f t="shared" si="16"/>
        <v>246.57872025644187</v>
      </c>
      <c r="J461" t="str">
        <f t="shared" si="17"/>
        <v>55000</v>
      </c>
    </row>
    <row r="462" spans="1:10" hidden="1" x14ac:dyDescent="0.25">
      <c r="A462" s="151">
        <v>1</v>
      </c>
      <c r="B462" s="106" t="str">
        <f>'Funding 2019'!$K$51</f>
        <v>CGMMQPC19001</v>
      </c>
      <c r="C462" s="355">
        <v>5500011218</v>
      </c>
      <c r="D462" s="355"/>
      <c r="E462" s="152" t="s">
        <v>250</v>
      </c>
      <c r="F462" s="166">
        <f>14922600*0</f>
        <v>0</v>
      </c>
      <c r="G462" s="166"/>
      <c r="H462" s="166">
        <v>14922600</v>
      </c>
      <c r="I462" s="366">
        <f t="shared" si="16"/>
        <v>919.89890272469484</v>
      </c>
      <c r="J462" t="str">
        <f t="shared" si="17"/>
        <v>55000</v>
      </c>
    </row>
    <row r="463" spans="1:10" hidden="1" x14ac:dyDescent="0.25">
      <c r="A463" s="151">
        <v>36</v>
      </c>
      <c r="B463" s="106" t="str">
        <f>'Funding 2019'!$K$106</f>
        <v>EGMM0019M264</v>
      </c>
      <c r="C463" s="355"/>
      <c r="D463" s="355"/>
      <c r="E463" s="152" t="s">
        <v>550</v>
      </c>
      <c r="F463" s="166">
        <f>-34588400*0</f>
        <v>0</v>
      </c>
      <c r="G463" s="166"/>
      <c r="H463" s="183">
        <f>252612342-122241111</f>
        <v>130371231</v>
      </c>
      <c r="I463" s="366">
        <f t="shared" si="16"/>
        <v>8036.6928245592408</v>
      </c>
      <c r="J463" t="str">
        <f t="shared" si="17"/>
        <v/>
      </c>
    </row>
    <row r="464" spans="1:10" hidden="1" x14ac:dyDescent="0.25">
      <c r="A464" s="151">
        <v>3</v>
      </c>
      <c r="B464" s="106" t="str">
        <f>'Funding 2019'!$K$73</f>
        <v>EGMMEPC19002</v>
      </c>
      <c r="C464" s="355">
        <v>5500011239</v>
      </c>
      <c r="D464" s="355"/>
      <c r="E464" s="152" t="s">
        <v>245</v>
      </c>
      <c r="F464" s="166">
        <f>2625000*0</f>
        <v>0</v>
      </c>
      <c r="G464" s="166"/>
      <c r="H464" s="166">
        <f>2625000+571000</f>
        <v>3196000</v>
      </c>
      <c r="I464" s="366">
        <f t="shared" si="16"/>
        <v>197.01639748489706</v>
      </c>
      <c r="J464" t="str">
        <f t="shared" si="17"/>
        <v>55000</v>
      </c>
    </row>
    <row r="465" spans="1:10" hidden="1" x14ac:dyDescent="0.25">
      <c r="A465" s="151">
        <v>2</v>
      </c>
      <c r="B465" s="106" t="str">
        <f>'Funding 2019'!$K$107</f>
        <v>EGMM0019H247</v>
      </c>
      <c r="C465" s="355"/>
      <c r="D465" s="355"/>
      <c r="E465" s="152"/>
      <c r="F465" s="153"/>
      <c r="G465" s="153"/>
      <c r="H465" s="153"/>
      <c r="I465" s="366">
        <f t="shared" si="16"/>
        <v>0</v>
      </c>
      <c r="J465" t="str">
        <f t="shared" si="17"/>
        <v/>
      </c>
    </row>
    <row r="466" spans="1:10" hidden="1" x14ac:dyDescent="0.25">
      <c r="A466" s="151">
        <v>3</v>
      </c>
      <c r="B466" s="106" t="str">
        <f>'Funding 2019'!$K$107</f>
        <v>EGMM0019H247</v>
      </c>
      <c r="C466" s="355"/>
      <c r="D466" s="355"/>
      <c r="E466" s="152"/>
      <c r="F466" s="153"/>
      <c r="G466" s="153"/>
      <c r="H466" s="153"/>
      <c r="I466" s="366">
        <f t="shared" si="16"/>
        <v>0</v>
      </c>
      <c r="J466" t="str">
        <f t="shared" si="17"/>
        <v/>
      </c>
    </row>
    <row r="467" spans="1:10" hidden="1" x14ac:dyDescent="0.25">
      <c r="A467" s="151">
        <v>4</v>
      </c>
      <c r="B467" s="106" t="str">
        <f>'Funding 2019'!$K$107</f>
        <v>EGMM0019H247</v>
      </c>
      <c r="C467" s="355"/>
      <c r="D467" s="355"/>
      <c r="E467" s="152"/>
      <c r="F467" s="153"/>
      <c r="G467" s="153"/>
      <c r="H467" s="153"/>
      <c r="I467" s="366">
        <f t="shared" si="16"/>
        <v>0</v>
      </c>
      <c r="J467" t="str">
        <f t="shared" si="17"/>
        <v/>
      </c>
    </row>
    <row r="468" spans="1:10" hidden="1" x14ac:dyDescent="0.25">
      <c r="A468" s="151">
        <v>1</v>
      </c>
      <c r="B468" s="106" t="str">
        <f>'Funding 2019'!$K$108</f>
        <v>EGMM0019V167</v>
      </c>
      <c r="C468" s="355">
        <v>6100000691</v>
      </c>
      <c r="D468" s="355">
        <v>330918301</v>
      </c>
      <c r="E468" s="152" t="s">
        <v>179</v>
      </c>
      <c r="F468" s="166"/>
      <c r="G468" s="166">
        <f>82583531*0</f>
        <v>0</v>
      </c>
      <c r="H468" s="334">
        <v>170492549</v>
      </c>
      <c r="I468" s="366">
        <f t="shared" si="16"/>
        <v>10509.958636419677</v>
      </c>
      <c r="J468" t="str">
        <f t="shared" si="17"/>
        <v>61000</v>
      </c>
    </row>
    <row r="469" spans="1:10" hidden="1" x14ac:dyDescent="0.25">
      <c r="A469" s="151">
        <v>2</v>
      </c>
      <c r="B469" s="106" t="str">
        <f>'Funding 2019'!$K$108</f>
        <v>EGMM0019V167</v>
      </c>
      <c r="C469" s="355">
        <v>6100000695</v>
      </c>
      <c r="D469" s="355">
        <v>331018302</v>
      </c>
      <c r="E469" s="152" t="s">
        <v>288</v>
      </c>
      <c r="F469" s="166"/>
      <c r="G469" s="166">
        <f>9927415*0</f>
        <v>0</v>
      </c>
      <c r="H469" s="334">
        <v>24359313</v>
      </c>
      <c r="I469" s="366">
        <f t="shared" si="16"/>
        <v>1501.6220564665268</v>
      </c>
      <c r="J469" t="str">
        <f t="shared" si="17"/>
        <v>61000</v>
      </c>
    </row>
    <row r="470" spans="1:10" hidden="1" x14ac:dyDescent="0.25">
      <c r="A470" s="151">
        <v>3</v>
      </c>
      <c r="B470" s="106" t="str">
        <f>'Funding 2019'!$K$108</f>
        <v>EGMM0019V167</v>
      </c>
      <c r="C470" s="363">
        <v>6100000696</v>
      </c>
      <c r="D470" s="363">
        <v>331018803</v>
      </c>
      <c r="E470" s="178" t="s">
        <v>289</v>
      </c>
      <c r="F470" s="166">
        <f>0*6969097</f>
        <v>0</v>
      </c>
      <c r="G470" s="166">
        <f>6603417*0</f>
        <v>0</v>
      </c>
      <c r="H470" s="334">
        <v>186558043</v>
      </c>
      <c r="I470" s="366">
        <f t="shared" si="16"/>
        <v>11500.310874121564</v>
      </c>
      <c r="J470" t="str">
        <f t="shared" si="17"/>
        <v>61000</v>
      </c>
    </row>
    <row r="471" spans="1:10" hidden="1" x14ac:dyDescent="0.25">
      <c r="A471" s="151"/>
      <c r="B471" s="106" t="str">
        <f>'Funding 2019'!$K$108</f>
        <v>EGMM0019V167</v>
      </c>
      <c r="C471" s="363">
        <v>6100000696</v>
      </c>
      <c r="D471" s="363" t="s">
        <v>817</v>
      </c>
      <c r="E471" s="178" t="s">
        <v>289</v>
      </c>
      <c r="F471" s="166"/>
      <c r="G471" s="166"/>
      <c r="H471" s="334">
        <v>30781544</v>
      </c>
      <c r="I471" s="366">
        <f t="shared" si="16"/>
        <v>1897.5184317593391</v>
      </c>
      <c r="J471" t="str">
        <f t="shared" si="17"/>
        <v>61000</v>
      </c>
    </row>
    <row r="472" spans="1:10" hidden="1" x14ac:dyDescent="0.25">
      <c r="A472" s="151">
        <v>4</v>
      </c>
      <c r="B472" s="106" t="str">
        <f>'Funding 2019'!$K$108</f>
        <v>EGMM0019V167</v>
      </c>
      <c r="C472" s="363">
        <v>6100000698</v>
      </c>
      <c r="D472" s="363" t="s">
        <v>180</v>
      </c>
      <c r="E472" s="178" t="s">
        <v>290</v>
      </c>
      <c r="F472" s="166"/>
      <c r="G472" s="166">
        <f>6736427*0</f>
        <v>0</v>
      </c>
      <c r="H472" s="334">
        <v>54984045</v>
      </c>
      <c r="I472" s="366">
        <f t="shared" si="16"/>
        <v>3389.4738626556527</v>
      </c>
      <c r="J472" t="str">
        <f t="shared" si="17"/>
        <v>61000</v>
      </c>
    </row>
    <row r="473" spans="1:10" hidden="1" x14ac:dyDescent="0.25">
      <c r="A473" s="151">
        <v>4</v>
      </c>
      <c r="B473" s="106" t="str">
        <f>'Funding 2019'!$K$73</f>
        <v>EGMMEPC19002</v>
      </c>
      <c r="C473" s="355">
        <v>5500011240</v>
      </c>
      <c r="D473" s="355"/>
      <c r="E473" s="152" t="s">
        <v>246</v>
      </c>
      <c r="F473" s="166">
        <f>3528000*0</f>
        <v>0</v>
      </c>
      <c r="G473" s="166"/>
      <c r="H473" s="166">
        <v>3528000</v>
      </c>
      <c r="I473" s="366">
        <f t="shared" si="16"/>
        <v>217.48243126618172</v>
      </c>
      <c r="J473" t="str">
        <f t="shared" si="17"/>
        <v>55000</v>
      </c>
    </row>
    <row r="474" spans="1:10" hidden="1" x14ac:dyDescent="0.25">
      <c r="A474" s="151">
        <v>5</v>
      </c>
      <c r="B474" s="106" t="str">
        <f>'Funding 2019'!$K$73</f>
        <v>EGMMEPC19002</v>
      </c>
      <c r="C474" s="355">
        <v>5500011241</v>
      </c>
      <c r="D474" s="355"/>
      <c r="E474" s="152" t="s">
        <v>279</v>
      </c>
      <c r="F474" s="166">
        <f>12880000*0</f>
        <v>0</v>
      </c>
      <c r="G474" s="166"/>
      <c r="H474" s="166">
        <v>12880000</v>
      </c>
      <c r="I474" s="366">
        <f t="shared" si="16"/>
        <v>793.98347922574283</v>
      </c>
      <c r="J474" t="str">
        <f t="shared" si="17"/>
        <v>55000</v>
      </c>
    </row>
    <row r="475" spans="1:10" hidden="1" x14ac:dyDescent="0.25">
      <c r="A475" s="151">
        <v>7</v>
      </c>
      <c r="B475" s="106" t="str">
        <f>'Funding 2019'!$K$108</f>
        <v>EGMM0019V167</v>
      </c>
      <c r="C475" s="355">
        <v>6100000711</v>
      </c>
      <c r="D475" s="355">
        <v>330119802</v>
      </c>
      <c r="E475" s="152" t="s">
        <v>293</v>
      </c>
      <c r="F475" s="166"/>
      <c r="G475" s="166"/>
      <c r="H475" s="334">
        <v>60381529</v>
      </c>
      <c r="I475" s="366">
        <f t="shared" si="16"/>
        <v>3722.2000369868078</v>
      </c>
      <c r="J475" t="str">
        <f t="shared" si="17"/>
        <v>61000</v>
      </c>
    </row>
    <row r="476" spans="1:10" hidden="1" x14ac:dyDescent="0.25">
      <c r="A476" s="151">
        <v>8</v>
      </c>
      <c r="B476" s="106" t="str">
        <f>'Funding 2019'!$K$108</f>
        <v>EGMM0019V167</v>
      </c>
      <c r="C476" s="355">
        <v>6100000715</v>
      </c>
      <c r="D476" s="355">
        <v>330119806</v>
      </c>
      <c r="E476" s="152" t="s">
        <v>294</v>
      </c>
      <c r="F476" s="166"/>
      <c r="G476" s="166">
        <f>2902618*0</f>
        <v>0</v>
      </c>
      <c r="H476" s="334">
        <v>14522655</v>
      </c>
      <c r="I476" s="366">
        <f t="shared" si="16"/>
        <v>895.24442115645422</v>
      </c>
      <c r="J476" t="str">
        <f t="shared" si="17"/>
        <v>61000</v>
      </c>
    </row>
    <row r="477" spans="1:10" hidden="1" x14ac:dyDescent="0.25">
      <c r="A477" s="151">
        <v>9</v>
      </c>
      <c r="B477" s="106" t="str">
        <f>'Funding 2019'!$K$108</f>
        <v>EGMM0019V167</v>
      </c>
      <c r="C477" s="355">
        <v>4400000609</v>
      </c>
      <c r="D477" s="355">
        <v>7500000581</v>
      </c>
      <c r="E477" s="279" t="s">
        <v>295</v>
      </c>
      <c r="F477" s="166"/>
      <c r="G477" s="166">
        <f>6000000*0</f>
        <v>0</v>
      </c>
      <c r="H477" s="334">
        <v>6000000</v>
      </c>
      <c r="I477" s="366">
        <f t="shared" si="16"/>
        <v>369.86808038466279</v>
      </c>
      <c r="J477" t="str">
        <f t="shared" si="17"/>
        <v>44000</v>
      </c>
    </row>
    <row r="478" spans="1:10" hidden="1" x14ac:dyDescent="0.25">
      <c r="A478" s="151">
        <v>4</v>
      </c>
      <c r="B478" s="106" t="str">
        <f>'Funding 2019'!$K$57</f>
        <v>CGMMLOG19001</v>
      </c>
      <c r="C478" s="355">
        <v>5500011245</v>
      </c>
      <c r="D478" s="355"/>
      <c r="E478" s="152" t="s">
        <v>253</v>
      </c>
      <c r="F478" s="153">
        <f>14599200*0</f>
        <v>0</v>
      </c>
      <c r="G478" s="153"/>
      <c r="H478" s="153">
        <v>14599200</v>
      </c>
      <c r="I478" s="366">
        <f t="shared" si="16"/>
        <v>899.96301319196152</v>
      </c>
      <c r="J478" t="str">
        <f t="shared" si="17"/>
        <v>55000</v>
      </c>
    </row>
    <row r="479" spans="1:10" hidden="1" x14ac:dyDescent="0.25">
      <c r="A479" s="151">
        <v>5</v>
      </c>
      <c r="B479" s="106" t="str">
        <f>'Funding 2019'!$K$57</f>
        <v>CGMMLOG19001</v>
      </c>
      <c r="C479" s="355">
        <v>5500011247</v>
      </c>
      <c r="D479" s="355"/>
      <c r="E479" s="152" t="s">
        <v>254</v>
      </c>
      <c r="F479" s="153">
        <f>15768750*0</f>
        <v>0</v>
      </c>
      <c r="G479" s="153"/>
      <c r="H479" s="153">
        <f>12781750+797500+2189500</f>
        <v>15768750</v>
      </c>
      <c r="I479" s="366">
        <f t="shared" si="16"/>
        <v>972.05954876094188</v>
      </c>
      <c r="J479" t="str">
        <f t="shared" si="17"/>
        <v>55000</v>
      </c>
    </row>
    <row r="480" spans="1:10" hidden="1" x14ac:dyDescent="0.25">
      <c r="A480" s="151">
        <v>11</v>
      </c>
      <c r="B480" s="106" t="str">
        <f>'Funding 2019'!$K$108</f>
        <v>EGMM0019V167</v>
      </c>
      <c r="C480" s="355">
        <v>6100000719</v>
      </c>
      <c r="D480" s="355">
        <v>330119809</v>
      </c>
      <c r="E480" s="152" t="s">
        <v>297</v>
      </c>
      <c r="F480" s="166"/>
      <c r="G480" s="166">
        <f>3573058*0</f>
        <v>0</v>
      </c>
      <c r="H480" s="334">
        <v>2880028</v>
      </c>
      <c r="I480" s="366">
        <f t="shared" si="16"/>
        <v>177.53840463567994</v>
      </c>
      <c r="J480" t="str">
        <f t="shared" si="17"/>
        <v>61000</v>
      </c>
    </row>
    <row r="481" spans="1:10" hidden="1" x14ac:dyDescent="0.25">
      <c r="A481" s="151">
        <v>6</v>
      </c>
      <c r="B481" s="106" t="str">
        <f>'Funding 2019'!$K$57</f>
        <v>CGMMLOG19001</v>
      </c>
      <c r="C481" s="355">
        <v>5500011259</v>
      </c>
      <c r="D481" s="355"/>
      <c r="E481" s="152" t="s">
        <v>255</v>
      </c>
      <c r="F481" s="153">
        <f>3576090*0</f>
        <v>0</v>
      </c>
      <c r="G481" s="153"/>
      <c r="H481" s="153">
        <v>3576090</v>
      </c>
      <c r="I481" s="366">
        <f t="shared" si="16"/>
        <v>220.44692393046481</v>
      </c>
      <c r="J481" t="str">
        <f t="shared" si="17"/>
        <v>55000</v>
      </c>
    </row>
    <row r="482" spans="1:10" hidden="1" x14ac:dyDescent="0.25">
      <c r="A482" s="151">
        <v>12</v>
      </c>
      <c r="B482" s="331" t="str">
        <f>'Funding 2019'!$K$106</f>
        <v>EGMM0019M264</v>
      </c>
      <c r="C482" s="357">
        <v>5500011372</v>
      </c>
      <c r="D482" s="357"/>
      <c r="E482" s="284" t="s">
        <v>413</v>
      </c>
      <c r="F482" s="341"/>
      <c r="G482" s="280"/>
      <c r="H482" s="166">
        <v>10936080</v>
      </c>
      <c r="I482" s="366">
        <f t="shared" si="16"/>
        <v>674.15115275551716</v>
      </c>
      <c r="J482" t="str">
        <f t="shared" si="17"/>
        <v>55000</v>
      </c>
    </row>
    <row r="483" spans="1:10" hidden="1" x14ac:dyDescent="0.25">
      <c r="A483" s="151">
        <v>14</v>
      </c>
      <c r="B483" s="106" t="str">
        <f>'Funding 2019'!$K$108</f>
        <v>EGMM0019V167</v>
      </c>
      <c r="C483" s="355">
        <v>4400000634</v>
      </c>
      <c r="D483" s="355">
        <v>7500000604</v>
      </c>
      <c r="E483" s="152" t="s">
        <v>300</v>
      </c>
      <c r="F483" s="166"/>
      <c r="G483" s="166">
        <f>12935500*0</f>
        <v>0</v>
      </c>
      <c r="H483" s="334">
        <v>12935500</v>
      </c>
      <c r="I483" s="366">
        <f t="shared" si="16"/>
        <v>797.40475896930093</v>
      </c>
      <c r="J483" t="str">
        <f t="shared" si="17"/>
        <v>44000</v>
      </c>
    </row>
    <row r="484" spans="1:10" hidden="1" x14ac:dyDescent="0.25">
      <c r="A484" s="151">
        <v>4</v>
      </c>
      <c r="B484" s="106" t="str">
        <f>'Funding 2019'!$K$72</f>
        <v>EGMMEPC19001</v>
      </c>
      <c r="C484" s="355">
        <v>5500011392</v>
      </c>
      <c r="D484" s="355"/>
      <c r="E484" s="152" t="s">
        <v>398</v>
      </c>
      <c r="F484" s="153">
        <f>13750000*0</f>
        <v>0</v>
      </c>
      <c r="G484" s="153"/>
      <c r="H484" s="183">
        <f>13750000+3918450+1875000+3700000</f>
        <v>23243450</v>
      </c>
      <c r="I484" s="366">
        <f t="shared" si="16"/>
        <v>1432.8350388361484</v>
      </c>
      <c r="J484" t="str">
        <f t="shared" si="17"/>
        <v>55000</v>
      </c>
    </row>
    <row r="485" spans="1:10" hidden="1" x14ac:dyDescent="0.25">
      <c r="A485" s="151">
        <v>20</v>
      </c>
      <c r="B485" s="106" t="str">
        <f>'Funding 2019'!$K$106</f>
        <v>EGMM0019M264</v>
      </c>
      <c r="C485" s="355">
        <v>5500011420</v>
      </c>
      <c r="D485" s="355"/>
      <c r="E485" s="152" t="s">
        <v>420</v>
      </c>
      <c r="F485" s="166">
        <f>6539750*0</f>
        <v>0</v>
      </c>
      <c r="G485" s="166"/>
      <c r="H485" s="166"/>
      <c r="I485" s="366">
        <f t="shared" si="16"/>
        <v>0</v>
      </c>
      <c r="J485" t="str">
        <f t="shared" si="17"/>
        <v>55000</v>
      </c>
    </row>
    <row r="486" spans="1:10" hidden="1" x14ac:dyDescent="0.25">
      <c r="A486" s="151">
        <v>1</v>
      </c>
      <c r="B486" s="106" t="str">
        <f>'Funding 2019'!$K$103</f>
        <v>EGMM0019W205</v>
      </c>
      <c r="C486" s="355">
        <v>5500011429</v>
      </c>
      <c r="D486" s="355"/>
      <c r="E486" s="152" t="s">
        <v>423</v>
      </c>
      <c r="F486" s="166">
        <f>2118000*0</f>
        <v>0</v>
      </c>
      <c r="G486" s="166"/>
      <c r="H486" s="294">
        <f>10956000+9121972</f>
        <v>20077972</v>
      </c>
      <c r="I486" s="366">
        <f t="shared" si="16"/>
        <v>1237.7001602761682</v>
      </c>
      <c r="J486" t="str">
        <f t="shared" si="17"/>
        <v>55000</v>
      </c>
    </row>
    <row r="487" spans="1:10" hidden="1" x14ac:dyDescent="0.25">
      <c r="A487" s="151">
        <v>1</v>
      </c>
      <c r="B487" s="106" t="str">
        <f>'Funding 2019'!$K$17</f>
        <v>CGMMITM19002</v>
      </c>
      <c r="C487" s="356">
        <v>5500011522</v>
      </c>
      <c r="D487" s="356"/>
      <c r="E487" s="165" t="s">
        <v>487</v>
      </c>
      <c r="F487" s="166"/>
      <c r="G487" s="166"/>
      <c r="H487" s="287">
        <v>12450000</v>
      </c>
      <c r="I487" s="366">
        <f t="shared" si="16"/>
        <v>767.47626679817529</v>
      </c>
      <c r="J487" t="str">
        <f t="shared" si="17"/>
        <v>55000</v>
      </c>
    </row>
    <row r="488" spans="1:10" hidden="1" x14ac:dyDescent="0.25">
      <c r="A488" s="151">
        <v>19</v>
      </c>
      <c r="B488" s="106" t="str">
        <f>'Funding 2019'!$K$108</f>
        <v>EGMM0019V167</v>
      </c>
      <c r="C488" s="355">
        <v>6100000736</v>
      </c>
      <c r="D488" s="355">
        <v>330319801</v>
      </c>
      <c r="E488" s="152" t="s">
        <v>360</v>
      </c>
      <c r="F488" s="166">
        <f>8416331*0</f>
        <v>0</v>
      </c>
      <c r="G488" s="166"/>
      <c r="H488" s="334">
        <v>57707313</v>
      </c>
      <c r="I488" s="366">
        <f t="shared" si="16"/>
        <v>3557.3488472444828</v>
      </c>
      <c r="J488" t="str">
        <f t="shared" si="17"/>
        <v>61000</v>
      </c>
    </row>
    <row r="489" spans="1:10" hidden="1" x14ac:dyDescent="0.25">
      <c r="A489" s="151">
        <v>19</v>
      </c>
      <c r="B489" s="106" t="str">
        <f>'Funding 2019'!$K$108</f>
        <v>EGMM0019V167</v>
      </c>
      <c r="C489" s="355">
        <v>6100000736</v>
      </c>
      <c r="D489" s="355" t="s">
        <v>816</v>
      </c>
      <c r="E489" s="152" t="s">
        <v>360</v>
      </c>
      <c r="F489" s="166"/>
      <c r="G489" s="166"/>
      <c r="H489" s="334">
        <v>17197089</v>
      </c>
      <c r="I489" s="366">
        <f t="shared" si="16"/>
        <v>1060.1090494390335</v>
      </c>
      <c r="J489" t="str">
        <f t="shared" si="17"/>
        <v>61000</v>
      </c>
    </row>
    <row r="490" spans="1:10" hidden="1" x14ac:dyDescent="0.25">
      <c r="A490" s="151">
        <v>5</v>
      </c>
      <c r="B490" s="106" t="str">
        <f>'Funding 2019'!$K$61</f>
        <v>CGMMPRD19000</v>
      </c>
      <c r="C490" s="355">
        <v>5500011527</v>
      </c>
      <c r="D490" s="355">
        <v>192020719</v>
      </c>
      <c r="E490" s="152" t="s">
        <v>443</v>
      </c>
      <c r="F490" s="153">
        <f>15000000*0</f>
        <v>0</v>
      </c>
      <c r="G490" s="153"/>
      <c r="H490" s="287">
        <v>15000000</v>
      </c>
      <c r="I490" s="366">
        <f t="shared" si="16"/>
        <v>924.67020096165697</v>
      </c>
      <c r="J490" t="str">
        <f t="shared" si="17"/>
        <v>55000</v>
      </c>
    </row>
    <row r="491" spans="1:10" hidden="1" x14ac:dyDescent="0.25">
      <c r="A491" s="151">
        <v>21</v>
      </c>
      <c r="B491" s="106" t="str">
        <f>'Funding 2019'!$K$108</f>
        <v>EGMM0019V167</v>
      </c>
      <c r="C491" s="355">
        <v>4400000701</v>
      </c>
      <c r="D491" s="355">
        <v>7500000670</v>
      </c>
      <c r="E491" s="152" t="s">
        <v>362</v>
      </c>
      <c r="F491" s="166"/>
      <c r="G491" s="166">
        <f>77613000*0</f>
        <v>0</v>
      </c>
      <c r="H491" s="334">
        <v>77613000</v>
      </c>
      <c r="I491" s="366">
        <f t="shared" si="16"/>
        <v>4784.4285538158056</v>
      </c>
      <c r="J491" t="str">
        <f t="shared" si="17"/>
        <v>44000</v>
      </c>
    </row>
    <row r="492" spans="1:10" hidden="1" x14ac:dyDescent="0.25">
      <c r="A492" s="151">
        <v>22</v>
      </c>
      <c r="B492" s="106" t="str">
        <f>'Funding 2019'!$K$108</f>
        <v>EGMM0019V167</v>
      </c>
      <c r="C492" s="355">
        <v>4400000703</v>
      </c>
      <c r="D492" s="355">
        <v>7500000671</v>
      </c>
      <c r="E492" s="152" t="s">
        <v>363</v>
      </c>
      <c r="F492" s="166"/>
      <c r="G492" s="166">
        <f>0*77613000</f>
        <v>0</v>
      </c>
      <c r="H492" s="334">
        <v>77613000</v>
      </c>
      <c r="I492" s="366">
        <f t="shared" si="16"/>
        <v>4784.4285538158056</v>
      </c>
      <c r="J492" t="str">
        <f t="shared" si="17"/>
        <v>44000</v>
      </c>
    </row>
    <row r="493" spans="1:10" hidden="1" x14ac:dyDescent="0.25">
      <c r="A493" s="151">
        <v>23</v>
      </c>
      <c r="B493" s="106" t="str">
        <f>'Funding 2019'!$K$106</f>
        <v>EGMM0019M264</v>
      </c>
      <c r="C493" s="355">
        <v>5500011532</v>
      </c>
      <c r="D493" s="355"/>
      <c r="E493" s="152" t="s">
        <v>463</v>
      </c>
      <c r="F493" s="166"/>
      <c r="G493" s="166"/>
      <c r="H493" s="166"/>
      <c r="I493" s="366">
        <f t="shared" si="16"/>
        <v>0</v>
      </c>
      <c r="J493" t="str">
        <f t="shared" si="17"/>
        <v>55000</v>
      </c>
    </row>
    <row r="494" spans="1:10" hidden="1" x14ac:dyDescent="0.25">
      <c r="A494" s="151">
        <v>12</v>
      </c>
      <c r="B494" s="106" t="str">
        <f>'Funding 2019'!$K$28</f>
        <v>CGMMMTW19002</v>
      </c>
      <c r="C494" s="355">
        <v>5500011621</v>
      </c>
      <c r="D494" s="355"/>
      <c r="E494" s="152" t="s">
        <v>473</v>
      </c>
      <c r="F494" s="166">
        <f>15800000*0</f>
        <v>0</v>
      </c>
      <c r="G494" s="166"/>
      <c r="H494" s="166">
        <v>15800000</v>
      </c>
      <c r="I494" s="366">
        <f t="shared" si="16"/>
        <v>973.98594501294542</v>
      </c>
      <c r="J494" t="str">
        <f t="shared" si="17"/>
        <v>55000</v>
      </c>
    </row>
    <row r="495" spans="1:10" hidden="1" x14ac:dyDescent="0.25">
      <c r="A495" s="151">
        <v>25</v>
      </c>
      <c r="B495" s="106" t="str">
        <f>'Funding 2019'!$K$108</f>
        <v>EGMM0019V167</v>
      </c>
      <c r="C495" s="355">
        <v>4400000758</v>
      </c>
      <c r="D495" s="355" t="s">
        <v>385</v>
      </c>
      <c r="E495" s="152" t="s">
        <v>386</v>
      </c>
      <c r="F495" s="166"/>
      <c r="G495" s="334">
        <v>77613000</v>
      </c>
      <c r="H495" s="166"/>
      <c r="I495" s="366">
        <f t="shared" si="16"/>
        <v>4784.4285538158056</v>
      </c>
      <c r="J495" t="str">
        <f t="shared" si="17"/>
        <v>44000</v>
      </c>
    </row>
    <row r="496" spans="1:10" hidden="1" x14ac:dyDescent="0.25">
      <c r="A496" s="151">
        <v>26</v>
      </c>
      <c r="B496" s="106" t="str">
        <f>'Funding 2019'!$K$108</f>
        <v>EGMM0019V167</v>
      </c>
      <c r="C496" s="355">
        <v>4400000759</v>
      </c>
      <c r="D496" s="355" t="s">
        <v>387</v>
      </c>
      <c r="E496" s="152" t="s">
        <v>388</v>
      </c>
      <c r="F496" s="166"/>
      <c r="G496" s="334">
        <v>25871000</v>
      </c>
      <c r="H496" s="166"/>
      <c r="I496" s="366">
        <f t="shared" si="16"/>
        <v>1594.8095179386019</v>
      </c>
      <c r="J496" t="str">
        <f t="shared" si="17"/>
        <v>44000</v>
      </c>
    </row>
    <row r="497" spans="1:10" hidden="1" x14ac:dyDescent="0.25">
      <c r="A497" s="151">
        <v>27</v>
      </c>
      <c r="B497" s="106" t="str">
        <f>'Funding 2019'!$K$108</f>
        <v>EGMM0019V167</v>
      </c>
      <c r="C497" s="355">
        <v>5500011495</v>
      </c>
      <c r="D497" s="355"/>
      <c r="E497" s="152" t="s">
        <v>389</v>
      </c>
      <c r="F497" s="334">
        <v>2214000</v>
      </c>
      <c r="G497" s="166"/>
      <c r="H497" s="166"/>
      <c r="I497" s="366">
        <f t="shared" si="16"/>
        <v>136.48132166194057</v>
      </c>
      <c r="J497" t="str">
        <f t="shared" si="17"/>
        <v>55000</v>
      </c>
    </row>
    <row r="498" spans="1:10" hidden="1" x14ac:dyDescent="0.25">
      <c r="A498" s="151">
        <v>28</v>
      </c>
      <c r="B498" s="106" t="str">
        <f>'Funding 2019'!$K$108</f>
        <v>EGMM0019V167</v>
      </c>
      <c r="C498" s="355">
        <v>6100000761</v>
      </c>
      <c r="D498" s="355" t="s">
        <v>451</v>
      </c>
      <c r="E498" s="152" t="s">
        <v>452</v>
      </c>
      <c r="F498" s="166"/>
      <c r="G498" s="166">
        <f>706339*0</f>
        <v>0</v>
      </c>
      <c r="H498" s="334">
        <v>21273721</v>
      </c>
      <c r="I498" s="366">
        <f t="shared" si="16"/>
        <v>1311.4117248181483</v>
      </c>
      <c r="J498" t="str">
        <f t="shared" si="17"/>
        <v>61000</v>
      </c>
    </row>
    <row r="499" spans="1:10" hidden="1" x14ac:dyDescent="0.25">
      <c r="A499" s="151">
        <v>29</v>
      </c>
      <c r="B499" s="106" t="str">
        <f>'Funding 2019'!$K$108</f>
        <v>EGMM0019V167</v>
      </c>
      <c r="C499" s="355">
        <v>4400000777</v>
      </c>
      <c r="D499" s="355" t="s">
        <v>453</v>
      </c>
      <c r="E499" s="152" t="s">
        <v>454</v>
      </c>
      <c r="F499" s="166"/>
      <c r="G499" s="166">
        <f>1500000*0</f>
        <v>0</v>
      </c>
      <c r="H499" s="334">
        <v>1500000</v>
      </c>
      <c r="I499" s="366">
        <f t="shared" si="16"/>
        <v>92.467020096165697</v>
      </c>
      <c r="J499" t="str">
        <f t="shared" si="17"/>
        <v>44000</v>
      </c>
    </row>
    <row r="500" spans="1:10" hidden="1" x14ac:dyDescent="0.25">
      <c r="A500" s="151">
        <v>30</v>
      </c>
      <c r="B500" s="106" t="str">
        <f>'Funding 2019'!$K$108</f>
        <v>EGMM0019V167</v>
      </c>
      <c r="C500" s="355">
        <v>5500011597</v>
      </c>
      <c r="D500" s="355"/>
      <c r="E500" s="152" t="s">
        <v>521</v>
      </c>
      <c r="F500" s="166">
        <f>1006200*0</f>
        <v>0</v>
      </c>
      <c r="G500" s="166">
        <f>1006200*0</f>
        <v>0</v>
      </c>
      <c r="H500" s="166">
        <f>1006200*0</f>
        <v>0</v>
      </c>
      <c r="I500" s="366">
        <f t="shared" si="16"/>
        <v>0</v>
      </c>
      <c r="J500" t="str">
        <f t="shared" si="17"/>
        <v>55000</v>
      </c>
    </row>
    <row r="501" spans="1:10" hidden="1" x14ac:dyDescent="0.25">
      <c r="A501" s="151">
        <v>31</v>
      </c>
      <c r="B501" s="106" t="str">
        <f>'Funding 2019'!$K$108</f>
        <v>EGMM0019V167</v>
      </c>
      <c r="C501" s="355">
        <v>5500011658</v>
      </c>
      <c r="D501" s="355"/>
      <c r="E501" s="152" t="s">
        <v>522</v>
      </c>
      <c r="F501" s="166">
        <f>12906000*0</f>
        <v>0</v>
      </c>
      <c r="G501" s="166">
        <f>12906000*0</f>
        <v>0</v>
      </c>
      <c r="H501" s="166">
        <f>12906000*0</f>
        <v>0</v>
      </c>
      <c r="I501" s="366">
        <f t="shared" si="16"/>
        <v>0</v>
      </c>
      <c r="J501" t="str">
        <f t="shared" si="17"/>
        <v>55000</v>
      </c>
    </row>
    <row r="502" spans="1:10" hidden="1" x14ac:dyDescent="0.25">
      <c r="A502" s="151">
        <v>32</v>
      </c>
      <c r="B502" s="106" t="str">
        <f>'Funding 2019'!$K$108</f>
        <v>EGMM0019V167</v>
      </c>
      <c r="C502" s="355">
        <v>5500011685</v>
      </c>
      <c r="D502" s="355"/>
      <c r="E502" s="152" t="s">
        <v>525</v>
      </c>
      <c r="F502" s="334">
        <v>7970000</v>
      </c>
      <c r="G502" s="166"/>
      <c r="H502" s="166"/>
      <c r="I502" s="366">
        <f t="shared" si="16"/>
        <v>491.30810011096042</v>
      </c>
      <c r="J502" t="str">
        <f t="shared" si="17"/>
        <v>55000</v>
      </c>
    </row>
    <row r="503" spans="1:10" hidden="1" x14ac:dyDescent="0.25">
      <c r="A503" s="151">
        <v>33</v>
      </c>
      <c r="B503" s="106" t="str">
        <f>'Funding 2019'!$K$108</f>
        <v>EGMM0019V167</v>
      </c>
      <c r="C503" s="355">
        <v>5500011693</v>
      </c>
      <c r="D503" s="355">
        <v>1920202316</v>
      </c>
      <c r="E503" s="152" t="s">
        <v>524</v>
      </c>
      <c r="F503" s="166">
        <f>0*15723710</f>
        <v>0</v>
      </c>
      <c r="G503" s="166">
        <f>15723710*0</f>
        <v>0</v>
      </c>
      <c r="H503" s="334">
        <f>15723710</f>
        <v>15723710</v>
      </c>
      <c r="I503" s="366">
        <f t="shared" si="16"/>
        <v>969.28307237085437</v>
      </c>
      <c r="J503" t="str">
        <f t="shared" si="17"/>
        <v>55000</v>
      </c>
    </row>
    <row r="504" spans="1:10" hidden="1" x14ac:dyDescent="0.25">
      <c r="A504" s="151">
        <v>34</v>
      </c>
      <c r="B504" s="106" t="str">
        <f>'Funding 2019'!$K$108</f>
        <v>EGMM0019V167</v>
      </c>
      <c r="C504" s="355">
        <v>5500011723</v>
      </c>
      <c r="D504" s="355"/>
      <c r="E504" s="152" t="s">
        <v>526</v>
      </c>
      <c r="F504" s="166">
        <f>14312500*0</f>
        <v>0</v>
      </c>
      <c r="G504" s="166">
        <f>14312500*0</f>
        <v>0</v>
      </c>
      <c r="H504" s="166">
        <f>14312500*0</f>
        <v>0</v>
      </c>
      <c r="I504" s="366">
        <f t="shared" si="16"/>
        <v>0</v>
      </c>
      <c r="J504" t="str">
        <f t="shared" si="17"/>
        <v>55000</v>
      </c>
    </row>
    <row r="505" spans="1:10" hidden="1" x14ac:dyDescent="0.25">
      <c r="A505" s="151">
        <v>35</v>
      </c>
      <c r="B505" s="106" t="str">
        <f>'Funding 2019'!$K$108</f>
        <v>EGMM0019V167</v>
      </c>
      <c r="C505" s="355">
        <v>5500011737</v>
      </c>
      <c r="D505" s="355"/>
      <c r="E505" s="152" t="s">
        <v>527</v>
      </c>
      <c r="F505" s="334">
        <v>11400000</v>
      </c>
      <c r="G505" s="166"/>
      <c r="H505" s="166"/>
      <c r="I505" s="366">
        <f t="shared" si="16"/>
        <v>702.7493527308593</v>
      </c>
      <c r="J505" t="str">
        <f t="shared" si="17"/>
        <v>55000</v>
      </c>
    </row>
    <row r="506" spans="1:10" hidden="1" x14ac:dyDescent="0.25">
      <c r="A506" s="151">
        <v>36</v>
      </c>
      <c r="B506" s="106" t="str">
        <f>'Funding 2019'!$K$108</f>
        <v>EGMM0019V167</v>
      </c>
      <c r="C506" s="355">
        <v>6100000765</v>
      </c>
      <c r="D506" s="355" t="s">
        <v>805</v>
      </c>
      <c r="E506" s="152" t="s">
        <v>528</v>
      </c>
      <c r="F506" s="166">
        <f>2416032*0</f>
        <v>0</v>
      </c>
      <c r="G506" s="166"/>
      <c r="H506" s="334">
        <v>4165170</v>
      </c>
      <c r="I506" s="366">
        <f t="shared" si="16"/>
        <v>256.76057206263101</v>
      </c>
      <c r="J506" t="str">
        <f t="shared" si="17"/>
        <v>61000</v>
      </c>
    </row>
    <row r="507" spans="1:10" hidden="1" x14ac:dyDescent="0.25">
      <c r="A507" s="151">
        <v>5</v>
      </c>
      <c r="B507" s="106" t="str">
        <f>'Funding 2019'!$K$17</f>
        <v>CGMMITM19002</v>
      </c>
      <c r="C507" s="355">
        <v>5500011802</v>
      </c>
      <c r="D507" s="355"/>
      <c r="E507" s="152" t="s">
        <v>585</v>
      </c>
      <c r="F507" s="287">
        <f>12000000</f>
        <v>12000000</v>
      </c>
      <c r="G507" s="166"/>
      <c r="H507" s="166"/>
      <c r="I507" s="366">
        <f t="shared" si="16"/>
        <v>739.73616076932558</v>
      </c>
      <c r="J507" t="str">
        <f t="shared" si="17"/>
        <v>55000</v>
      </c>
    </row>
    <row r="508" spans="1:10" hidden="1" x14ac:dyDescent="0.25">
      <c r="A508" s="151">
        <v>38</v>
      </c>
      <c r="B508" s="106" t="str">
        <f>'Funding 2019'!$K$108</f>
        <v>EGMM0019V167</v>
      </c>
      <c r="C508" s="355"/>
      <c r="D508" s="355"/>
      <c r="E508" s="152" t="s">
        <v>537</v>
      </c>
      <c r="F508" s="166"/>
      <c r="G508" s="166"/>
      <c r="H508" s="334">
        <v>7900000</v>
      </c>
      <c r="I508" s="366">
        <f t="shared" si="16"/>
        <v>486.99297250647271</v>
      </c>
      <c r="J508" t="str">
        <f t="shared" si="17"/>
        <v/>
      </c>
    </row>
    <row r="509" spans="1:10" hidden="1" x14ac:dyDescent="0.25">
      <c r="A509" s="151">
        <v>39</v>
      </c>
      <c r="B509" s="106" t="str">
        <f>'Funding 2019'!$K$108</f>
        <v>EGMM0019V167</v>
      </c>
      <c r="C509" s="355"/>
      <c r="D509" s="355"/>
      <c r="E509" s="152" t="s">
        <v>538</v>
      </c>
      <c r="F509" s="166"/>
      <c r="G509" s="166"/>
      <c r="H509" s="334">
        <v>15675290</v>
      </c>
      <c r="I509" s="366">
        <f t="shared" si="16"/>
        <v>966.29823696215021</v>
      </c>
      <c r="J509" t="str">
        <f t="shared" si="17"/>
        <v/>
      </c>
    </row>
    <row r="510" spans="1:10" hidden="1" x14ac:dyDescent="0.25">
      <c r="A510" s="151">
        <v>40</v>
      </c>
      <c r="B510" s="106" t="str">
        <f>'Funding 2019'!$K$108</f>
        <v>EGMM0019V167</v>
      </c>
      <c r="C510" s="355"/>
      <c r="D510" s="355"/>
      <c r="E510" s="152" t="s">
        <v>539</v>
      </c>
      <c r="F510" s="166"/>
      <c r="G510" s="166"/>
      <c r="H510" s="334">
        <v>-31394450</v>
      </c>
      <c r="I510" s="366">
        <f t="shared" si="16"/>
        <v>-1935.3008260387128</v>
      </c>
      <c r="J510" t="str">
        <f t="shared" si="17"/>
        <v/>
      </c>
    </row>
    <row r="511" spans="1:10" hidden="1" x14ac:dyDescent="0.25">
      <c r="A511" s="151">
        <v>41</v>
      </c>
      <c r="B511" s="106" t="str">
        <f>'Funding 2019'!$K$108</f>
        <v>EGMM0019V167</v>
      </c>
      <c r="C511" s="355"/>
      <c r="D511" s="355"/>
      <c r="E511" s="152" t="s">
        <v>540</v>
      </c>
      <c r="F511" s="166"/>
      <c r="G511" s="166"/>
      <c r="H511" s="334">
        <v>69279730</v>
      </c>
      <c r="I511" s="366">
        <f t="shared" si="16"/>
        <v>4270.726790777956</v>
      </c>
      <c r="J511" t="str">
        <f t="shared" si="17"/>
        <v/>
      </c>
    </row>
    <row r="512" spans="1:10" hidden="1" x14ac:dyDescent="0.25">
      <c r="A512" s="151">
        <v>42</v>
      </c>
      <c r="B512" s="106" t="str">
        <f>'Funding 2019'!$K$108</f>
        <v>EGMM0019V167</v>
      </c>
      <c r="C512" s="355"/>
      <c r="D512" s="355"/>
      <c r="E512" s="152" t="s">
        <v>541</v>
      </c>
      <c r="F512" s="166"/>
      <c r="G512" s="166"/>
      <c r="H512" s="334">
        <v>64605297</v>
      </c>
      <c r="I512" s="366">
        <f t="shared" si="16"/>
        <v>3982.5728640118359</v>
      </c>
      <c r="J512" t="str">
        <f t="shared" si="17"/>
        <v/>
      </c>
    </row>
    <row r="513" spans="1:10" hidden="1" x14ac:dyDescent="0.25">
      <c r="A513" s="151">
        <v>43</v>
      </c>
      <c r="B513" s="106" t="str">
        <f>'Funding 2019'!$K$108</f>
        <v>EGMM0019V167</v>
      </c>
      <c r="C513" s="355"/>
      <c r="D513" s="355"/>
      <c r="E513" s="152" t="s">
        <v>627</v>
      </c>
      <c r="F513" s="166"/>
      <c r="G513" s="166"/>
      <c r="H513" s="334">
        <v>8241275</v>
      </c>
      <c r="I513" s="366">
        <f t="shared" si="16"/>
        <v>508.030760695352</v>
      </c>
      <c r="J513" t="str">
        <f t="shared" si="17"/>
        <v/>
      </c>
    </row>
    <row r="514" spans="1:10" hidden="1" x14ac:dyDescent="0.25">
      <c r="A514" s="151">
        <v>44</v>
      </c>
      <c r="B514" s="106" t="str">
        <f>'Funding 2019'!$K$108</f>
        <v>EGMM0019V167</v>
      </c>
      <c r="C514" s="355"/>
      <c r="D514" s="355"/>
      <c r="E514" s="152" t="s">
        <v>812</v>
      </c>
      <c r="F514" s="166"/>
      <c r="G514" s="166"/>
      <c r="H514" s="334">
        <v>54801436</v>
      </c>
      <c r="I514" s="366">
        <f t="shared" si="16"/>
        <v>3378.2169892738257</v>
      </c>
      <c r="J514" t="str">
        <f t="shared" si="17"/>
        <v/>
      </c>
    </row>
    <row r="515" spans="1:10" hidden="1" x14ac:dyDescent="0.25">
      <c r="A515" s="151">
        <v>45</v>
      </c>
      <c r="B515" s="106" t="str">
        <f>'Funding 2019'!$K$108</f>
        <v>EGMM0019V167</v>
      </c>
      <c r="C515" s="355"/>
      <c r="D515" s="355"/>
      <c r="E515" s="152" t="s">
        <v>813</v>
      </c>
      <c r="F515" s="166"/>
      <c r="G515" s="166"/>
      <c r="H515" s="334">
        <v>15723708</v>
      </c>
      <c r="I515" s="366">
        <f t="shared" ref="I515:I578" si="18">SUM(F515:H515)/16222</f>
        <v>969.28294908149428</v>
      </c>
      <c r="J515" t="str">
        <f t="shared" ref="J515:J578" si="19">IF(C515="",LEFT(D515,5),LEFT(C515,5))</f>
        <v/>
      </c>
    </row>
    <row r="516" spans="1:10" hidden="1" x14ac:dyDescent="0.25">
      <c r="A516" s="151">
        <v>8</v>
      </c>
      <c r="B516" s="106" t="str">
        <f>'Funding 2019'!$K$113</f>
        <v>EGMM0019X167</v>
      </c>
      <c r="C516" s="355">
        <v>5500011921</v>
      </c>
      <c r="D516" s="355"/>
      <c r="E516" s="152" t="s">
        <v>747</v>
      </c>
      <c r="F516" s="334">
        <v>1050000</v>
      </c>
      <c r="G516" s="166"/>
      <c r="H516" s="166"/>
      <c r="I516" s="366">
        <f t="shared" si="18"/>
        <v>64.726914067315988</v>
      </c>
      <c r="J516" t="str">
        <f t="shared" si="19"/>
        <v>55000</v>
      </c>
    </row>
    <row r="517" spans="1:10" hidden="1" x14ac:dyDescent="0.25">
      <c r="A517" s="151">
        <v>47</v>
      </c>
      <c r="B517" s="106" t="str">
        <f>'Funding 2019'!$K$108</f>
        <v>EGMM0019V167</v>
      </c>
      <c r="C517" s="355">
        <v>6100000764</v>
      </c>
      <c r="D517" s="355" t="s">
        <v>542</v>
      </c>
      <c r="E517" s="152" t="s">
        <v>543</v>
      </c>
      <c r="F517" s="166"/>
      <c r="G517" s="166"/>
      <c r="H517" s="334">
        <v>7195208</v>
      </c>
      <c r="I517" s="366">
        <f t="shared" si="18"/>
        <v>443.54629515472817</v>
      </c>
      <c r="J517" t="str">
        <f t="shared" si="19"/>
        <v>61000</v>
      </c>
    </row>
    <row r="518" spans="1:10" hidden="1" x14ac:dyDescent="0.25">
      <c r="A518" s="151">
        <v>32</v>
      </c>
      <c r="B518" s="106" t="str">
        <f>'Funding 2019'!$K$106</f>
        <v>EGMM0019M264</v>
      </c>
      <c r="C518" s="355">
        <v>5500011952</v>
      </c>
      <c r="D518" s="355"/>
      <c r="E518" s="152" t="s">
        <v>780</v>
      </c>
      <c r="F518" s="183">
        <v>4500000</v>
      </c>
      <c r="G518" s="166"/>
      <c r="H518" s="166"/>
      <c r="I518" s="366">
        <f t="shared" si="18"/>
        <v>277.40106028849709</v>
      </c>
      <c r="J518" t="str">
        <f t="shared" si="19"/>
        <v>55000</v>
      </c>
    </row>
    <row r="519" spans="1:10" hidden="1" x14ac:dyDescent="0.25">
      <c r="A519" s="151">
        <v>49</v>
      </c>
      <c r="B519" s="106" t="str">
        <f>'Funding 2019'!$K$108</f>
        <v>EGMM0019V167</v>
      </c>
      <c r="C519" s="355">
        <v>5500011764</v>
      </c>
      <c r="D519" s="355"/>
      <c r="E519" s="152" t="s">
        <v>574</v>
      </c>
      <c r="F519" s="334">
        <v>11236298</v>
      </c>
      <c r="G519" s="166"/>
      <c r="H519" s="166"/>
      <c r="I519" s="366">
        <f t="shared" si="18"/>
        <v>692.65799531500431</v>
      </c>
      <c r="J519" t="str">
        <f t="shared" si="19"/>
        <v>55000</v>
      </c>
    </row>
    <row r="520" spans="1:10" hidden="1" x14ac:dyDescent="0.25">
      <c r="A520" s="151">
        <v>50</v>
      </c>
      <c r="B520" s="106" t="str">
        <f>'Funding 2019'!$K$108</f>
        <v>EGMM0019V167</v>
      </c>
      <c r="C520" s="355">
        <v>6100000777</v>
      </c>
      <c r="D520" s="355" t="s">
        <v>726</v>
      </c>
      <c r="E520" s="152" t="s">
        <v>582</v>
      </c>
      <c r="F520" s="166"/>
      <c r="G520" s="166">
        <f>3636360*0</f>
        <v>0</v>
      </c>
      <c r="H520" s="334">
        <v>8296454</v>
      </c>
      <c r="I520" s="366">
        <f t="shared" si="18"/>
        <v>511.43225249660952</v>
      </c>
      <c r="J520" t="str">
        <f t="shared" si="19"/>
        <v>61000</v>
      </c>
    </row>
    <row r="521" spans="1:10" hidden="1" x14ac:dyDescent="0.25">
      <c r="A521" s="151">
        <v>36</v>
      </c>
      <c r="B521" s="106" t="str">
        <f>'Funding 2019'!$K$106</f>
        <v>EGMM0019M264</v>
      </c>
      <c r="C521" s="355">
        <v>5500012001</v>
      </c>
      <c r="D521" s="355"/>
      <c r="E521" s="152" t="s">
        <v>840</v>
      </c>
      <c r="F521" s="183">
        <v>7790680</v>
      </c>
      <c r="G521" s="166"/>
      <c r="H521" s="166"/>
      <c r="I521" s="366">
        <f t="shared" si="18"/>
        <v>480.25397608186415</v>
      </c>
      <c r="J521" t="str">
        <f t="shared" si="19"/>
        <v>55000</v>
      </c>
    </row>
    <row r="522" spans="1:10" hidden="1" x14ac:dyDescent="0.25">
      <c r="A522" s="151">
        <v>4</v>
      </c>
      <c r="B522" s="331" t="str">
        <f>'Funding 2019'!$K$91</f>
        <v>CGMM2019M264</v>
      </c>
      <c r="C522" s="357">
        <v>6100000702</v>
      </c>
      <c r="D522" s="357">
        <v>311118800</v>
      </c>
      <c r="E522" s="338" t="s">
        <v>274</v>
      </c>
      <c r="F522" s="339">
        <f>583798855*0</f>
        <v>0</v>
      </c>
      <c r="G522" s="280">
        <f>871033063*0</f>
        <v>0</v>
      </c>
      <c r="H522" s="280"/>
      <c r="I522" s="366">
        <f t="shared" si="18"/>
        <v>0</v>
      </c>
      <c r="J522" t="str">
        <f t="shared" si="19"/>
        <v>61000</v>
      </c>
    </row>
    <row r="523" spans="1:10" hidden="1" x14ac:dyDescent="0.25">
      <c r="A523" s="151">
        <v>53</v>
      </c>
      <c r="B523" s="106" t="str">
        <f>'Funding 2019'!$K$108</f>
        <v>EGMM0019V167</v>
      </c>
      <c r="C523" s="355">
        <v>5500011863</v>
      </c>
      <c r="D523" s="355"/>
      <c r="E523" s="152" t="s">
        <v>643</v>
      </c>
      <c r="F523" s="334">
        <v>2160465</v>
      </c>
      <c r="G523" s="166"/>
      <c r="H523" s="166"/>
      <c r="I523" s="366">
        <f t="shared" si="18"/>
        <v>133.18117371470842</v>
      </c>
      <c r="J523" t="str">
        <f t="shared" si="19"/>
        <v>55000</v>
      </c>
    </row>
    <row r="524" spans="1:10" hidden="1" x14ac:dyDescent="0.25">
      <c r="A524" s="151">
        <v>54</v>
      </c>
      <c r="B524" s="106" t="str">
        <f>'Funding 2019'!$K$108</f>
        <v>EGMM0019V167</v>
      </c>
      <c r="C524" s="355">
        <v>6100000787</v>
      </c>
      <c r="D524" s="355" t="s">
        <v>809</v>
      </c>
      <c r="E524" s="152" t="s">
        <v>646</v>
      </c>
      <c r="F524" s="166">
        <f>5548613*0</f>
        <v>0</v>
      </c>
      <c r="G524" s="334">
        <v>5412716</v>
      </c>
      <c r="H524" s="166"/>
      <c r="I524" s="366">
        <f t="shared" si="18"/>
        <v>333.66514609789175</v>
      </c>
      <c r="J524" t="str">
        <f t="shared" si="19"/>
        <v>61000</v>
      </c>
    </row>
    <row r="525" spans="1:10" hidden="1" x14ac:dyDescent="0.25">
      <c r="A525" s="151">
        <v>12</v>
      </c>
      <c r="B525" s="106" t="str">
        <f>'Funding 2019'!$K$108</f>
        <v>EGMM0019V167</v>
      </c>
      <c r="C525" s="355">
        <v>6100000720</v>
      </c>
      <c r="D525" s="355">
        <v>330119810</v>
      </c>
      <c r="E525" s="152" t="s">
        <v>298</v>
      </c>
      <c r="F525" s="166"/>
      <c r="G525" s="166">
        <f>103216598*0</f>
        <v>0</v>
      </c>
      <c r="H525" s="334">
        <v>83546444</v>
      </c>
      <c r="I525" s="366">
        <f t="shared" si="18"/>
        <v>5150.1938108741215</v>
      </c>
      <c r="J525" t="str">
        <f t="shared" si="19"/>
        <v>61000</v>
      </c>
    </row>
    <row r="526" spans="1:10" hidden="1" x14ac:dyDescent="0.25">
      <c r="A526" s="151">
        <v>56</v>
      </c>
      <c r="B526" s="106" t="str">
        <f>'Funding 2019'!$K$108</f>
        <v>EGMM0019V167</v>
      </c>
      <c r="C526" s="355"/>
      <c r="D526" s="355"/>
      <c r="E526" s="152"/>
      <c r="F526" s="166"/>
      <c r="G526" s="166"/>
      <c r="H526" s="166"/>
      <c r="I526" s="366">
        <f t="shared" si="18"/>
        <v>0</v>
      </c>
      <c r="J526" t="str">
        <f t="shared" si="19"/>
        <v/>
      </c>
    </row>
    <row r="527" spans="1:10" hidden="1" x14ac:dyDescent="0.25">
      <c r="A527" s="151">
        <v>57</v>
      </c>
      <c r="B527" s="106" t="str">
        <f>'Funding 2019'!$K$108</f>
        <v>EGMM0019V167</v>
      </c>
      <c r="C527" s="355">
        <v>6100000788</v>
      </c>
      <c r="D527" s="355" t="s">
        <v>810</v>
      </c>
      <c r="E527" s="152" t="s">
        <v>753</v>
      </c>
      <c r="F527" s="166">
        <f>1106639*0</f>
        <v>0</v>
      </c>
      <c r="G527" s="334">
        <v>1097720</v>
      </c>
      <c r="H527" s="166"/>
      <c r="I527" s="366">
        <f t="shared" si="18"/>
        <v>67.668598199975335</v>
      </c>
      <c r="J527" t="str">
        <f t="shared" si="19"/>
        <v>61000</v>
      </c>
    </row>
    <row r="528" spans="1:10" hidden="1" x14ac:dyDescent="0.25">
      <c r="A528" s="151">
        <v>10</v>
      </c>
      <c r="B528" s="106" t="str">
        <f>'Funding 2019'!$K$108</f>
        <v>EGMM0019V167</v>
      </c>
      <c r="C528" s="355">
        <v>6100000721</v>
      </c>
      <c r="D528" s="355">
        <v>330119808</v>
      </c>
      <c r="E528" s="152" t="s">
        <v>296</v>
      </c>
      <c r="F528" s="166"/>
      <c r="G528" s="166">
        <f>17517870*0</f>
        <v>0</v>
      </c>
      <c r="H528" s="334">
        <v>45969165</v>
      </c>
      <c r="I528" s="366">
        <f t="shared" si="18"/>
        <v>2833.7544692393049</v>
      </c>
      <c r="J528" t="str">
        <f t="shared" si="19"/>
        <v>61000</v>
      </c>
    </row>
    <row r="529" spans="1:10" hidden="1" x14ac:dyDescent="0.25">
      <c r="A529" s="151">
        <v>59</v>
      </c>
      <c r="B529" s="106" t="str">
        <f>'Funding 2019'!$K$108</f>
        <v>EGMM0019V167</v>
      </c>
      <c r="C529" s="355">
        <v>4400000979</v>
      </c>
      <c r="D529" s="355">
        <v>7500000933</v>
      </c>
      <c r="E529" s="152" t="s">
        <v>704</v>
      </c>
      <c r="F529" s="166"/>
      <c r="G529" s="334">
        <v>55462000</v>
      </c>
      <c r="H529" s="166"/>
      <c r="I529" s="366">
        <f t="shared" si="18"/>
        <v>3418.9372457156946</v>
      </c>
      <c r="J529" t="str">
        <f t="shared" si="19"/>
        <v>44000</v>
      </c>
    </row>
    <row r="530" spans="1:10" hidden="1" x14ac:dyDescent="0.25">
      <c r="A530" s="151">
        <v>60</v>
      </c>
      <c r="B530" s="106" t="str">
        <f>'Funding 2019'!$K$108</f>
        <v>EGMM0019V167</v>
      </c>
      <c r="C530" s="363">
        <v>6100000769</v>
      </c>
      <c r="D530" s="363" t="s">
        <v>755</v>
      </c>
      <c r="E530" s="178" t="s">
        <v>712</v>
      </c>
      <c r="F530" s="280"/>
      <c r="G530" s="280"/>
      <c r="H530" s="335">
        <v>6984735</v>
      </c>
      <c r="I530" s="366">
        <f t="shared" si="18"/>
        <v>430.5717544075946</v>
      </c>
      <c r="J530" t="str">
        <f t="shared" si="19"/>
        <v>61000</v>
      </c>
    </row>
    <row r="531" spans="1:10" hidden="1" x14ac:dyDescent="0.25">
      <c r="A531" s="151">
        <v>61</v>
      </c>
      <c r="B531" s="106" t="str">
        <f>'Funding 2019'!$K$108</f>
        <v>EGMM0019V167</v>
      </c>
      <c r="C531" s="355">
        <v>4400000993</v>
      </c>
      <c r="D531" s="355">
        <v>7500000950</v>
      </c>
      <c r="E531" s="152" t="s">
        <v>744</v>
      </c>
      <c r="F531" s="166">
        <f>300000*0</f>
        <v>0</v>
      </c>
      <c r="G531" s="334">
        <v>300000</v>
      </c>
      <c r="H531" s="166"/>
      <c r="I531" s="366">
        <f t="shared" si="18"/>
        <v>18.493404019233139</v>
      </c>
      <c r="J531" t="str">
        <f t="shared" si="19"/>
        <v>44000</v>
      </c>
    </row>
    <row r="532" spans="1:10" hidden="1" x14ac:dyDescent="0.25">
      <c r="A532" s="151">
        <v>62</v>
      </c>
      <c r="B532" s="106" t="str">
        <f>'Funding 2019'!$K$108</f>
        <v>EGMM0019V167</v>
      </c>
      <c r="C532" s="355">
        <v>5500011981</v>
      </c>
      <c r="D532" s="355"/>
      <c r="E532" s="152" t="s">
        <v>808</v>
      </c>
      <c r="F532" s="334">
        <v>4800000</v>
      </c>
      <c r="G532" s="166"/>
      <c r="H532" s="166"/>
      <c r="I532" s="366">
        <f t="shared" si="18"/>
        <v>295.89446430773023</v>
      </c>
      <c r="J532" t="str">
        <f t="shared" si="19"/>
        <v>55000</v>
      </c>
    </row>
    <row r="533" spans="1:10" hidden="1" x14ac:dyDescent="0.25">
      <c r="A533" s="151"/>
      <c r="B533" s="106" t="str">
        <f>'Funding 2019'!$K$108</f>
        <v>EGMM0019V167</v>
      </c>
      <c r="C533" s="355">
        <v>6100000721</v>
      </c>
      <c r="D533" s="355" t="s">
        <v>814</v>
      </c>
      <c r="E533" s="152" t="s">
        <v>815</v>
      </c>
      <c r="F533" s="166"/>
      <c r="G533" s="166"/>
      <c r="H533" s="334">
        <v>19063474</v>
      </c>
      <c r="I533" s="366">
        <f t="shared" si="18"/>
        <v>1175.1617556404883</v>
      </c>
      <c r="J533" t="str">
        <f t="shared" si="19"/>
        <v>61000</v>
      </c>
    </row>
    <row r="534" spans="1:10" hidden="1" x14ac:dyDescent="0.25">
      <c r="A534" s="151">
        <v>8</v>
      </c>
      <c r="B534" s="106" t="str">
        <f>'Funding 2019'!$K$91</f>
        <v>CGMM2019M264</v>
      </c>
      <c r="C534" s="355">
        <v>6100000722</v>
      </c>
      <c r="D534" s="355">
        <v>310119800</v>
      </c>
      <c r="E534" s="165" t="s">
        <v>276</v>
      </c>
      <c r="F534" s="166"/>
      <c r="G534" s="166">
        <f>64331329*0</f>
        <v>0</v>
      </c>
      <c r="H534" s="171">
        <v>48609806</v>
      </c>
      <c r="I534" s="366">
        <f t="shared" si="18"/>
        <v>2996.5359388484776</v>
      </c>
      <c r="J534" t="str">
        <f t="shared" si="19"/>
        <v>61000</v>
      </c>
    </row>
    <row r="535" spans="1:10" hidden="1" x14ac:dyDescent="0.25">
      <c r="A535" s="151">
        <v>2</v>
      </c>
      <c r="B535" s="106" t="str">
        <f>'Funding 2019'!$K$110</f>
        <v>EGMMLA19V167</v>
      </c>
      <c r="C535" s="355" t="s">
        <v>457</v>
      </c>
      <c r="D535" s="355"/>
      <c r="E535" s="152" t="s">
        <v>458</v>
      </c>
      <c r="F535" s="166">
        <f>9468445*0</f>
        <v>0</v>
      </c>
      <c r="G535" s="166"/>
      <c r="H535" s="336"/>
      <c r="I535" s="366">
        <f t="shared" si="18"/>
        <v>0</v>
      </c>
      <c r="J535" t="str">
        <f t="shared" si="19"/>
        <v>55000</v>
      </c>
    </row>
    <row r="536" spans="1:10" hidden="1" x14ac:dyDescent="0.25">
      <c r="A536" s="151">
        <v>21</v>
      </c>
      <c r="B536" s="106" t="str">
        <f>'Funding 2019'!$K$87</f>
        <v>CGMM2019V167</v>
      </c>
      <c r="C536" s="355">
        <v>6100000723</v>
      </c>
      <c r="D536" s="355">
        <v>330219800</v>
      </c>
      <c r="E536" s="152" t="s">
        <v>270</v>
      </c>
      <c r="F536" s="166">
        <f>14522263*0</f>
        <v>0</v>
      </c>
      <c r="G536" s="166">
        <f>14298387*0</f>
        <v>0</v>
      </c>
      <c r="H536" s="166">
        <v>17877227</v>
      </c>
      <c r="I536" s="366">
        <f t="shared" si="18"/>
        <v>1102.0359388484774</v>
      </c>
      <c r="J536" t="str">
        <f t="shared" si="19"/>
        <v>61000</v>
      </c>
    </row>
    <row r="537" spans="1:10" hidden="1" x14ac:dyDescent="0.25">
      <c r="A537" s="151">
        <v>23</v>
      </c>
      <c r="B537" s="106" t="str">
        <f>'Funding 2019'!$K$87</f>
        <v>CGMM2019V167</v>
      </c>
      <c r="C537" s="355">
        <v>6100000725</v>
      </c>
      <c r="D537" s="355">
        <v>330219801</v>
      </c>
      <c r="E537" s="152" t="s">
        <v>271</v>
      </c>
      <c r="F537" s="166">
        <f>154877527*0</f>
        <v>0</v>
      </c>
      <c r="G537" s="166">
        <f>154975230*0</f>
        <v>0</v>
      </c>
      <c r="H537" s="166">
        <v>136178847</v>
      </c>
      <c r="I537" s="366">
        <f t="shared" si="18"/>
        <v>8394.7014548144489</v>
      </c>
      <c r="J537" t="str">
        <f t="shared" si="19"/>
        <v>61000</v>
      </c>
    </row>
    <row r="538" spans="1:10" hidden="1" x14ac:dyDescent="0.25">
      <c r="A538" s="151">
        <v>5</v>
      </c>
      <c r="B538" s="106" t="str">
        <f>'Funding 2019'!$K$110</f>
        <v>EGMMLA19V167</v>
      </c>
      <c r="C538" s="355">
        <v>5500011396</v>
      </c>
      <c r="D538" s="355"/>
      <c r="E538" s="152" t="s">
        <v>394</v>
      </c>
      <c r="F538" s="166">
        <f>5625000*0</f>
        <v>0</v>
      </c>
      <c r="G538" s="166"/>
      <c r="H538" s="337">
        <v>8502804</v>
      </c>
      <c r="I538" s="366">
        <f t="shared" si="18"/>
        <v>524.15263222783869</v>
      </c>
      <c r="J538" t="str">
        <f t="shared" si="19"/>
        <v>55000</v>
      </c>
    </row>
    <row r="539" spans="1:10" hidden="1" x14ac:dyDescent="0.25">
      <c r="A539" s="151">
        <v>6</v>
      </c>
      <c r="B539" s="106" t="str">
        <f>'Funding 2019'!$K$106</f>
        <v>EGMM0019M264</v>
      </c>
      <c r="C539" s="355">
        <v>6100000726</v>
      </c>
      <c r="D539" s="355">
        <v>310219350</v>
      </c>
      <c r="E539" s="152" t="s">
        <v>285</v>
      </c>
      <c r="F539" s="166"/>
      <c r="G539" s="166">
        <f>4613147*0</f>
        <v>0</v>
      </c>
      <c r="H539" s="183">
        <v>4532543</v>
      </c>
      <c r="I539" s="366">
        <f t="shared" si="18"/>
        <v>279.40716311182342</v>
      </c>
      <c r="J539" t="str">
        <f t="shared" si="19"/>
        <v>61000</v>
      </c>
    </row>
    <row r="540" spans="1:10" hidden="1" x14ac:dyDescent="0.25">
      <c r="A540" s="151">
        <v>13</v>
      </c>
      <c r="B540" s="106" t="str">
        <f>'Funding 2019'!$K$108</f>
        <v>EGMM0019V167</v>
      </c>
      <c r="C540" s="355">
        <v>6100000727</v>
      </c>
      <c r="D540" s="355">
        <v>330219803</v>
      </c>
      <c r="E540" s="152" t="s">
        <v>299</v>
      </c>
      <c r="F540" s="166"/>
      <c r="G540" s="166">
        <f>16390651*0</f>
        <v>0</v>
      </c>
      <c r="H540" s="334">
        <v>17204620</v>
      </c>
      <c r="I540" s="366">
        <f t="shared" si="18"/>
        <v>1060.5732955245962</v>
      </c>
      <c r="J540" t="str">
        <f t="shared" si="19"/>
        <v>61000</v>
      </c>
    </row>
    <row r="541" spans="1:10" hidden="1" x14ac:dyDescent="0.25">
      <c r="A541" s="151">
        <v>23</v>
      </c>
      <c r="B541" s="106" t="str">
        <f>'Funding 2019'!$K$110</f>
        <v>EGMMLA19V167</v>
      </c>
      <c r="C541" s="355"/>
      <c r="D541" s="355" t="s">
        <v>455</v>
      </c>
      <c r="E541" s="152" t="s">
        <v>456</v>
      </c>
      <c r="F541" s="166"/>
      <c r="G541" s="166"/>
      <c r="H541" s="337">
        <v>4728800</v>
      </c>
      <c r="I541" s="366">
        <f t="shared" si="18"/>
        <v>291.50536308716556</v>
      </c>
      <c r="J541" t="str">
        <f t="shared" si="19"/>
        <v>75000</v>
      </c>
    </row>
    <row r="542" spans="1:10" hidden="1" x14ac:dyDescent="0.25">
      <c r="A542" s="151">
        <v>9</v>
      </c>
      <c r="B542" s="106" t="str">
        <f>'Funding 2019'!$K$91</f>
        <v>CGMM2019M264</v>
      </c>
      <c r="C542" s="355">
        <v>6100000728</v>
      </c>
      <c r="D542" s="355">
        <v>310219800</v>
      </c>
      <c r="E542" s="165" t="s">
        <v>305</v>
      </c>
      <c r="F542" s="166"/>
      <c r="G542" s="166">
        <f>53649000*0</f>
        <v>0</v>
      </c>
      <c r="H542" s="171">
        <v>54199126</v>
      </c>
      <c r="I542" s="366">
        <f t="shared" si="18"/>
        <v>3341.0877820244114</v>
      </c>
      <c r="J542" t="str">
        <f t="shared" si="19"/>
        <v>61000</v>
      </c>
    </row>
    <row r="543" spans="1:10" hidden="1" x14ac:dyDescent="0.25">
      <c r="A543" s="151">
        <v>25</v>
      </c>
      <c r="B543" s="106" t="str">
        <f>'Funding 2019'!$K$110</f>
        <v>EGMMLA19V167</v>
      </c>
      <c r="C543" s="355">
        <v>5500011808</v>
      </c>
      <c r="D543" s="355"/>
      <c r="E543" s="152" t="s">
        <v>616</v>
      </c>
      <c r="F543" s="166">
        <f>2023160*0</f>
        <v>0</v>
      </c>
      <c r="G543" s="166">
        <f>2023160*0</f>
        <v>0</v>
      </c>
      <c r="H543" s="337">
        <v>3226581</v>
      </c>
      <c r="I543" s="366">
        <f t="shared" si="18"/>
        <v>198.90155344593762</v>
      </c>
      <c r="J543" t="str">
        <f t="shared" si="19"/>
        <v>55000</v>
      </c>
    </row>
    <row r="544" spans="1:10" hidden="1" x14ac:dyDescent="0.25">
      <c r="A544" s="151">
        <v>26</v>
      </c>
      <c r="B544" s="106" t="str">
        <f>'Funding 2019'!$K$110</f>
        <v>EGMMLA19V167</v>
      </c>
      <c r="C544" s="355"/>
      <c r="D544" s="355"/>
      <c r="E544" s="152"/>
      <c r="F544" s="166"/>
      <c r="G544" s="166"/>
      <c r="H544" s="336"/>
      <c r="I544" s="366">
        <f t="shared" si="18"/>
        <v>0</v>
      </c>
      <c r="J544" t="str">
        <f t="shared" si="19"/>
        <v/>
      </c>
    </row>
    <row r="545" spans="1:10" hidden="1" x14ac:dyDescent="0.25">
      <c r="A545" s="151">
        <v>24</v>
      </c>
      <c r="B545" s="106" t="str">
        <f>'Funding 2019'!$K$87</f>
        <v>CGMM2019V167</v>
      </c>
      <c r="C545" s="355">
        <v>6100000729</v>
      </c>
      <c r="D545" s="355">
        <v>330219805</v>
      </c>
      <c r="E545" s="152" t="s">
        <v>307</v>
      </c>
      <c r="F545" s="166"/>
      <c r="G545" s="166">
        <f>35730234*0</f>
        <v>0</v>
      </c>
      <c r="H545" s="166">
        <f>19122059+16731801-1939472-4540537</f>
        <v>29373851</v>
      </c>
      <c r="I545" s="366">
        <f t="shared" si="18"/>
        <v>1810.7416471458514</v>
      </c>
      <c r="J545" t="str">
        <f t="shared" si="19"/>
        <v>61000</v>
      </c>
    </row>
    <row r="546" spans="1:10" hidden="1" x14ac:dyDescent="0.25">
      <c r="A546" s="151">
        <v>2</v>
      </c>
      <c r="B546" s="106" t="str">
        <f>'Funding 2019'!$K$109</f>
        <v>EGMMTA19V167</v>
      </c>
      <c r="C546" s="355"/>
      <c r="D546" s="355"/>
      <c r="E546" s="152"/>
      <c r="F546" s="166"/>
      <c r="G546" s="166"/>
      <c r="H546" s="166"/>
      <c r="I546" s="366">
        <f t="shared" si="18"/>
        <v>0</v>
      </c>
      <c r="J546" t="str">
        <f t="shared" si="19"/>
        <v/>
      </c>
    </row>
    <row r="547" spans="1:10" hidden="1" x14ac:dyDescent="0.25">
      <c r="A547" s="151">
        <v>18</v>
      </c>
      <c r="B547" s="106" t="str">
        <f>'Funding 2019'!$K$108</f>
        <v>EGMM0019V167</v>
      </c>
      <c r="C547" s="355">
        <v>6100000742</v>
      </c>
      <c r="D547" s="355">
        <v>330319803</v>
      </c>
      <c r="E547" s="152" t="s">
        <v>359</v>
      </c>
      <c r="F547" s="166">
        <f>7180822*0</f>
        <v>0</v>
      </c>
      <c r="G547" s="166">
        <f>7189364*0</f>
        <v>0</v>
      </c>
      <c r="H547" s="334">
        <v>19424066</v>
      </c>
      <c r="I547" s="366">
        <f t="shared" si="18"/>
        <v>1197.3903341141659</v>
      </c>
      <c r="J547" t="str">
        <f t="shared" si="19"/>
        <v>61000</v>
      </c>
    </row>
    <row r="548" spans="1:10" hidden="1" x14ac:dyDescent="0.25">
      <c r="A548" s="151">
        <v>2</v>
      </c>
      <c r="B548" s="106" t="str">
        <f>'Funding 2019'!$K$111</f>
        <v>EGMM0019V177</v>
      </c>
      <c r="C548" s="355">
        <v>6100000757</v>
      </c>
      <c r="D548" s="355">
        <v>330419805</v>
      </c>
      <c r="E548" s="152" t="s">
        <v>502</v>
      </c>
      <c r="F548" s="153"/>
      <c r="G548" s="153">
        <f>3553322*0</f>
        <v>0</v>
      </c>
      <c r="H548" s="153">
        <v>8250606</v>
      </c>
      <c r="I548" s="366">
        <f t="shared" si="18"/>
        <v>508.6059672050302</v>
      </c>
      <c r="J548" t="str">
        <f t="shared" si="19"/>
        <v>61000</v>
      </c>
    </row>
    <row r="549" spans="1:10" hidden="1" x14ac:dyDescent="0.25">
      <c r="A549" s="151">
        <v>3</v>
      </c>
      <c r="B549" s="106" t="str">
        <f>'Funding 2019'!$K$111</f>
        <v>EGMM0019V177</v>
      </c>
      <c r="C549" s="355">
        <v>6100000781</v>
      </c>
      <c r="D549" s="355" t="s">
        <v>818</v>
      </c>
      <c r="E549" s="152" t="s">
        <v>597</v>
      </c>
      <c r="F549" s="153">
        <v>9871825</v>
      </c>
      <c r="G549" s="334">
        <v>2572328</v>
      </c>
      <c r="H549" s="153">
        <v>4820816</v>
      </c>
      <c r="I549" s="366">
        <f t="shared" si="18"/>
        <v>1064.2934903217852</v>
      </c>
      <c r="J549" t="str">
        <f t="shared" si="19"/>
        <v>61000</v>
      </c>
    </row>
    <row r="550" spans="1:10" hidden="1" x14ac:dyDescent="0.25">
      <c r="A550" s="151">
        <v>4</v>
      </c>
      <c r="B550" s="106" t="str">
        <f>'Funding 2019'!$K$111</f>
        <v>EGMM0019V177</v>
      </c>
      <c r="C550" s="355"/>
      <c r="D550" s="355"/>
      <c r="E550" s="152"/>
      <c r="F550" s="153"/>
      <c r="G550" s="153"/>
      <c r="H550" s="153"/>
      <c r="I550" s="366">
        <f t="shared" si="18"/>
        <v>0</v>
      </c>
      <c r="J550" t="str">
        <f t="shared" si="19"/>
        <v/>
      </c>
    </row>
    <row r="551" spans="1:10" hidden="1" x14ac:dyDescent="0.25">
      <c r="A551" s="151">
        <v>1</v>
      </c>
      <c r="B551" s="106" t="str">
        <f>'Funding 2019'!$K$112</f>
        <v>EGMM0019V223</v>
      </c>
      <c r="C551" s="355"/>
      <c r="D551" s="355"/>
      <c r="E551" s="152"/>
      <c r="F551" s="153"/>
      <c r="G551" s="153"/>
      <c r="H551" s="153"/>
      <c r="I551" s="366">
        <f t="shared" si="18"/>
        <v>0</v>
      </c>
      <c r="J551" t="str">
        <f t="shared" si="19"/>
        <v/>
      </c>
    </row>
    <row r="552" spans="1:10" hidden="1" x14ac:dyDescent="0.25">
      <c r="A552" s="151">
        <v>2</v>
      </c>
      <c r="B552" s="106" t="str">
        <f>'Funding 2019'!$K$112</f>
        <v>EGMM0019V223</v>
      </c>
      <c r="C552" s="355"/>
      <c r="D552" s="355"/>
      <c r="E552" s="152"/>
      <c r="F552" s="153"/>
      <c r="G552" s="153"/>
      <c r="H552" s="153"/>
      <c r="I552" s="366">
        <f t="shared" si="18"/>
        <v>0</v>
      </c>
      <c r="J552" t="str">
        <f t="shared" si="19"/>
        <v/>
      </c>
    </row>
    <row r="553" spans="1:10" hidden="1" x14ac:dyDescent="0.25">
      <c r="A553" s="151">
        <v>3</v>
      </c>
      <c r="B553" s="106" t="str">
        <f>'Funding 2019'!$K$112</f>
        <v>EGMM0019V223</v>
      </c>
      <c r="C553" s="355"/>
      <c r="D553" s="355"/>
      <c r="E553" s="152"/>
      <c r="F553" s="153"/>
      <c r="G553" s="153"/>
      <c r="H553" s="153"/>
      <c r="I553" s="366">
        <f t="shared" si="18"/>
        <v>0</v>
      </c>
      <c r="J553" t="str">
        <f t="shared" si="19"/>
        <v/>
      </c>
    </row>
    <row r="554" spans="1:10" hidden="1" x14ac:dyDescent="0.25">
      <c r="A554" s="151">
        <v>4</v>
      </c>
      <c r="B554" s="106" t="str">
        <f>'Funding 2019'!$K$112</f>
        <v>EGMM0019V223</v>
      </c>
      <c r="C554" s="355"/>
      <c r="D554" s="355"/>
      <c r="E554" s="152"/>
      <c r="F554" s="153"/>
      <c r="G554" s="153"/>
      <c r="H554" s="153"/>
      <c r="I554" s="366">
        <f t="shared" si="18"/>
        <v>0</v>
      </c>
      <c r="J554" t="str">
        <f t="shared" si="19"/>
        <v/>
      </c>
    </row>
    <row r="555" spans="1:10" hidden="1" x14ac:dyDescent="0.25">
      <c r="A555" s="151">
        <v>3</v>
      </c>
      <c r="B555" s="106" t="str">
        <f>'Funding 2019'!$K$103</f>
        <v>EGMM0019W205</v>
      </c>
      <c r="C555" s="355">
        <v>6100000752</v>
      </c>
      <c r="D555" s="355" t="s">
        <v>425</v>
      </c>
      <c r="E555" s="152" t="s">
        <v>426</v>
      </c>
      <c r="F555" s="166"/>
      <c r="G555" s="166">
        <f>2418624*0</f>
        <v>0</v>
      </c>
      <c r="H555" s="294">
        <v>6386472</v>
      </c>
      <c r="I555" s="366">
        <f t="shared" si="18"/>
        <v>393.69202317839972</v>
      </c>
      <c r="J555" t="str">
        <f t="shared" si="19"/>
        <v>61000</v>
      </c>
    </row>
    <row r="556" spans="1:10" hidden="1" x14ac:dyDescent="0.25">
      <c r="A556" s="151">
        <v>2</v>
      </c>
      <c r="B556" s="106" t="str">
        <f>'Funding 2019'!$K$113</f>
        <v>EGMM0019X167</v>
      </c>
      <c r="C556" s="355">
        <v>5500011891</v>
      </c>
      <c r="D556" s="355"/>
      <c r="E556" s="152" t="s">
        <v>710</v>
      </c>
      <c r="F556" s="334">
        <v>8700000</v>
      </c>
      <c r="G556" s="166"/>
      <c r="H556" s="166"/>
      <c r="I556" s="366">
        <f t="shared" si="18"/>
        <v>536.30871655776104</v>
      </c>
      <c r="J556" t="str">
        <f t="shared" si="19"/>
        <v>55000</v>
      </c>
    </row>
    <row r="557" spans="1:10" hidden="1" x14ac:dyDescent="0.25">
      <c r="A557" s="151">
        <v>3</v>
      </c>
      <c r="B557" s="106" t="str">
        <f>'Funding 2019'!$K$113</f>
        <v>EGMM0019X167</v>
      </c>
      <c r="C557" s="355">
        <v>5500011874</v>
      </c>
      <c r="D557" s="355"/>
      <c r="E557" s="152" t="s">
        <v>721</v>
      </c>
      <c r="F557" s="334">
        <v>15340000</v>
      </c>
      <c r="G557" s="166"/>
      <c r="H557" s="166"/>
      <c r="I557" s="366">
        <f t="shared" si="18"/>
        <v>945.62939218345457</v>
      </c>
      <c r="J557" t="str">
        <f t="shared" si="19"/>
        <v>55000</v>
      </c>
    </row>
    <row r="558" spans="1:10" hidden="1" x14ac:dyDescent="0.25">
      <c r="A558" s="151">
        <v>4</v>
      </c>
      <c r="B558" s="106" t="str">
        <f>'Funding 2019'!$K$113</f>
        <v>EGMM0019X167</v>
      </c>
      <c r="C558" s="355">
        <v>5500011885</v>
      </c>
      <c r="D558" s="355"/>
      <c r="E558" s="152" t="s">
        <v>752</v>
      </c>
      <c r="F558" s="166">
        <v>4980000</v>
      </c>
      <c r="G558" s="166"/>
      <c r="H558" s="166"/>
      <c r="I558" s="366">
        <f t="shared" si="18"/>
        <v>306.99050671927012</v>
      </c>
      <c r="J558" t="str">
        <f t="shared" si="19"/>
        <v>55000</v>
      </c>
    </row>
    <row r="559" spans="1:10" hidden="1" x14ac:dyDescent="0.25">
      <c r="A559" s="151">
        <v>5</v>
      </c>
      <c r="B559" s="106" t="str">
        <f>'Funding 2019'!$K$113</f>
        <v>EGMM0019X167</v>
      </c>
      <c r="C559" s="355">
        <v>5500011935</v>
      </c>
      <c r="D559" s="355"/>
      <c r="E559" s="152" t="s">
        <v>756</v>
      </c>
      <c r="F559" s="334">
        <v>15200000</v>
      </c>
      <c r="G559" s="166"/>
      <c r="H559" s="166"/>
      <c r="I559" s="366">
        <f t="shared" si="18"/>
        <v>936.99913697447914</v>
      </c>
      <c r="J559" t="str">
        <f t="shared" si="19"/>
        <v>55000</v>
      </c>
    </row>
    <row r="560" spans="1:10" hidden="1" x14ac:dyDescent="0.25">
      <c r="A560" s="151">
        <v>24</v>
      </c>
      <c r="B560" s="331" t="str">
        <f>'Funding 2019'!$K$110</f>
        <v>EGMMLA19V167</v>
      </c>
      <c r="C560" s="357">
        <v>6100000762</v>
      </c>
      <c r="D560" s="357" t="s">
        <v>547</v>
      </c>
      <c r="E560" s="284" t="s">
        <v>548</v>
      </c>
      <c r="F560" s="280"/>
      <c r="G560" s="335">
        <f>293254+152</f>
        <v>293406</v>
      </c>
      <c r="H560" s="337">
        <v>30662036</v>
      </c>
      <c r="I560" s="366">
        <f t="shared" si="18"/>
        <v>1908.2383183331278</v>
      </c>
      <c r="J560" t="str">
        <f t="shared" si="19"/>
        <v>61000</v>
      </c>
    </row>
    <row r="561" spans="1:10" hidden="1" x14ac:dyDescent="0.25">
      <c r="A561" s="151">
        <v>7</v>
      </c>
      <c r="B561" s="106" t="str">
        <f>'Funding 2019'!$K$113</f>
        <v>EGMM0019X167</v>
      </c>
      <c r="C561" s="355">
        <v>5500011943</v>
      </c>
      <c r="D561" s="355"/>
      <c r="E561" s="152" t="s">
        <v>757</v>
      </c>
      <c r="F561" s="334">
        <v>4724000</v>
      </c>
      <c r="G561" s="166"/>
      <c r="H561" s="166"/>
      <c r="I561" s="366">
        <f t="shared" si="18"/>
        <v>291.20946862285786</v>
      </c>
      <c r="J561" t="str">
        <f t="shared" si="19"/>
        <v>55000</v>
      </c>
    </row>
    <row r="562" spans="1:10" hidden="1" x14ac:dyDescent="0.25">
      <c r="A562" s="151">
        <v>4</v>
      </c>
      <c r="B562" s="106" t="str">
        <f>'Funding 2019'!$K$105</f>
        <v>EGMM0019X253</v>
      </c>
      <c r="C562" s="355">
        <v>6100000772</v>
      </c>
      <c r="D562" s="355" t="s">
        <v>663</v>
      </c>
      <c r="E562" s="152" t="s">
        <v>499</v>
      </c>
      <c r="F562" s="153">
        <v>8019500</v>
      </c>
      <c r="G562" s="153"/>
      <c r="H562" s="153">
        <v>14524840</v>
      </c>
      <c r="I562" s="366">
        <f t="shared" si="18"/>
        <v>1389.7386265565281</v>
      </c>
      <c r="J562" t="str">
        <f t="shared" si="19"/>
        <v>61000</v>
      </c>
    </row>
    <row r="563" spans="1:10" hidden="1" x14ac:dyDescent="0.25">
      <c r="A563" s="283">
        <v>9</v>
      </c>
      <c r="B563" s="331" t="str">
        <f>'Funding 2019'!$K$113</f>
        <v>EGMM0019X167</v>
      </c>
      <c r="C563" s="357">
        <v>5500011978</v>
      </c>
      <c r="D563" s="357"/>
      <c r="E563" s="284" t="s">
        <v>819</v>
      </c>
      <c r="F563" s="335">
        <v>11200000</v>
      </c>
      <c r="G563" s="280"/>
      <c r="H563" s="280"/>
      <c r="I563" s="366">
        <f t="shared" si="18"/>
        <v>690.42041671803725</v>
      </c>
      <c r="J563" t="str">
        <f t="shared" si="19"/>
        <v>55000</v>
      </c>
    </row>
    <row r="564" spans="1:10" hidden="1" x14ac:dyDescent="0.25">
      <c r="A564" s="151">
        <v>10</v>
      </c>
      <c r="B564" s="106" t="str">
        <f>'Funding 2019'!$K$113</f>
        <v>EGMM0019X167</v>
      </c>
      <c r="C564" s="355">
        <v>500011955</v>
      </c>
      <c r="D564" s="355"/>
      <c r="E564" s="152" t="s">
        <v>770</v>
      </c>
      <c r="F564" s="334">
        <v>10792080</v>
      </c>
      <c r="G564" s="166"/>
      <c r="H564" s="166"/>
      <c r="I564" s="366">
        <f t="shared" si="18"/>
        <v>665.27431882628525</v>
      </c>
      <c r="J564" t="str">
        <f t="shared" si="19"/>
        <v>50001</v>
      </c>
    </row>
    <row r="565" spans="1:10" hidden="1" x14ac:dyDescent="0.25">
      <c r="A565" s="151">
        <v>11</v>
      </c>
      <c r="B565" s="106" t="str">
        <f>'Funding 2019'!$K$113</f>
        <v>EGMM0019X167</v>
      </c>
      <c r="C565" s="355"/>
      <c r="D565" s="355"/>
      <c r="E565" s="152" t="s">
        <v>821</v>
      </c>
      <c r="F565" s="334"/>
      <c r="G565" s="166"/>
      <c r="H565" s="334">
        <v>4980000</v>
      </c>
      <c r="I565" s="366">
        <f t="shared" si="18"/>
        <v>306.99050671927012</v>
      </c>
      <c r="J565" t="str">
        <f t="shared" si="19"/>
        <v/>
      </c>
    </row>
    <row r="566" spans="1:10" hidden="1" x14ac:dyDescent="0.25">
      <c r="A566" s="151">
        <v>12</v>
      </c>
      <c r="B566" s="106" t="str">
        <f>'Funding 2019'!$K$113</f>
        <v>EGMM0019X167</v>
      </c>
      <c r="C566" s="355">
        <v>6100000799</v>
      </c>
      <c r="D566" s="355"/>
      <c r="E566" s="152" t="s">
        <v>839</v>
      </c>
      <c r="F566" s="334">
        <v>12942292</v>
      </c>
      <c r="G566" s="166"/>
      <c r="H566" s="334"/>
      <c r="I566" s="366">
        <f t="shared" si="18"/>
        <v>797.82344963629635</v>
      </c>
      <c r="J566" t="str">
        <f t="shared" si="19"/>
        <v>61000</v>
      </c>
    </row>
    <row r="567" spans="1:10" hidden="1" x14ac:dyDescent="0.25">
      <c r="A567" s="151">
        <v>13</v>
      </c>
      <c r="B567" s="106" t="str">
        <f>'Funding 2019'!$K$113</f>
        <v>EGMM0019X167</v>
      </c>
      <c r="C567" s="355">
        <v>5500011895</v>
      </c>
      <c r="D567" s="355"/>
      <c r="E567" s="152" t="s">
        <v>725</v>
      </c>
      <c r="F567" s="334">
        <v>4200000</v>
      </c>
      <c r="G567" s="166"/>
      <c r="H567" s="166"/>
      <c r="I567" s="366">
        <f t="shared" si="18"/>
        <v>258.90765626926395</v>
      </c>
      <c r="J567" t="str">
        <f t="shared" si="19"/>
        <v>55000</v>
      </c>
    </row>
    <row r="568" spans="1:10" hidden="1" x14ac:dyDescent="0.25">
      <c r="A568" s="151">
        <v>1</v>
      </c>
      <c r="B568" s="106" t="str">
        <f>'Funding 2019'!$K$114</f>
        <v>EGMMLA19X167</v>
      </c>
      <c r="C568" s="355">
        <v>6100000790</v>
      </c>
      <c r="D568" s="355" t="s">
        <v>823</v>
      </c>
      <c r="E568" s="152" t="s">
        <v>739</v>
      </c>
      <c r="F568" s="287">
        <f>60190656*0</f>
        <v>0</v>
      </c>
      <c r="G568" s="287">
        <v>59459459</v>
      </c>
      <c r="H568" s="153"/>
      <c r="I568" s="366">
        <f t="shared" si="18"/>
        <v>3665.3593268400937</v>
      </c>
      <c r="J568" t="str">
        <f t="shared" si="19"/>
        <v>61000</v>
      </c>
    </row>
    <row r="569" spans="1:10" hidden="1" x14ac:dyDescent="0.25">
      <c r="A569" s="151">
        <v>2</v>
      </c>
      <c r="B569" s="106" t="str">
        <f>'Funding 2019'!$K$114</f>
        <v>EGMMLA19X167</v>
      </c>
      <c r="C569" s="355">
        <v>6100000791</v>
      </c>
      <c r="D569" s="355" t="s">
        <v>826</v>
      </c>
      <c r="E569" s="152" t="s">
        <v>740</v>
      </c>
      <c r="F569" s="287">
        <f>87308417*0</f>
        <v>0</v>
      </c>
      <c r="G569" s="334">
        <v>80141010</v>
      </c>
      <c r="H569" s="153"/>
      <c r="I569" s="366">
        <f t="shared" si="18"/>
        <v>4940.2669214646776</v>
      </c>
      <c r="J569" t="str">
        <f t="shared" si="19"/>
        <v>61000</v>
      </c>
    </row>
    <row r="570" spans="1:10" hidden="1" x14ac:dyDescent="0.25">
      <c r="A570" s="151">
        <v>20</v>
      </c>
      <c r="B570" s="106" t="str">
        <f>'Funding 2019'!$K$91</f>
        <v>CGMM2019M264</v>
      </c>
      <c r="C570" s="355">
        <v>6100000782</v>
      </c>
      <c r="D570" s="355"/>
      <c r="E570" s="152" t="s">
        <v>614</v>
      </c>
      <c r="F570" s="305">
        <v>696755150</v>
      </c>
      <c r="G570" s="166"/>
      <c r="H570" s="166"/>
      <c r="I570" s="366">
        <f t="shared" si="18"/>
        <v>42951.248304771296</v>
      </c>
      <c r="J570" t="str">
        <f t="shared" si="19"/>
        <v>61000</v>
      </c>
    </row>
    <row r="571" spans="1:10" hidden="1" x14ac:dyDescent="0.25">
      <c r="A571" s="151">
        <v>4</v>
      </c>
      <c r="B571" s="106" t="str">
        <f>'Funding 2019'!$K$114</f>
        <v>EGMMLA19X167</v>
      </c>
      <c r="C571" s="355">
        <v>6100000797</v>
      </c>
      <c r="D571" s="355" t="s">
        <v>825</v>
      </c>
      <c r="E571" s="152" t="s">
        <v>767</v>
      </c>
      <c r="F571" s="153">
        <f>62785470*0</f>
        <v>0</v>
      </c>
      <c r="G571" s="334">
        <v>62857938</v>
      </c>
      <c r="H571" s="153"/>
      <c r="I571" s="366">
        <f t="shared" si="18"/>
        <v>3874.8574774996919</v>
      </c>
      <c r="J571" t="str">
        <f t="shared" si="19"/>
        <v>61000</v>
      </c>
    </row>
    <row r="572" spans="1:10" hidden="1" x14ac:dyDescent="0.25">
      <c r="A572" s="151">
        <v>4</v>
      </c>
      <c r="B572" s="106" t="str">
        <f>'Funding 2019'!$K$114</f>
        <v>EGMMLA19X167</v>
      </c>
      <c r="C572" s="355">
        <v>6100000794</v>
      </c>
      <c r="D572" s="355" t="s">
        <v>824</v>
      </c>
      <c r="E572" s="152" t="s">
        <v>763</v>
      </c>
      <c r="F572" s="287">
        <v>11041056</v>
      </c>
      <c r="G572" s="334">
        <v>14566929</v>
      </c>
      <c r="H572" s="153"/>
      <c r="I572" s="366">
        <f t="shared" si="18"/>
        <v>1578.5960424115399</v>
      </c>
      <c r="J572" t="str">
        <f t="shared" si="19"/>
        <v>61000</v>
      </c>
    </row>
    <row r="573" spans="1:10" hidden="1" x14ac:dyDescent="0.25">
      <c r="A573" s="151">
        <v>2</v>
      </c>
      <c r="B573" s="106" t="str">
        <f>'Funding 2019'!$K$85</f>
        <v>CGMMLA19X167</v>
      </c>
      <c r="C573" s="355">
        <v>6100000792</v>
      </c>
      <c r="D573" s="356" t="s">
        <v>799</v>
      </c>
      <c r="E573" s="165" t="s">
        <v>739</v>
      </c>
      <c r="F573" s="166"/>
      <c r="G573" s="166">
        <v>50255748</v>
      </c>
      <c r="H573" s="166"/>
      <c r="I573" s="366">
        <f t="shared" si="18"/>
        <v>3097.9995068425596</v>
      </c>
      <c r="J573" t="str">
        <f t="shared" si="19"/>
        <v>61000</v>
      </c>
    </row>
    <row r="574" spans="1:10" hidden="1" x14ac:dyDescent="0.25">
      <c r="A574" s="151">
        <v>2</v>
      </c>
      <c r="B574" s="106" t="str">
        <f>'Funding 2019'!$K$116</f>
        <v>EGMMTE19X167</v>
      </c>
      <c r="C574" s="355"/>
      <c r="D574" s="355"/>
      <c r="E574" s="152"/>
      <c r="F574" s="153"/>
      <c r="G574" s="153"/>
      <c r="H574" s="153"/>
      <c r="I574" s="366">
        <f t="shared" si="18"/>
        <v>0</v>
      </c>
      <c r="J574" t="str">
        <f t="shared" si="19"/>
        <v/>
      </c>
    </row>
    <row r="575" spans="1:10" hidden="1" x14ac:dyDescent="0.25">
      <c r="A575" s="151">
        <v>3</v>
      </c>
      <c r="B575" s="106" t="str">
        <f>'Funding 2019'!$K$116</f>
        <v>EGMMTE19X167</v>
      </c>
      <c r="C575" s="355"/>
      <c r="D575" s="355"/>
      <c r="E575" s="152"/>
      <c r="F575" s="153"/>
      <c r="G575" s="153"/>
      <c r="H575" s="153"/>
      <c r="I575" s="366">
        <f t="shared" si="18"/>
        <v>0</v>
      </c>
      <c r="J575" t="str">
        <f t="shared" si="19"/>
        <v/>
      </c>
    </row>
    <row r="576" spans="1:10" hidden="1" x14ac:dyDescent="0.25">
      <c r="A576" s="151">
        <v>4</v>
      </c>
      <c r="B576" s="106" t="str">
        <f>'Funding 2019'!$K$116</f>
        <v>EGMMTE19X167</v>
      </c>
      <c r="C576" s="355"/>
      <c r="D576" s="355"/>
      <c r="E576" s="152"/>
      <c r="F576" s="153"/>
      <c r="G576" s="153"/>
      <c r="H576" s="153"/>
      <c r="I576" s="366">
        <f t="shared" si="18"/>
        <v>0</v>
      </c>
      <c r="J576" t="str">
        <f t="shared" si="19"/>
        <v/>
      </c>
    </row>
    <row r="577" spans="1:10" hidden="1" x14ac:dyDescent="0.25">
      <c r="A577" s="151">
        <v>1</v>
      </c>
      <c r="B577" s="106" t="str">
        <f>'Funding 2019'!$K$117</f>
        <v>EGMMTA19X167</v>
      </c>
      <c r="C577" s="355"/>
      <c r="D577" s="355"/>
      <c r="E577" s="152"/>
      <c r="F577" s="153"/>
      <c r="G577" s="153"/>
      <c r="H577" s="153"/>
      <c r="I577" s="366">
        <f t="shared" si="18"/>
        <v>0</v>
      </c>
      <c r="J577" t="str">
        <f t="shared" si="19"/>
        <v/>
      </c>
    </row>
    <row r="578" spans="1:10" hidden="1" x14ac:dyDescent="0.25">
      <c r="A578" s="151">
        <v>2</v>
      </c>
      <c r="B578" s="106" t="str">
        <f>'Funding 2019'!$K$117</f>
        <v>EGMMTA19X167</v>
      </c>
      <c r="C578" s="355"/>
      <c r="D578" s="355"/>
      <c r="E578" s="152"/>
      <c r="F578" s="153"/>
      <c r="G578" s="153"/>
      <c r="H578" s="153"/>
      <c r="I578" s="366">
        <f t="shared" si="18"/>
        <v>0</v>
      </c>
      <c r="J578" t="str">
        <f t="shared" si="19"/>
        <v/>
      </c>
    </row>
    <row r="579" spans="1:10" hidden="1" x14ac:dyDescent="0.25">
      <c r="A579" s="151">
        <v>3</v>
      </c>
      <c r="B579" s="106" t="str">
        <f>'Funding 2019'!$K$117</f>
        <v>EGMMTA19X167</v>
      </c>
      <c r="C579" s="355"/>
      <c r="D579" s="355"/>
      <c r="E579" s="152"/>
      <c r="F579" s="153"/>
      <c r="G579" s="153"/>
      <c r="H579" s="153"/>
      <c r="I579" s="366">
        <f>SUM(F579:H579)/16222</f>
        <v>0</v>
      </c>
      <c r="J579" t="str">
        <f>IF(C579="",LEFT(D579,5),LEFT(C579,5))</f>
        <v/>
      </c>
    </row>
    <row r="580" spans="1:10" hidden="1" x14ac:dyDescent="0.25">
      <c r="A580" s="151">
        <v>4</v>
      </c>
      <c r="B580" s="106" t="str">
        <f>'Funding 2019'!$K$117</f>
        <v>EGMMTA19X167</v>
      </c>
      <c r="C580" s="355"/>
      <c r="D580" s="355"/>
      <c r="E580" s="152"/>
      <c r="F580" s="153"/>
      <c r="G580" s="153"/>
      <c r="H580" s="153"/>
      <c r="I580" s="366">
        <f>SUM(F580:H580)/16222</f>
        <v>0</v>
      </c>
      <c r="J580" t="str">
        <f>IF(C580="",LEFT(D580,5),LEFT(C580,5))</f>
        <v/>
      </c>
    </row>
  </sheetData>
  <autoFilter ref="A1:J580">
    <filterColumn colId="9">
      <filters>
        <filter val="21000"/>
        <filter val="25000"/>
        <filter val="45001"/>
      </filters>
    </filterColumn>
    <sortState ref="A2:J380">
      <sortCondition descending="1" ref="I1:I580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>
      <selection activeCell="I2" sqref="I2"/>
    </sheetView>
  </sheetViews>
  <sheetFormatPr defaultColWidth="21.85546875" defaultRowHeight="15.75" x14ac:dyDescent="0.25"/>
  <cols>
    <col min="1" max="1" width="19" style="189" customWidth="1"/>
    <col min="2" max="3" width="6.85546875" style="189" customWidth="1"/>
    <col min="4" max="4" width="6.140625" style="189" customWidth="1"/>
    <col min="5" max="5" width="5.5703125" style="189" customWidth="1"/>
    <col min="6" max="6" width="10.28515625" style="189" customWidth="1"/>
    <col min="7" max="7" width="13.85546875" style="189" customWidth="1"/>
    <col min="8" max="16384" width="21.85546875" style="189"/>
  </cols>
  <sheetData>
    <row r="1" spans="1:7" x14ac:dyDescent="0.25">
      <c r="A1" s="423" t="s">
        <v>730</v>
      </c>
      <c r="B1" s="423" t="s">
        <v>684</v>
      </c>
      <c r="G1"/>
    </row>
    <row r="2" spans="1:7" ht="28.5" x14ac:dyDescent="0.25">
      <c r="A2" s="423" t="s">
        <v>671</v>
      </c>
      <c r="B2" s="425" t="s">
        <v>674</v>
      </c>
      <c r="C2" s="425" t="s">
        <v>675</v>
      </c>
      <c r="D2" s="425" t="s">
        <v>676</v>
      </c>
      <c r="E2" s="425" t="s">
        <v>677</v>
      </c>
      <c r="F2" s="425" t="s">
        <v>572</v>
      </c>
      <c r="G2"/>
    </row>
    <row r="3" spans="1:7" ht="23.25" x14ac:dyDescent="0.25">
      <c r="A3" s="424" t="s">
        <v>304</v>
      </c>
      <c r="B3" s="421">
        <v>80.036247071879188</v>
      </c>
      <c r="C3" s="421">
        <v>-51551.218776969545</v>
      </c>
      <c r="D3" s="421">
        <v>2166.810504253488</v>
      </c>
      <c r="E3" s="421">
        <v>1155.4678831216866</v>
      </c>
      <c r="F3" s="422">
        <v>-48148.904142522493</v>
      </c>
      <c r="G3"/>
    </row>
    <row r="4" spans="1:7" ht="23.25" x14ac:dyDescent="0.25">
      <c r="A4" s="424" t="s">
        <v>672</v>
      </c>
      <c r="B4" s="421">
        <v>-28482.948958204906</v>
      </c>
      <c r="C4" s="421">
        <v>56320.386080631244</v>
      </c>
      <c r="D4" s="421"/>
      <c r="E4" s="421"/>
      <c r="F4" s="422">
        <v>27837.437122426338</v>
      </c>
      <c r="G4"/>
    </row>
    <row r="5" spans="1:7" ht="23.25" x14ac:dyDescent="0.25">
      <c r="A5" s="424" t="s">
        <v>673</v>
      </c>
      <c r="B5" s="421">
        <v>28562.985205276786</v>
      </c>
      <c r="C5" s="421">
        <v>-107871.60485760079</v>
      </c>
      <c r="D5" s="421">
        <v>2166.810504253488</v>
      </c>
      <c r="E5" s="421">
        <v>1155.4678831216866</v>
      </c>
      <c r="F5" s="422">
        <v>-75986.341264948831</v>
      </c>
      <c r="G5"/>
    </row>
    <row r="6" spans="1:7" ht="23.25" x14ac:dyDescent="0.25">
      <c r="A6" s="424" t="s">
        <v>561</v>
      </c>
      <c r="B6" s="421">
        <v>250733.94186906671</v>
      </c>
      <c r="C6" s="421"/>
      <c r="D6" s="421"/>
      <c r="E6" s="421"/>
      <c r="F6" s="422">
        <v>250733.94186906671</v>
      </c>
      <c r="G6"/>
    </row>
    <row r="7" spans="1:7" ht="23.25" x14ac:dyDescent="0.25">
      <c r="A7" s="424" t="s">
        <v>672</v>
      </c>
      <c r="B7" s="421">
        <v>233758.57508322032</v>
      </c>
      <c r="C7" s="421"/>
      <c r="D7" s="421"/>
      <c r="E7" s="421"/>
      <c r="F7" s="422">
        <v>233758.57508322032</v>
      </c>
      <c r="G7"/>
    </row>
    <row r="8" spans="1:7" ht="23.25" x14ac:dyDescent="0.25">
      <c r="A8" s="424" t="s">
        <v>673</v>
      </c>
      <c r="B8" s="421">
        <v>16975.366785846381</v>
      </c>
      <c r="C8" s="421"/>
      <c r="D8" s="421"/>
      <c r="E8" s="421"/>
      <c r="F8" s="422">
        <v>16975.366785846381</v>
      </c>
      <c r="G8"/>
    </row>
    <row r="9" spans="1:7" ht="23.25" x14ac:dyDescent="0.25">
      <c r="A9" s="424" t="s">
        <v>563</v>
      </c>
      <c r="B9" s="421">
        <v>227301.49858217235</v>
      </c>
      <c r="C9" s="421"/>
      <c r="D9" s="421"/>
      <c r="E9" s="421"/>
      <c r="F9" s="422">
        <v>227301.49858217235</v>
      </c>
      <c r="G9"/>
    </row>
    <row r="10" spans="1:7" ht="23.25" x14ac:dyDescent="0.25">
      <c r="A10" s="424" t="s">
        <v>672</v>
      </c>
      <c r="B10" s="421">
        <v>225007.32307976822</v>
      </c>
      <c r="C10" s="421"/>
      <c r="D10" s="421"/>
      <c r="E10" s="421"/>
      <c r="F10" s="422">
        <v>225007.32307976822</v>
      </c>
      <c r="G10"/>
    </row>
    <row r="11" spans="1:7" ht="23.25" x14ac:dyDescent="0.25">
      <c r="A11" s="424" t="s">
        <v>673</v>
      </c>
      <c r="B11" s="421">
        <v>2294.1755024041427</v>
      </c>
      <c r="C11" s="421"/>
      <c r="D11" s="421"/>
      <c r="E11" s="421"/>
      <c r="F11" s="422">
        <v>2294.1755024041427</v>
      </c>
      <c r="G11"/>
    </row>
    <row r="12" spans="1:7" ht="23.25" x14ac:dyDescent="0.25">
      <c r="A12" s="424" t="s">
        <v>562</v>
      </c>
      <c r="B12" s="421">
        <v>40554.421403032931</v>
      </c>
      <c r="C12" s="421">
        <v>44420.60282332635</v>
      </c>
      <c r="D12" s="421">
        <v>2521.8743681420292</v>
      </c>
      <c r="E12" s="421"/>
      <c r="F12" s="422">
        <v>87496.898594501326</v>
      </c>
      <c r="G12"/>
    </row>
    <row r="13" spans="1:7" ht="23.25" x14ac:dyDescent="0.25">
      <c r="A13" s="424" t="s">
        <v>672</v>
      </c>
      <c r="B13" s="421">
        <v>195128.97164344718</v>
      </c>
      <c r="C13" s="421">
        <v>10273.39415608433</v>
      </c>
      <c r="D13" s="421"/>
      <c r="E13" s="421"/>
      <c r="F13" s="422">
        <v>205402.36579953152</v>
      </c>
      <c r="G13"/>
    </row>
    <row r="14" spans="1:7" ht="23.25" x14ac:dyDescent="0.25">
      <c r="A14" s="424" t="s">
        <v>673</v>
      </c>
      <c r="B14" s="421">
        <v>-154574.55024041425</v>
      </c>
      <c r="C14" s="421">
        <v>34147.208667242019</v>
      </c>
      <c r="D14" s="421">
        <v>2521.8743681420292</v>
      </c>
      <c r="E14" s="421"/>
      <c r="F14" s="422">
        <v>-117905.46720503019</v>
      </c>
      <c r="G14"/>
    </row>
    <row r="15" spans="1:7" ht="23.25" x14ac:dyDescent="0.25">
      <c r="A15" s="424" t="s">
        <v>568</v>
      </c>
      <c r="B15" s="421"/>
      <c r="C15" s="421"/>
      <c r="D15" s="421"/>
      <c r="E15" s="421">
        <v>24817</v>
      </c>
      <c r="F15" s="422">
        <v>24817</v>
      </c>
      <c r="G15"/>
    </row>
    <row r="16" spans="1:7" ht="23.25" x14ac:dyDescent="0.25">
      <c r="A16" s="424" t="s">
        <v>673</v>
      </c>
      <c r="B16" s="421"/>
      <c r="C16" s="421"/>
      <c r="D16" s="421"/>
      <c r="E16" s="421">
        <v>24817</v>
      </c>
      <c r="F16" s="422">
        <v>24817</v>
      </c>
      <c r="G16"/>
    </row>
    <row r="17" spans="1:7" ht="23.25" x14ac:dyDescent="0.25">
      <c r="A17" s="424" t="s">
        <v>565</v>
      </c>
      <c r="B17" s="421">
        <v>14066.648132166194</v>
      </c>
      <c r="C17" s="421"/>
      <c r="D17" s="421"/>
      <c r="E17" s="421"/>
      <c r="F17" s="422">
        <v>14066.648132166194</v>
      </c>
      <c r="G17"/>
    </row>
    <row r="18" spans="1:7" ht="23.25" x14ac:dyDescent="0.25">
      <c r="A18" s="424" t="s">
        <v>672</v>
      </c>
      <c r="B18" s="421">
        <v>15000</v>
      </c>
      <c r="C18" s="421"/>
      <c r="D18" s="421"/>
      <c r="E18" s="421"/>
      <c r="F18" s="422">
        <v>15000</v>
      </c>
      <c r="G18"/>
    </row>
    <row r="19" spans="1:7" ht="23.25" x14ac:dyDescent="0.25">
      <c r="A19" s="424" t="s">
        <v>673</v>
      </c>
      <c r="B19" s="421">
        <v>-933.35186783380595</v>
      </c>
      <c r="C19" s="421"/>
      <c r="D19" s="421"/>
      <c r="E19" s="421"/>
      <c r="F19" s="422">
        <v>-933.35186783380595</v>
      </c>
      <c r="G19"/>
    </row>
    <row r="20" spans="1:7" ht="23.25" x14ac:dyDescent="0.25">
      <c r="A20" s="424" t="s">
        <v>571</v>
      </c>
      <c r="B20" s="421">
        <v>2022.0687954629516</v>
      </c>
      <c r="C20" s="421"/>
      <c r="D20" s="421"/>
      <c r="E20" s="421"/>
      <c r="F20" s="422">
        <v>2022.0687954629516</v>
      </c>
      <c r="G20"/>
    </row>
    <row r="21" spans="1:7" ht="23.25" x14ac:dyDescent="0.25">
      <c r="A21" s="424" t="s">
        <v>673</v>
      </c>
      <c r="B21" s="421">
        <v>2022.0687954629516</v>
      </c>
      <c r="C21" s="421"/>
      <c r="D21" s="421"/>
      <c r="E21" s="421"/>
      <c r="F21" s="422">
        <v>2022.0687954629516</v>
      </c>
      <c r="G21"/>
    </row>
    <row r="22" spans="1:7" ht="23.25" x14ac:dyDescent="0.25">
      <c r="A22" s="424" t="s">
        <v>678</v>
      </c>
      <c r="B22" s="421">
        <v>0</v>
      </c>
      <c r="C22" s="421"/>
      <c r="D22" s="421"/>
      <c r="E22" s="421"/>
      <c r="F22" s="422">
        <v>0</v>
      </c>
      <c r="G22"/>
    </row>
    <row r="23" spans="1:7" ht="23.25" x14ac:dyDescent="0.25">
      <c r="A23" s="424" t="s">
        <v>673</v>
      </c>
      <c r="B23" s="421">
        <v>0</v>
      </c>
      <c r="C23" s="421"/>
      <c r="D23" s="421"/>
      <c r="E23" s="421"/>
      <c r="F23" s="422">
        <v>0</v>
      </c>
      <c r="G23"/>
    </row>
    <row r="24" spans="1:7" ht="23.25" x14ac:dyDescent="0.25">
      <c r="A24" s="424" t="s">
        <v>566</v>
      </c>
      <c r="B24" s="421">
        <v>6212.6813586487488</v>
      </c>
      <c r="C24" s="421"/>
      <c r="D24" s="421"/>
      <c r="E24" s="421"/>
      <c r="F24" s="422">
        <v>6212.6813586487488</v>
      </c>
      <c r="G24"/>
    </row>
    <row r="25" spans="1:7" ht="23.25" x14ac:dyDescent="0.25">
      <c r="A25" s="424" t="s">
        <v>672</v>
      </c>
      <c r="B25" s="421">
        <v>7567.0969054370607</v>
      </c>
      <c r="C25" s="421"/>
      <c r="D25" s="421"/>
      <c r="E25" s="421"/>
      <c r="F25" s="422">
        <v>7567.0969054370607</v>
      </c>
      <c r="G25"/>
    </row>
    <row r="26" spans="1:7" ht="23.25" x14ac:dyDescent="0.25">
      <c r="A26" s="424" t="s">
        <v>673</v>
      </c>
      <c r="B26" s="421">
        <v>-1354.4155467883122</v>
      </c>
      <c r="C26" s="421"/>
      <c r="D26" s="421"/>
      <c r="E26" s="421"/>
      <c r="F26" s="422">
        <v>-1354.4155467883122</v>
      </c>
      <c r="G26"/>
    </row>
    <row r="27" spans="1:7" ht="23.25" x14ac:dyDescent="0.25">
      <c r="A27" s="424" t="s">
        <v>564</v>
      </c>
      <c r="B27" s="421">
        <v>2716.9370607816545</v>
      </c>
      <c r="C27" s="421"/>
      <c r="D27" s="421"/>
      <c r="E27" s="421"/>
      <c r="F27" s="422">
        <v>2716.9370607816545</v>
      </c>
      <c r="G27"/>
    </row>
    <row r="28" spans="1:7" ht="23.25" x14ac:dyDescent="0.25">
      <c r="A28" s="424" t="s">
        <v>672</v>
      </c>
      <c r="B28" s="421">
        <v>2714.329799038343</v>
      </c>
      <c r="C28" s="421"/>
      <c r="D28" s="421"/>
      <c r="E28" s="421"/>
      <c r="F28" s="422">
        <v>2714.329799038343</v>
      </c>
      <c r="G28"/>
    </row>
    <row r="29" spans="1:7" ht="23.25" x14ac:dyDescent="0.25">
      <c r="A29" s="424" t="s">
        <v>673</v>
      </c>
      <c r="B29" s="421">
        <v>2.6072617433115521</v>
      </c>
      <c r="C29" s="421"/>
      <c r="D29" s="421"/>
      <c r="E29" s="421"/>
      <c r="F29" s="422">
        <v>2.6072617433115521</v>
      </c>
      <c r="G29"/>
    </row>
    <row r="30" spans="1:7" ht="23.25" x14ac:dyDescent="0.25">
      <c r="A30" s="424" t="s">
        <v>567</v>
      </c>
      <c r="B30" s="421">
        <v>-10946.400936999136</v>
      </c>
      <c r="C30" s="421"/>
      <c r="D30" s="421"/>
      <c r="E30" s="421"/>
      <c r="F30" s="422">
        <v>-10946.400936999136</v>
      </c>
      <c r="G30"/>
    </row>
    <row r="31" spans="1:7" ht="23.25" x14ac:dyDescent="0.25">
      <c r="A31" s="424" t="s">
        <v>672</v>
      </c>
      <c r="B31" s="421">
        <v>-7892.4226359265194</v>
      </c>
      <c r="C31" s="421"/>
      <c r="D31" s="421"/>
      <c r="E31" s="421"/>
      <c r="F31" s="422">
        <v>-7892.4226359265194</v>
      </c>
      <c r="G31"/>
    </row>
    <row r="32" spans="1:7" ht="23.25" x14ac:dyDescent="0.25">
      <c r="A32" s="424" t="s">
        <v>673</v>
      </c>
      <c r="B32" s="421">
        <v>-3053.9783010726173</v>
      </c>
      <c r="C32" s="421"/>
      <c r="D32" s="421"/>
      <c r="E32" s="421"/>
      <c r="F32" s="422">
        <v>-3053.9783010726173</v>
      </c>
      <c r="G32"/>
    </row>
    <row r="33" spans="1:7" ht="23.25" x14ac:dyDescent="0.25">
      <c r="A33" s="424" t="s">
        <v>572</v>
      </c>
      <c r="B33" s="421">
        <v>532741.83251140441</v>
      </c>
      <c r="C33" s="421">
        <v>-7130.6159536431951</v>
      </c>
      <c r="D33" s="421">
        <v>4688.6848723955172</v>
      </c>
      <c r="E33" s="421">
        <v>25972.467883121688</v>
      </c>
      <c r="F33" s="422">
        <v>556272.36931327835</v>
      </c>
      <c r="G33"/>
    </row>
    <row r="34" spans="1:7" x14ac:dyDescent="0.25">
      <c r="A34"/>
      <c r="B34"/>
      <c r="C34"/>
      <c r="D34"/>
      <c r="E34"/>
      <c r="F34"/>
    </row>
    <row r="35" spans="1:7" x14ac:dyDescent="0.25">
      <c r="A35"/>
      <c r="B35"/>
      <c r="C35"/>
      <c r="D35"/>
      <c r="E35"/>
      <c r="F35"/>
    </row>
    <row r="36" spans="1:7" x14ac:dyDescent="0.25">
      <c r="A36"/>
      <c r="B36"/>
      <c r="C36"/>
      <c r="D36"/>
      <c r="E36"/>
      <c r="F36"/>
    </row>
    <row r="37" spans="1:7" x14ac:dyDescent="0.25">
      <c r="A37"/>
      <c r="B37"/>
      <c r="C37"/>
      <c r="D37"/>
      <c r="E37"/>
      <c r="F37"/>
    </row>
    <row r="38" spans="1:7" x14ac:dyDescent="0.25">
      <c r="A38"/>
      <c r="B38"/>
      <c r="C38"/>
      <c r="D38"/>
      <c r="E38"/>
      <c r="F38"/>
    </row>
    <row r="39" spans="1:7" x14ac:dyDescent="0.25">
      <c r="A39"/>
      <c r="B39"/>
      <c r="C39"/>
      <c r="D39"/>
      <c r="E39"/>
      <c r="F39"/>
    </row>
  </sheetData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showGridLines="0" zoomScale="115" zoomScaleNormal="115" workbookViewId="0">
      <selection activeCell="H9" sqref="H9:H12"/>
    </sheetView>
  </sheetViews>
  <sheetFormatPr defaultColWidth="13.42578125" defaultRowHeight="21" x14ac:dyDescent="0.25"/>
  <cols>
    <col min="1" max="1" width="3.28515625" style="208" customWidth="1"/>
    <col min="2" max="2" width="15.7109375" style="208" customWidth="1"/>
    <col min="3" max="3" width="18.5703125" style="208" customWidth="1"/>
    <col min="4" max="7" width="9.85546875" style="208" customWidth="1"/>
    <col min="8" max="8" width="75.28515625" style="208" customWidth="1"/>
    <col min="9" max="13" width="0" style="208" hidden="1" customWidth="1"/>
    <col min="14" max="16384" width="13.42578125" style="208"/>
  </cols>
  <sheetData>
    <row r="1" spans="2:12" ht="15.75" customHeight="1" x14ac:dyDescent="0.25"/>
    <row r="2" spans="2:12" ht="54.75" customHeight="1" x14ac:dyDescent="0.25">
      <c r="B2" s="431" t="s">
        <v>687</v>
      </c>
      <c r="C2" s="431"/>
      <c r="D2" s="431"/>
      <c r="E2" s="431"/>
      <c r="F2" s="431"/>
      <c r="G2" s="431"/>
      <c r="H2" s="238" t="s">
        <v>686</v>
      </c>
    </row>
    <row r="3" spans="2:12" ht="12" customHeight="1" x14ac:dyDescent="0.25">
      <c r="B3" s="235"/>
      <c r="C3" s="235"/>
      <c r="D3" s="235"/>
      <c r="E3" s="235"/>
      <c r="F3" s="236"/>
      <c r="G3" s="236"/>
      <c r="H3" s="237"/>
    </row>
    <row r="4" spans="2:12" ht="45.75" customHeight="1" x14ac:dyDescent="0.25">
      <c r="B4" s="210" t="s">
        <v>665</v>
      </c>
      <c r="C4" s="213" t="s">
        <v>685</v>
      </c>
      <c r="D4" s="214" t="s">
        <v>675</v>
      </c>
      <c r="E4" s="214" t="s">
        <v>676</v>
      </c>
      <c r="F4" s="214" t="s">
        <v>677</v>
      </c>
      <c r="G4" s="211" t="s">
        <v>572</v>
      </c>
      <c r="H4" s="213" t="s">
        <v>689</v>
      </c>
      <c r="I4" s="208">
        <v>2020</v>
      </c>
    </row>
    <row r="5" spans="2:12" s="209" customFormat="1" ht="26.25" customHeight="1" x14ac:dyDescent="0.25">
      <c r="B5" s="239" t="s">
        <v>304</v>
      </c>
      <c r="C5" s="240">
        <v>76952.294291702623</v>
      </c>
      <c r="D5" s="241">
        <v>184790.10152878807</v>
      </c>
      <c r="E5" s="241">
        <v>155000</v>
      </c>
      <c r="F5" s="242">
        <v>1155.4678831216866</v>
      </c>
      <c r="G5" s="243">
        <v>417897.86370361241</v>
      </c>
      <c r="H5" s="432" t="s">
        <v>695</v>
      </c>
    </row>
    <row r="6" spans="2:12" x14ac:dyDescent="0.25">
      <c r="B6" s="205" t="s">
        <v>672</v>
      </c>
      <c r="C6" s="215">
        <v>33715.20885217606</v>
      </c>
      <c r="D6" s="216">
        <v>84790.101528788073</v>
      </c>
      <c r="E6" s="216"/>
      <c r="F6" s="217"/>
      <c r="G6" s="218">
        <v>118505.31038096413</v>
      </c>
      <c r="H6" s="433"/>
    </row>
    <row r="7" spans="2:12" x14ac:dyDescent="0.25">
      <c r="B7" s="207" t="s">
        <v>673</v>
      </c>
      <c r="C7" s="262">
        <v>43237.085439526571</v>
      </c>
      <c r="D7" s="263">
        <v>100000</v>
      </c>
      <c r="E7" s="263">
        <v>155000</v>
      </c>
      <c r="F7" s="264">
        <v>1155.4678831216866</v>
      </c>
      <c r="G7" s="229">
        <v>299392.55332264828</v>
      </c>
      <c r="H7" s="433"/>
    </row>
    <row r="8" spans="2:12" ht="56.25" customHeight="1" x14ac:dyDescent="0.25">
      <c r="B8" s="265"/>
      <c r="C8" s="266"/>
      <c r="D8" s="266"/>
      <c r="E8" s="266"/>
      <c r="F8" s="266"/>
      <c r="G8" s="267"/>
      <c r="H8" s="434"/>
    </row>
    <row r="9" spans="2:12" s="209" customFormat="1" ht="26.25" customHeight="1" x14ac:dyDescent="0.25">
      <c r="B9" s="247" t="s">
        <v>561</v>
      </c>
      <c r="C9" s="248">
        <v>251065.19282455923</v>
      </c>
      <c r="D9" s="249"/>
      <c r="E9" s="249"/>
      <c r="F9" s="250"/>
      <c r="G9" s="251">
        <v>251065.19282455923</v>
      </c>
      <c r="H9" s="432" t="s">
        <v>690</v>
      </c>
      <c r="J9" s="212"/>
    </row>
    <row r="10" spans="2:12" x14ac:dyDescent="0.25">
      <c r="B10" s="205" t="s">
        <v>672</v>
      </c>
      <c r="C10" s="220">
        <v>233758.57508322032</v>
      </c>
      <c r="D10" s="221"/>
      <c r="E10" s="221"/>
      <c r="F10" s="222"/>
      <c r="G10" s="218">
        <v>233758.57508322032</v>
      </c>
      <c r="H10" s="433"/>
      <c r="I10" s="208" t="s">
        <v>688</v>
      </c>
      <c r="J10" s="208">
        <v>200</v>
      </c>
      <c r="K10" s="208">
        <v>207</v>
      </c>
      <c r="L10" s="208">
        <v>60.3</v>
      </c>
    </row>
    <row r="11" spans="2:12" x14ac:dyDescent="0.25">
      <c r="B11" s="206" t="s">
        <v>673</v>
      </c>
      <c r="C11" s="223">
        <v>17306.617741338923</v>
      </c>
      <c r="D11" s="224"/>
      <c r="E11" s="224"/>
      <c r="F11" s="225"/>
      <c r="G11" s="219">
        <v>17306.617741338923</v>
      </c>
      <c r="H11" s="433"/>
    </row>
    <row r="12" spans="2:12" ht="21" customHeight="1" x14ac:dyDescent="0.25">
      <c r="B12" s="230"/>
      <c r="C12" s="268"/>
      <c r="D12" s="268"/>
      <c r="E12" s="268"/>
      <c r="F12" s="268"/>
      <c r="G12" s="231"/>
      <c r="H12" s="434"/>
    </row>
    <row r="13" spans="2:12" s="209" customFormat="1" ht="26.25" x14ac:dyDescent="0.25">
      <c r="B13" s="252" t="s">
        <v>563</v>
      </c>
      <c r="C13" s="253">
        <v>189434.39101220563</v>
      </c>
      <c r="D13" s="254"/>
      <c r="E13" s="254"/>
      <c r="F13" s="255"/>
      <c r="G13" s="256">
        <v>189434.39101220563</v>
      </c>
      <c r="H13" s="435" t="s">
        <v>736</v>
      </c>
    </row>
    <row r="14" spans="2:12" x14ac:dyDescent="0.25">
      <c r="B14" s="205" t="s">
        <v>672</v>
      </c>
      <c r="C14" s="220">
        <v>191438.80002465786</v>
      </c>
      <c r="D14" s="221"/>
      <c r="E14" s="221"/>
      <c r="F14" s="222"/>
      <c r="G14" s="218">
        <v>191438.80002465786</v>
      </c>
      <c r="H14" s="436"/>
    </row>
    <row r="15" spans="2:12" x14ac:dyDescent="0.25">
      <c r="B15" s="206" t="s">
        <v>673</v>
      </c>
      <c r="C15" s="223">
        <v>-2004.4090124522254</v>
      </c>
      <c r="D15" s="224"/>
      <c r="E15" s="224"/>
      <c r="F15" s="225"/>
      <c r="G15" s="219">
        <v>-2004.4090124522254</v>
      </c>
      <c r="H15" s="436"/>
    </row>
    <row r="16" spans="2:12" ht="54.75" customHeight="1" x14ac:dyDescent="0.25">
      <c r="B16" s="230"/>
      <c r="C16" s="268"/>
      <c r="D16" s="268"/>
      <c r="E16" s="268"/>
      <c r="F16" s="268"/>
      <c r="G16" s="231"/>
      <c r="H16" s="437"/>
    </row>
    <row r="17" spans="1:8" s="209" customFormat="1" ht="26.25" x14ac:dyDescent="0.25">
      <c r="B17" s="257" t="s">
        <v>562</v>
      </c>
      <c r="C17" s="258">
        <v>-250867.01695228703</v>
      </c>
      <c r="D17" s="259">
        <v>134520.95567747502</v>
      </c>
      <c r="E17" s="259">
        <v>2521.8743681420292</v>
      </c>
      <c r="F17" s="260"/>
      <c r="G17" s="261">
        <v>-113824.18690666997</v>
      </c>
      <c r="H17" s="435"/>
    </row>
    <row r="18" spans="1:8" x14ac:dyDescent="0.25">
      <c r="B18" s="205" t="s">
        <v>672</v>
      </c>
      <c r="C18" s="220">
        <v>-100953.8701146591</v>
      </c>
      <c r="D18" s="221"/>
      <c r="E18" s="221"/>
      <c r="F18" s="222"/>
      <c r="G18" s="218">
        <v>-100953.8701146591</v>
      </c>
      <c r="H18" s="436"/>
    </row>
    <row r="19" spans="1:8" x14ac:dyDescent="0.25">
      <c r="B19" s="206" t="s">
        <v>673</v>
      </c>
      <c r="C19" s="223">
        <v>-149913.14683762792</v>
      </c>
      <c r="D19" s="224">
        <v>134520.95567747502</v>
      </c>
      <c r="E19" s="224">
        <v>2521.8743681420292</v>
      </c>
      <c r="F19" s="225"/>
      <c r="G19" s="219">
        <v>-12870.31679201087</v>
      </c>
      <c r="H19" s="436"/>
    </row>
    <row r="20" spans="1:8" ht="19.5" customHeight="1" x14ac:dyDescent="0.25">
      <c r="B20" s="230"/>
      <c r="C20" s="268"/>
      <c r="D20" s="268"/>
      <c r="E20" s="268"/>
      <c r="F20" s="268"/>
      <c r="G20" s="231"/>
      <c r="H20" s="437"/>
    </row>
    <row r="21" spans="1:8" s="209" customFormat="1" ht="26.25" x14ac:dyDescent="0.25">
      <c r="B21" s="239" t="s">
        <v>568</v>
      </c>
      <c r="C21" s="244"/>
      <c r="D21" s="245"/>
      <c r="E21" s="245"/>
      <c r="F21" s="244">
        <v>24817</v>
      </c>
      <c r="G21" s="243">
        <v>24817</v>
      </c>
    </row>
    <row r="22" spans="1:8" x14ac:dyDescent="0.25">
      <c r="B22" s="206" t="s">
        <v>673</v>
      </c>
      <c r="C22" s="223"/>
      <c r="D22" s="224"/>
      <c r="E22" s="224"/>
      <c r="F22" s="223">
        <v>24817</v>
      </c>
      <c r="G22" s="219">
        <v>24817</v>
      </c>
    </row>
    <row r="23" spans="1:8" x14ac:dyDescent="0.25">
      <c r="B23" s="206"/>
      <c r="C23" s="223"/>
      <c r="D23" s="224"/>
      <c r="E23" s="224"/>
      <c r="F23" s="225"/>
      <c r="G23" s="219"/>
    </row>
    <row r="24" spans="1:8" x14ac:dyDescent="0.25">
      <c r="B24" s="230"/>
      <c r="C24" s="268"/>
      <c r="D24" s="268"/>
      <c r="E24" s="268"/>
      <c r="F24" s="268"/>
      <c r="G24" s="231"/>
    </row>
    <row r="25" spans="1:8" s="209" customFormat="1" ht="26.25" x14ac:dyDescent="0.25">
      <c r="B25" s="239" t="s">
        <v>565</v>
      </c>
      <c r="C25" s="244">
        <v>14757.068548884232</v>
      </c>
      <c r="D25" s="245"/>
      <c r="E25" s="245"/>
      <c r="F25" s="246"/>
      <c r="G25" s="243">
        <v>14757.068548884232</v>
      </c>
    </row>
    <row r="26" spans="1:8" x14ac:dyDescent="0.25">
      <c r="B26" s="205" t="s">
        <v>672</v>
      </c>
      <c r="C26" s="220">
        <v>15000</v>
      </c>
      <c r="D26" s="221"/>
      <c r="E26" s="221"/>
      <c r="F26" s="222"/>
      <c r="G26" s="218">
        <v>15000</v>
      </c>
    </row>
    <row r="27" spans="1:8" x14ac:dyDescent="0.25">
      <c r="B27" s="206" t="s">
        <v>673</v>
      </c>
      <c r="C27" s="223">
        <v>-242.93145111576871</v>
      </c>
      <c r="D27" s="224"/>
      <c r="E27" s="224"/>
      <c r="F27" s="225"/>
      <c r="G27" s="219">
        <v>-242.93145111576871</v>
      </c>
    </row>
    <row r="28" spans="1:8" x14ac:dyDescent="0.25">
      <c r="A28" s="269"/>
      <c r="B28" s="230"/>
      <c r="C28" s="232"/>
      <c r="D28" s="233"/>
      <c r="E28" s="233"/>
      <c r="F28" s="234"/>
      <c r="G28" s="231"/>
      <c r="H28" s="269"/>
    </row>
    <row r="29" spans="1:8" s="209" customFormat="1" ht="26.25" x14ac:dyDescent="0.25">
      <c r="B29" s="239" t="s">
        <v>571</v>
      </c>
      <c r="C29" s="244">
        <v>3256.195290346443</v>
      </c>
      <c r="D29" s="245"/>
      <c r="E29" s="245"/>
      <c r="F29" s="246"/>
      <c r="G29" s="243">
        <v>3256.195290346443</v>
      </c>
    </row>
    <row r="30" spans="1:8" x14ac:dyDescent="0.25">
      <c r="B30" s="206" t="s">
        <v>673</v>
      </c>
      <c r="C30" s="223">
        <v>3256.195290346443</v>
      </c>
      <c r="D30" s="224"/>
      <c r="E30" s="224"/>
      <c r="F30" s="225"/>
      <c r="G30" s="219">
        <v>3256.195290346443</v>
      </c>
    </row>
    <row r="31" spans="1:8" s="209" customFormat="1" ht="26.25" x14ac:dyDescent="0.25">
      <c r="B31" s="239" t="s">
        <v>678</v>
      </c>
      <c r="C31" s="240">
        <v>0</v>
      </c>
      <c r="D31" s="241"/>
      <c r="E31" s="241"/>
      <c r="F31" s="242"/>
      <c r="G31" s="243">
        <v>0</v>
      </c>
    </row>
    <row r="32" spans="1:8" x14ac:dyDescent="0.25">
      <c r="B32" s="206" t="s">
        <v>673</v>
      </c>
      <c r="C32" s="223">
        <v>0</v>
      </c>
      <c r="D32" s="224"/>
      <c r="E32" s="224"/>
      <c r="F32" s="225"/>
      <c r="G32" s="219">
        <v>0</v>
      </c>
    </row>
    <row r="33" spans="2:7" s="209" customFormat="1" ht="26.25" x14ac:dyDescent="0.25">
      <c r="B33" s="239" t="s">
        <v>566</v>
      </c>
      <c r="C33" s="240">
        <v>-7751.0723092097151</v>
      </c>
      <c r="D33" s="241"/>
      <c r="E33" s="241"/>
      <c r="F33" s="242"/>
      <c r="G33" s="243">
        <v>-7751.0723092097151</v>
      </c>
    </row>
    <row r="34" spans="2:7" x14ac:dyDescent="0.25">
      <c r="B34" s="205" t="s">
        <v>672</v>
      </c>
      <c r="C34" s="220">
        <v>-4634.5639255332262</v>
      </c>
      <c r="D34" s="221"/>
      <c r="E34" s="221"/>
      <c r="F34" s="222"/>
      <c r="G34" s="218">
        <v>-4634.5639255332262</v>
      </c>
    </row>
    <row r="35" spans="2:7" x14ac:dyDescent="0.25">
      <c r="B35" s="205" t="s">
        <v>673</v>
      </c>
      <c r="C35" s="220">
        <v>-3116.5083836764888</v>
      </c>
      <c r="D35" s="221"/>
      <c r="E35" s="221"/>
      <c r="F35" s="222"/>
      <c r="G35" s="218">
        <v>-3116.5083836764888</v>
      </c>
    </row>
    <row r="36" spans="2:7" s="209" customFormat="1" ht="26.25" x14ac:dyDescent="0.25">
      <c r="B36" s="239" t="s">
        <v>564</v>
      </c>
      <c r="C36" s="240">
        <v>-1218.6947355443224</v>
      </c>
      <c r="D36" s="241"/>
      <c r="E36" s="241"/>
      <c r="F36" s="242"/>
      <c r="G36" s="243">
        <v>-1218.6947355443224</v>
      </c>
    </row>
    <row r="37" spans="2:7" x14ac:dyDescent="0.25">
      <c r="B37" s="205" t="s">
        <v>672</v>
      </c>
      <c r="C37" s="220">
        <v>-1292.5744051288373</v>
      </c>
      <c r="D37" s="221"/>
      <c r="E37" s="221"/>
      <c r="F37" s="222"/>
      <c r="G37" s="218">
        <v>-1292.5744051288373</v>
      </c>
    </row>
    <row r="38" spans="2:7" x14ac:dyDescent="0.25">
      <c r="B38" s="206" t="s">
        <v>673</v>
      </c>
      <c r="C38" s="223">
        <v>73.879669584514858</v>
      </c>
      <c r="D38" s="224"/>
      <c r="E38" s="224"/>
      <c r="F38" s="225"/>
      <c r="G38" s="219">
        <v>73.879669584514858</v>
      </c>
    </row>
    <row r="39" spans="2:7" s="209" customFormat="1" ht="26.25" x14ac:dyDescent="0.25">
      <c r="B39" s="239" t="s">
        <v>567</v>
      </c>
      <c r="C39" s="240">
        <v>-10708.963136481321</v>
      </c>
      <c r="D39" s="241"/>
      <c r="E39" s="241"/>
      <c r="F39" s="242"/>
      <c r="G39" s="243">
        <v>-10708.963136481321</v>
      </c>
    </row>
    <row r="40" spans="2:7" x14ac:dyDescent="0.25">
      <c r="B40" s="205" t="s">
        <v>672</v>
      </c>
      <c r="C40" s="220">
        <v>-8086.3457033657996</v>
      </c>
      <c r="D40" s="221"/>
      <c r="E40" s="221"/>
      <c r="F40" s="222"/>
      <c r="G40" s="218">
        <v>-8086.3457033657996</v>
      </c>
    </row>
    <row r="41" spans="2:7" x14ac:dyDescent="0.25">
      <c r="B41" s="207" t="s">
        <v>673</v>
      </c>
      <c r="C41" s="226">
        <v>-2622.6174331155221</v>
      </c>
      <c r="D41" s="227"/>
      <c r="E41" s="227"/>
      <c r="F41" s="228"/>
      <c r="G41" s="229">
        <v>-2622.6174331155221</v>
      </c>
    </row>
  </sheetData>
  <mergeCells count="5">
    <mergeCell ref="B2:G2"/>
    <mergeCell ref="H5:H8"/>
    <mergeCell ref="H9:H12"/>
    <mergeCell ref="H13:H16"/>
    <mergeCell ref="H17:H20"/>
  </mergeCells>
  <printOptions horizontalCentered="1"/>
  <pageMargins left="0.2" right="0" top="0.45" bottom="0.2" header="0" footer="0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Funding 2019</vt:lpstr>
      <vt:lpstr>PR List 2019</vt:lpstr>
      <vt:lpstr>Graph</vt:lpstr>
      <vt:lpstr>Summary</vt:lpstr>
      <vt:lpstr>Reminder (3)</vt:lpstr>
      <vt:lpstr>Reminder (2)</vt:lpstr>
      <vt:lpstr>IPS Project</vt:lpstr>
      <vt:lpstr>Pivot Product</vt:lpstr>
      <vt:lpstr>Product Summary</vt:lpstr>
      <vt:lpstr>'Funding 2019'!Print_Area</vt:lpstr>
      <vt:lpstr>'Product Summary'!Print_Area</vt:lpstr>
      <vt:lpstr>'Reminder (3)'!Print_Area</vt:lpstr>
      <vt:lpstr>'Funding 2019'!Print_Titles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2019-11-04T07:39:05Z</dcterms:modified>
</cp:coreProperties>
</file>